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etenova.sharepoint.com/sites/Marketing/Shared Documents/Market Communication (Marcom)/Product selector 2/Zooma/Excellmotor for web/"/>
    </mc:Choice>
  </mc:AlternateContent>
  <xr:revisionPtr revIDLastSave="226" documentId="8_{688ED5BE-F301-41E1-85BF-41ADAD7A679A}" xr6:coauthVersionLast="47" xr6:coauthVersionMax="47" xr10:uidLastSave="{EF14D6EA-3EFB-4CEC-A3F6-C1CC32A45276}"/>
  <bookViews>
    <workbookView xWindow="-120" yWindow="-120" windowWidth="29040" windowHeight="15840" tabRatio="866" activeTab="5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Output" sheetId="13" r:id="rId6"/>
    <sheet name="ZG" sheetId="3" r:id="rId7"/>
    <sheet name="ZGP" sheetId="4" r:id="rId8"/>
    <sheet name="HP" sheetId="5" r:id="rId9"/>
    <sheet name="HS" sheetId="6" r:id="rId10"/>
    <sheet name="ZF" sheetId="7" r:id="rId11"/>
    <sheet name="Vessel dimension - DIN 28011" sheetId="11" r:id="rId12"/>
    <sheet name="Min Vol ZG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3" l="1"/>
  <c r="K24" i="13"/>
  <c r="J24" i="13"/>
  <c r="I24" i="13"/>
  <c r="H24" i="13"/>
  <c r="G24" i="13"/>
  <c r="F24" i="13"/>
  <c r="E24" i="13"/>
  <c r="D24" i="13"/>
  <c r="C24" i="13"/>
  <c r="K29" i="13"/>
  <c r="I29" i="13"/>
  <c r="G29" i="13"/>
  <c r="E29" i="13"/>
  <c r="C29" i="13"/>
  <c r="E32" i="13"/>
  <c r="C33" i="13"/>
  <c r="W6" i="3"/>
  <c r="V6" i="3"/>
  <c r="U6" i="3"/>
  <c r="T6" i="3"/>
  <c r="E20" i="13"/>
  <c r="G20" i="13"/>
  <c r="I20" i="13"/>
  <c r="K20" i="13"/>
  <c r="C20" i="13"/>
  <c r="E17" i="13"/>
  <c r="G17" i="13"/>
  <c r="I17" i="13"/>
  <c r="K17" i="13"/>
  <c r="C17" i="13"/>
  <c r="E15" i="13"/>
  <c r="G15" i="13"/>
  <c r="I15" i="13"/>
  <c r="K15" i="13"/>
  <c r="C15" i="13"/>
  <c r="E14" i="13"/>
  <c r="G14" i="13"/>
  <c r="I14" i="13"/>
  <c r="K14" i="13"/>
  <c r="C14" i="13"/>
  <c r="K12" i="13"/>
  <c r="I12" i="13"/>
  <c r="G12" i="13"/>
  <c r="E12" i="13"/>
  <c r="C12" i="13"/>
  <c r="B8" i="11"/>
  <c r="C11" i="13" s="1"/>
  <c r="B7" i="11"/>
  <c r="K10" i="13"/>
  <c r="I10" i="13"/>
  <c r="G10" i="13"/>
  <c r="E10" i="13"/>
  <c r="C10" i="13"/>
  <c r="K13" i="13"/>
  <c r="I13" i="13"/>
  <c r="G13" i="13"/>
  <c r="E13" i="13"/>
  <c r="C13" i="13"/>
  <c r="B5" i="11"/>
  <c r="D13" i="1"/>
  <c r="I11" i="13" l="1"/>
  <c r="W62" i="7"/>
  <c r="W62" i="6"/>
  <c r="W62" i="5"/>
  <c r="K22" i="13"/>
  <c r="I22" i="13"/>
  <c r="G22" i="13"/>
  <c r="E35" i="13"/>
  <c r="K35" i="13"/>
  <c r="I35" i="13"/>
  <c r="G35" i="13"/>
  <c r="C35" i="13"/>
  <c r="K36" i="13"/>
  <c r="I36" i="13"/>
  <c r="G36" i="13"/>
  <c r="C36" i="13"/>
  <c r="W62" i="4"/>
  <c r="E11" i="13" l="1"/>
  <c r="G11" i="13"/>
  <c r="K11" i="13"/>
  <c r="W62" i="3"/>
  <c r="K44" i="13" l="1"/>
  <c r="I44" i="13"/>
  <c r="G44" i="13"/>
  <c r="E44" i="13"/>
  <c r="C44" i="13"/>
  <c r="K42" i="13"/>
  <c r="I42" i="13"/>
  <c r="G42" i="13"/>
  <c r="E42" i="13"/>
  <c r="C42" i="13"/>
  <c r="I39" i="13"/>
  <c r="G39" i="13"/>
  <c r="E39" i="13"/>
  <c r="C39" i="13"/>
  <c r="K28" i="13" l="1"/>
  <c r="K34" i="13" s="1"/>
  <c r="I28" i="13"/>
  <c r="I34" i="13" s="1"/>
  <c r="G28" i="13"/>
  <c r="G34" i="13" s="1"/>
  <c r="E28" i="13"/>
  <c r="E34" i="13" s="1"/>
  <c r="K21" i="13"/>
  <c r="I21" i="13"/>
  <c r="G21" i="13"/>
  <c r="E21" i="13"/>
  <c r="C21" i="13"/>
  <c r="K19" i="13"/>
  <c r="I19" i="13"/>
  <c r="G19" i="13"/>
  <c r="E19" i="13"/>
  <c r="C19" i="13"/>
  <c r="K3" i="13"/>
  <c r="I3" i="13"/>
  <c r="G3" i="13"/>
  <c r="E3" i="13"/>
  <c r="C3" i="13"/>
  <c r="K33" i="13"/>
  <c r="I33" i="13"/>
  <c r="G33" i="13"/>
  <c r="C32" i="13"/>
  <c r="K32" i="13"/>
  <c r="I32" i="13"/>
  <c r="G32" i="13"/>
  <c r="B45" i="7"/>
  <c r="B45" i="6"/>
  <c r="B45" i="4"/>
  <c r="B45" i="5"/>
  <c r="K30" i="13" l="1"/>
  <c r="K31" i="13"/>
  <c r="I31" i="13"/>
  <c r="I30" i="13"/>
  <c r="G31" i="13"/>
  <c r="G30" i="13"/>
  <c r="E22" i="13"/>
  <c r="E31" i="13"/>
  <c r="E30" i="13"/>
  <c r="AE82" i="3" l="1"/>
  <c r="AE86" i="3"/>
  <c r="K43" i="13" l="1"/>
  <c r="I43" i="13"/>
  <c r="G43" i="13"/>
  <c r="E43" i="13"/>
  <c r="C43" i="13"/>
  <c r="K41" i="13"/>
  <c r="I41" i="13"/>
  <c r="G41" i="13"/>
  <c r="E41" i="13"/>
  <c r="C41" i="13"/>
  <c r="B2" i="7"/>
  <c r="F2" i="4" l="1"/>
  <c r="R3" i="3"/>
  <c r="T3" i="3"/>
  <c r="D2" i="6"/>
  <c r="L3" i="3"/>
  <c r="D2" i="7"/>
  <c r="N3" i="3"/>
  <c r="B2" i="5"/>
  <c r="D3" i="3"/>
  <c r="B2" i="6"/>
  <c r="V3" i="3"/>
  <c r="H3" i="3"/>
  <c r="B2" i="4"/>
  <c r="F2" i="6"/>
  <c r="P3" i="3"/>
  <c r="D2" i="5"/>
  <c r="B3" i="3"/>
  <c r="F2" i="5"/>
  <c r="F3" i="3"/>
  <c r="J3" i="3"/>
  <c r="D2" i="4"/>
  <c r="K9" i="13"/>
  <c r="K8" i="13"/>
  <c r="I9" i="13"/>
  <c r="I8" i="13"/>
  <c r="G9" i="13"/>
  <c r="G8" i="13"/>
  <c r="E9" i="13"/>
  <c r="E8" i="13"/>
  <c r="K6" i="13"/>
  <c r="K5" i="13"/>
  <c r="K4" i="13"/>
  <c r="I6" i="13"/>
  <c r="I5" i="13"/>
  <c r="I4" i="13"/>
  <c r="G6" i="13"/>
  <c r="G5" i="13"/>
  <c r="G4" i="13"/>
  <c r="E6" i="13"/>
  <c r="E5" i="13"/>
  <c r="E4" i="13"/>
  <c r="C5" i="13"/>
  <c r="C6" i="13"/>
  <c r="C4" i="13"/>
  <c r="C9" i="13"/>
  <c r="C8" i="13"/>
  <c r="B19" i="11"/>
  <c r="B4" i="11"/>
  <c r="B3" i="11"/>
  <c r="L66" i="3"/>
  <c r="L67" i="3"/>
  <c r="L68" i="3"/>
  <c r="L69" i="3"/>
  <c r="J67" i="3"/>
  <c r="J65" i="3"/>
  <c r="H67" i="3"/>
  <c r="H69" i="3"/>
  <c r="J69" i="3" s="1"/>
  <c r="H65" i="3"/>
  <c r="B9" i="11" l="1"/>
  <c r="B12" i="11"/>
  <c r="B11" i="11"/>
  <c r="B22" i="11"/>
  <c r="B18" i="11"/>
  <c r="B17" i="11"/>
  <c r="B27" i="11" s="1"/>
  <c r="B10" i="11"/>
  <c r="B21" i="11" l="1"/>
  <c r="B23" i="11" s="1"/>
  <c r="B28" i="11" s="1"/>
  <c r="B29" i="11" s="1"/>
  <c r="B13" i="11"/>
  <c r="V42" i="3" l="1" a="1"/>
  <c r="V42" i="3" s="1"/>
  <c r="T42" i="3" a="1"/>
  <c r="T42" i="3" s="1"/>
  <c r="H51" i="3"/>
  <c r="H57" i="3"/>
  <c r="H59" i="3"/>
  <c r="H49" i="3"/>
  <c r="H53" i="3"/>
  <c r="H55" i="3"/>
  <c r="H61" i="3"/>
  <c r="H63" i="3"/>
  <c r="B45" i="3" l="1"/>
  <c r="C22" i="13" s="1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3" i="3"/>
  <c r="F40" i="3"/>
  <c r="H40" i="3"/>
  <c r="J37" i="3"/>
  <c r="L29" i="3"/>
  <c r="N35" i="3"/>
  <c r="P36" i="3"/>
  <c r="R35" i="3"/>
  <c r="B11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1" i="3"/>
  <c r="D34" i="3"/>
  <c r="B32" i="7"/>
  <c r="B23" i="7"/>
  <c r="B12" i="7"/>
  <c r="L21" i="3"/>
  <c r="B7" i="7"/>
  <c r="L13" i="3"/>
  <c r="B24" i="7"/>
  <c r="D9" i="3"/>
  <c r="D40" i="3"/>
  <c r="D10" i="3"/>
  <c r="P12" i="3"/>
  <c r="L37" i="3"/>
  <c r="L36" i="3"/>
  <c r="B38" i="5"/>
  <c r="B31" i="5"/>
  <c r="B20" i="5"/>
  <c r="B14" i="5"/>
  <c r="B12" i="5"/>
  <c r="B36" i="5"/>
  <c r="B30" i="5"/>
  <c r="F33" i="3"/>
  <c r="B23" i="5"/>
  <c r="B6" i="5"/>
  <c r="F8" i="3"/>
  <c r="B7" i="5"/>
  <c r="B39" i="5"/>
  <c r="B28" i="5"/>
  <c r="B22" i="5"/>
  <c r="B15" i="5"/>
  <c r="D25" i="5"/>
  <c r="P27" i="3"/>
  <c r="D26" i="5"/>
  <c r="D22" i="5"/>
  <c r="D35" i="5"/>
  <c r="D14" i="5"/>
  <c r="P11" i="3"/>
  <c r="P28" i="3"/>
  <c r="D39" i="5"/>
  <c r="D36" i="5"/>
  <c r="D32" i="5"/>
  <c r="D29" i="5"/>
  <c r="D19" i="5"/>
  <c r="D15" i="5"/>
  <c r="D10" i="5"/>
  <c r="P19" i="3"/>
  <c r="D38" i="5"/>
  <c r="D31" i="5"/>
  <c r="D28" i="5"/>
  <c r="D24" i="5"/>
  <c r="D21" i="5"/>
  <c r="D17" i="5"/>
  <c r="P34" i="3"/>
  <c r="P20" i="3"/>
  <c r="P35" i="3"/>
  <c r="D34" i="5"/>
  <c r="D13" i="5"/>
  <c r="D7" i="5"/>
  <c r="D18" i="5"/>
  <c r="D40" i="5"/>
  <c r="D37" i="5"/>
  <c r="D27" i="5"/>
  <c r="D16" i="5"/>
  <c r="B32" i="6"/>
  <c r="D9" i="5"/>
  <c r="B27" i="3"/>
  <c r="D33" i="5"/>
  <c r="D30" i="5"/>
  <c r="D23" i="5"/>
  <c r="D20" i="5"/>
  <c r="F36" i="6"/>
  <c r="F31" i="6"/>
  <c r="F23" i="6"/>
  <c r="F18" i="6"/>
  <c r="F32" i="6"/>
  <c r="B14" i="6"/>
  <c r="H23" i="3"/>
  <c r="H38" i="3"/>
  <c r="F9" i="3"/>
  <c r="D17" i="3"/>
  <c r="F24" i="3"/>
  <c r="F40" i="6"/>
  <c r="F35" i="6"/>
  <c r="B30" i="6"/>
  <c r="F26" i="6"/>
  <c r="B22" i="6"/>
  <c r="B17" i="6"/>
  <c r="F14" i="6"/>
  <c r="F9" i="6"/>
  <c r="F19" i="6"/>
  <c r="F39" i="3"/>
  <c r="H16" i="3"/>
  <c r="F17" i="3"/>
  <c r="H24" i="3"/>
  <c r="H31" i="3"/>
  <c r="F34" i="6"/>
  <c r="B25" i="6"/>
  <c r="F22" i="6"/>
  <c r="B8" i="6"/>
  <c r="H15" i="3"/>
  <c r="B18" i="3"/>
  <c r="D25" i="3"/>
  <c r="F32" i="3"/>
  <c r="H39" i="3"/>
  <c r="B38" i="6"/>
  <c r="B33" i="6"/>
  <c r="F30" i="6"/>
  <c r="F25" i="6"/>
  <c r="F21" i="6"/>
  <c r="F17" i="6"/>
  <c r="F13" i="6"/>
  <c r="D7" i="6"/>
  <c r="B28" i="7"/>
  <c r="B19" i="7"/>
  <c r="B11" i="7"/>
  <c r="F16" i="3"/>
  <c r="F41" i="3"/>
  <c r="B40" i="6"/>
  <c r="F27" i="6"/>
  <c r="B9" i="6"/>
  <c r="D18" i="3"/>
  <c r="F25" i="3"/>
  <c r="H32" i="3"/>
  <c r="F38" i="6"/>
  <c r="B24" i="6"/>
  <c r="B16" i="6"/>
  <c r="B6" i="6"/>
  <c r="B35" i="7"/>
  <c r="B27" i="7"/>
  <c r="H8" i="3"/>
  <c r="H7" i="3"/>
  <c r="D26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9" i="3"/>
  <c r="R26" i="3"/>
  <c r="R41" i="3"/>
  <c r="R11" i="3"/>
  <c r="R27" i="3"/>
  <c r="R34" i="3"/>
  <c r="R18" i="3"/>
  <c r="R10" i="3"/>
  <c r="B34" i="3"/>
  <c r="B10" i="3"/>
  <c r="B19" i="3"/>
  <c r="B41" i="3"/>
  <c r="B26" i="3"/>
  <c r="B35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H41" i="3"/>
  <c r="N36" i="3"/>
  <c r="J38" i="3"/>
  <c r="J23" i="3"/>
  <c r="L30" i="3"/>
  <c r="J39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41" i="3"/>
  <c r="L38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L41" i="3"/>
  <c r="J22" i="3"/>
  <c r="L22" i="3"/>
  <c r="J31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41" i="3"/>
  <c r="N28" i="3"/>
  <c r="L14" i="3"/>
  <c r="N29" i="3"/>
  <c r="N37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P33" i="3"/>
  <c r="N34" i="3"/>
  <c r="L35" i="3"/>
  <c r="J36" i="3"/>
  <c r="H37" i="3"/>
  <c r="F38" i="3"/>
  <c r="D39" i="3"/>
  <c r="B40" i="3"/>
  <c r="R40" i="3"/>
  <c r="P41" i="3"/>
  <c r="N12" i="3"/>
  <c r="J14" i="3"/>
  <c r="N20" i="3"/>
  <c r="J30" i="3"/>
  <c r="J7" i="3"/>
  <c r="N13" i="3"/>
  <c r="J15" i="3"/>
  <c r="N21" i="3"/>
  <c r="F7" i="3"/>
  <c r="D8" i="3"/>
  <c r="B9" i="3"/>
  <c r="R9" i="3"/>
  <c r="P10" i="3"/>
  <c r="N11" i="3"/>
  <c r="L12" i="3"/>
  <c r="J13" i="3"/>
  <c r="H14" i="3"/>
  <c r="F15" i="3"/>
  <c r="D16" i="3"/>
  <c r="B17" i="3"/>
  <c r="R17" i="3"/>
  <c r="P18" i="3"/>
  <c r="N19" i="3"/>
  <c r="L20" i="3"/>
  <c r="J21" i="3"/>
  <c r="H22" i="3"/>
  <c r="F23" i="3"/>
  <c r="D24" i="3"/>
  <c r="B25" i="3"/>
  <c r="R25" i="3"/>
  <c r="P26" i="3"/>
  <c r="N27" i="3"/>
  <c r="L28" i="3"/>
  <c r="J29" i="3"/>
  <c r="H30" i="3"/>
  <c r="F31" i="3"/>
  <c r="D32" i="3"/>
  <c r="B33" i="3"/>
  <c r="R33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2" i="3" a="1"/>
  <c r="P42" i="3" s="1"/>
  <c r="H42" i="3" a="1"/>
  <c r="H42" i="3" s="1"/>
  <c r="F42" i="3" a="1"/>
  <c r="F42" i="3" s="1"/>
  <c r="L42" i="3" a="1"/>
  <c r="L42" i="3" s="1"/>
  <c r="N42" i="3" a="1"/>
  <c r="N42" i="3" s="1"/>
  <c r="J42" i="3" a="1"/>
  <c r="J42" i="3" s="1"/>
  <c r="D42" i="3" a="1"/>
  <c r="D42" i="3" s="1"/>
  <c r="B42" i="3" a="1"/>
  <c r="B42" i="3" s="1"/>
  <c r="R42" i="3" a="1"/>
  <c r="R42" i="3" s="1"/>
  <c r="E44" i="3" l="1"/>
  <c r="B44" i="6"/>
  <c r="B44" i="4"/>
  <c r="B44" i="7"/>
  <c r="B44" i="5"/>
  <c r="B44" i="3"/>
  <c r="F44" i="3"/>
  <c r="C28" i="13" l="1"/>
  <c r="AE87" i="3"/>
  <c r="AE83" i="3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H62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F52" i="4"/>
  <c r="H52" i="4" s="1"/>
  <c r="F54" i="4"/>
  <c r="H54" i="4" s="1"/>
  <c r="F55" i="4"/>
  <c r="H55" i="4" s="1"/>
  <c r="F48" i="4"/>
  <c r="H48" i="4" s="1"/>
  <c r="F49" i="4"/>
  <c r="H49" i="4" s="1"/>
  <c r="F53" i="4"/>
  <c r="H53" i="4" s="1"/>
  <c r="F50" i="4"/>
  <c r="H50" i="4" s="1"/>
  <c r="F51" i="4"/>
  <c r="H51" i="4" s="1"/>
  <c r="G54" i="4"/>
  <c r="G52" i="4"/>
  <c r="G50" i="4"/>
  <c r="G48" i="4"/>
  <c r="F52" i="6"/>
  <c r="H52" i="6" s="1"/>
  <c r="J52" i="6" s="1"/>
  <c r="G48" i="6"/>
  <c r="F48" i="6"/>
  <c r="H48" i="6" s="1"/>
  <c r="J48" i="6" s="1"/>
  <c r="G50" i="6"/>
  <c r="G52" i="6"/>
  <c r="F50" i="6"/>
  <c r="G48" i="7"/>
  <c r="G50" i="7"/>
  <c r="F50" i="7"/>
  <c r="H50" i="7" s="1"/>
  <c r="F48" i="7"/>
  <c r="G50" i="5"/>
  <c r="F48" i="5"/>
  <c r="H48" i="5" s="1"/>
  <c r="G52" i="5"/>
  <c r="G48" i="5"/>
  <c r="F52" i="5"/>
  <c r="H52" i="5" s="1"/>
  <c r="F50" i="5"/>
  <c r="B2" i="8"/>
  <c r="G26" i="8" s="1"/>
  <c r="C31" i="13" l="1"/>
  <c r="C34" i="13"/>
  <c r="C30" i="13"/>
  <c r="H48" i="7"/>
  <c r="K48" i="7" s="1"/>
  <c r="H50" i="6"/>
  <c r="J50" i="6" s="1"/>
  <c r="X49" i="6" s="1"/>
  <c r="AE85" i="3"/>
  <c r="H50" i="5"/>
  <c r="J50" i="5" s="1"/>
  <c r="X49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K52" i="5"/>
  <c r="J52" i="5"/>
  <c r="K48" i="5"/>
  <c r="J48" i="5"/>
  <c r="K50" i="3"/>
  <c r="K50" i="7"/>
  <c r="J50" i="7"/>
  <c r="K62" i="3"/>
  <c r="J50" i="4"/>
  <c r="X49" i="4" s="1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J48" i="7" l="1"/>
  <c r="X49" i="7" s="1"/>
  <c r="X53" i="5"/>
  <c r="X51" i="5"/>
  <c r="G25" i="13" s="1"/>
  <c r="X58" i="5"/>
  <c r="X50" i="5"/>
  <c r="Z50" i="5" s="1"/>
  <c r="Z49" i="5"/>
  <c r="G23" i="13"/>
  <c r="X58" i="6"/>
  <c r="X51" i="6"/>
  <c r="I25" i="13" s="1"/>
  <c r="X50" i="6"/>
  <c r="Z50" i="6" s="1"/>
  <c r="X53" i="6"/>
  <c r="I23" i="13"/>
  <c r="Z49" i="6"/>
  <c r="X49" i="3"/>
  <c r="X53" i="4"/>
  <c r="F23" i="13" s="1"/>
  <c r="E23" i="13"/>
  <c r="X50" i="4"/>
  <c r="Z50" i="4" s="1"/>
  <c r="X58" i="4"/>
  <c r="X51" i="4"/>
  <c r="E25" i="13" s="1"/>
  <c r="Z49" i="4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X50" i="3" l="1"/>
  <c r="Z50" i="3" s="1"/>
  <c r="X53" i="3"/>
  <c r="X52" i="6"/>
  <c r="I26" i="13" s="1"/>
  <c r="X63" i="6"/>
  <c r="X69" i="6"/>
  <c r="X66" i="6"/>
  <c r="X65" i="6"/>
  <c r="X70" i="6"/>
  <c r="X67" i="6"/>
  <c r="X71" i="6"/>
  <c r="X73" i="6"/>
  <c r="X72" i="6"/>
  <c r="X68" i="6"/>
  <c r="X64" i="6"/>
  <c r="Z51" i="4"/>
  <c r="X52" i="5"/>
  <c r="G26" i="13" s="1"/>
  <c r="X63" i="5"/>
  <c r="X71" i="5"/>
  <c r="X69" i="5"/>
  <c r="X64" i="5"/>
  <c r="X72" i="5"/>
  <c r="X73" i="5"/>
  <c r="X68" i="5"/>
  <c r="X67" i="5"/>
  <c r="X66" i="5"/>
  <c r="X65" i="5"/>
  <c r="X70" i="5"/>
  <c r="X55" i="6"/>
  <c r="J25" i="13" s="1"/>
  <c r="X54" i="6"/>
  <c r="Z54" i="6" s="1"/>
  <c r="J23" i="13"/>
  <c r="Z53" i="6"/>
  <c r="X59" i="6"/>
  <c r="Z51" i="5"/>
  <c r="X54" i="4"/>
  <c r="Z54" i="4" s="1"/>
  <c r="X59" i="5"/>
  <c r="X54" i="5"/>
  <c r="Z54" i="5" s="1"/>
  <c r="H23" i="13"/>
  <c r="X55" i="5"/>
  <c r="H25" i="13" s="1"/>
  <c r="Z53" i="5"/>
  <c r="X55" i="4"/>
  <c r="F25" i="13" s="1"/>
  <c r="Z51" i="6"/>
  <c r="X58" i="7"/>
  <c r="X51" i="7"/>
  <c r="K25" i="13" s="1"/>
  <c r="X50" i="7"/>
  <c r="Z50" i="7" s="1"/>
  <c r="X53" i="7"/>
  <c r="K23" i="13"/>
  <c r="Z49" i="7"/>
  <c r="Z49" i="3"/>
  <c r="X51" i="3"/>
  <c r="C25" i="13" s="1"/>
  <c r="X58" i="3"/>
  <c r="X69" i="3" s="1"/>
  <c r="AE84" i="3"/>
  <c r="C23" i="13"/>
  <c r="X54" i="3"/>
  <c r="Z54" i="3" s="1"/>
  <c r="X70" i="4"/>
  <c r="X71" i="4"/>
  <c r="X52" i="4"/>
  <c r="E26" i="13" s="1"/>
  <c r="X64" i="4"/>
  <c r="X72" i="4"/>
  <c r="X65" i="4"/>
  <c r="X73" i="4"/>
  <c r="X66" i="4"/>
  <c r="X63" i="4"/>
  <c r="X67" i="4"/>
  <c r="X68" i="4"/>
  <c r="X69" i="4"/>
  <c r="Z53" i="4"/>
  <c r="X59" i="4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D23" i="13" l="1"/>
  <c r="X55" i="3"/>
  <c r="X59" i="3"/>
  <c r="Z53" i="3"/>
  <c r="Z51" i="3"/>
  <c r="L23" i="13"/>
  <c r="X55" i="7"/>
  <c r="L25" i="13" s="1"/>
  <c r="X54" i="7"/>
  <c r="Z54" i="7" s="1"/>
  <c r="Z53" i="7"/>
  <c r="X59" i="7"/>
  <c r="Z55" i="5"/>
  <c r="Z52" i="5"/>
  <c r="X56" i="6"/>
  <c r="J26" i="13" s="1"/>
  <c r="Y64" i="6"/>
  <c r="Y73" i="6"/>
  <c r="Y71" i="6"/>
  <c r="Y66" i="6"/>
  <c r="Y69" i="6"/>
  <c r="Y63" i="6"/>
  <c r="Y65" i="6"/>
  <c r="Y70" i="6"/>
  <c r="Y72" i="6"/>
  <c r="Y68" i="6"/>
  <c r="Y67" i="6"/>
  <c r="Z51" i="7"/>
  <c r="X52" i="7"/>
  <c r="K26" i="13" s="1"/>
  <c r="X63" i="7"/>
  <c r="X70" i="7"/>
  <c r="X72" i="7"/>
  <c r="X69" i="7"/>
  <c r="X65" i="7"/>
  <c r="X68" i="7"/>
  <c r="X64" i="7"/>
  <c r="X71" i="7"/>
  <c r="X73" i="7"/>
  <c r="X66" i="7"/>
  <c r="X67" i="7"/>
  <c r="X56" i="5"/>
  <c r="H26" i="13" s="1"/>
  <c r="Y63" i="5"/>
  <c r="Y70" i="5"/>
  <c r="Y72" i="5"/>
  <c r="Y69" i="5"/>
  <c r="Y67" i="5"/>
  <c r="Y65" i="5"/>
  <c r="Y64" i="5"/>
  <c r="Y71" i="5"/>
  <c r="Y73" i="5"/>
  <c r="Y66" i="5"/>
  <c r="Y68" i="5"/>
  <c r="Z55" i="6"/>
  <c r="Z55" i="4"/>
  <c r="Z52" i="4"/>
  <c r="Z52" i="6"/>
  <c r="X67" i="3"/>
  <c r="X65" i="3"/>
  <c r="X64" i="3"/>
  <c r="X71" i="3"/>
  <c r="X73" i="3"/>
  <c r="X63" i="3"/>
  <c r="X68" i="3"/>
  <c r="X66" i="3"/>
  <c r="X52" i="3"/>
  <c r="X70" i="3"/>
  <c r="X72" i="3"/>
  <c r="Y67" i="4"/>
  <c r="Y73" i="4"/>
  <c r="Y66" i="4"/>
  <c r="Y68" i="4"/>
  <c r="Y65" i="4"/>
  <c r="Y69" i="4"/>
  <c r="Y70" i="4"/>
  <c r="Y71" i="4"/>
  <c r="Y64" i="4"/>
  <c r="Y72" i="4"/>
  <c r="Y63" i="4"/>
  <c r="X56" i="4"/>
  <c r="F26" i="13" s="1"/>
  <c r="C51" i="8"/>
  <c r="B51" i="8" s="1"/>
  <c r="J50" i="8"/>
  <c r="K50" i="8" s="1"/>
  <c r="D50" i="8"/>
  <c r="C34" i="8"/>
  <c r="G40" i="8"/>
  <c r="J52" i="8"/>
  <c r="I53" i="8"/>
  <c r="H53" i="8" s="1"/>
  <c r="Z52" i="3" l="1"/>
  <c r="C26" i="13"/>
  <c r="X56" i="3"/>
  <c r="Y70" i="3"/>
  <c r="Y63" i="3"/>
  <c r="Y67" i="3"/>
  <c r="Y65" i="3"/>
  <c r="Y68" i="3"/>
  <c r="Y64" i="3"/>
  <c r="Y71" i="3"/>
  <c r="Y72" i="3"/>
  <c r="Y66" i="3"/>
  <c r="Y69" i="3"/>
  <c r="Y73" i="3"/>
  <c r="D25" i="13"/>
  <c r="Z55" i="3"/>
  <c r="X56" i="7"/>
  <c r="L26" i="13" s="1"/>
  <c r="Y71" i="7"/>
  <c r="Y73" i="7"/>
  <c r="Y67" i="7"/>
  <c r="Y69" i="7"/>
  <c r="Y63" i="7"/>
  <c r="Y68" i="7"/>
  <c r="Y65" i="7"/>
  <c r="Y70" i="7"/>
  <c r="Y64" i="7"/>
  <c r="Y72" i="7"/>
  <c r="Y66" i="7"/>
  <c r="Z56" i="4"/>
  <c r="Z56" i="5"/>
  <c r="Z56" i="6"/>
  <c r="Z55" i="7"/>
  <c r="Z52" i="7"/>
  <c r="D51" i="8"/>
  <c r="E50" i="8" s="1"/>
  <c r="C52" i="8"/>
  <c r="B52" i="8" s="1"/>
  <c r="K51" i="8"/>
  <c r="J53" i="8"/>
  <c r="K52" i="8" s="1"/>
  <c r="I54" i="8"/>
  <c r="H54" i="8" s="1"/>
  <c r="D26" i="13" l="1"/>
  <c r="Z56" i="3"/>
  <c r="Z56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/>
  <c r="H84" i="8" s="1"/>
  <c r="J83" i="8"/>
  <c r="K82" i="8" l="1"/>
  <c r="E82" i="8"/>
  <c r="B84" i="8"/>
  <c r="C85" i="8"/>
  <c r="D84" i="8"/>
  <c r="I85" i="8"/>
  <c r="H85" i="8" s="1"/>
  <c r="J84" i="8"/>
  <c r="C86" i="8" l="1"/>
  <c r="D85" i="8"/>
  <c r="B85" i="8"/>
  <c r="E83" i="8"/>
  <c r="I86" i="8"/>
  <c r="H86" i="8" s="1"/>
  <c r="J85" i="8"/>
  <c r="K83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E394" i="8" s="1"/>
  <c r="K393" i="8"/>
  <c r="I396" i="8"/>
  <c r="H396" i="8" s="1"/>
  <c r="J395" i="8"/>
  <c r="K394" i="8" s="1"/>
  <c r="B396" i="8" l="1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E548" i="8" s="1"/>
  <c r="I550" i="8"/>
  <c r="H550" i="8" s="1"/>
  <c r="J549" i="8"/>
  <c r="B550" i="8" l="1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E569" i="8" s="1"/>
  <c r="K568" i="8"/>
  <c r="I571" i="8"/>
  <c r="H571" i="8" s="1"/>
  <c r="J570" i="8"/>
  <c r="B571" i="8" l="1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E694" i="8" s="1"/>
  <c r="I696" i="8"/>
  <c r="H696" i="8" s="1"/>
  <c r="J695" i="8"/>
  <c r="D696" i="8" l="1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E707" i="8" s="1"/>
  <c r="I709" i="8"/>
  <c r="H709" i="8" s="1"/>
  <c r="J708" i="8"/>
  <c r="K706" i="8"/>
  <c r="B709" i="8" l="1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E763" i="8" s="1"/>
  <c r="I765" i="8"/>
  <c r="H765" i="8" s="1"/>
  <c r="J764" i="8"/>
  <c r="K762" i="8"/>
  <c r="B765" i="8" l="1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E983" i="8" s="1"/>
  <c r="I985" i="8"/>
  <c r="H985" i="8" s="1"/>
  <c r="J984" i="8"/>
  <c r="K983" i="8" s="1"/>
  <c r="D985" i="8" l="1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E1309" i="8" s="1"/>
  <c r="C1311" i="8"/>
  <c r="I1311" i="8"/>
  <c r="H1311" i="8" s="1"/>
  <c r="J1310" i="8"/>
  <c r="K1308" i="8"/>
  <c r="C1312" i="8" l="1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E1475" i="8" s="1"/>
  <c r="I1477" i="8"/>
  <c r="H1477" i="8" s="1"/>
  <c r="J1476" i="8"/>
  <c r="K1474" i="8"/>
  <c r="C1478" i="8" l="1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E1776" i="8" s="1"/>
  <c r="C1778" i="8"/>
  <c r="I1778" i="8"/>
  <c r="H1778" i="8" s="1"/>
  <c r="J1777" i="8"/>
  <c r="K1775" i="8"/>
  <c r="D1778" i="8" l="1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E1887" i="8" s="1"/>
  <c r="I1889" i="8"/>
  <c r="H1889" i="8" s="1"/>
  <c r="J1888" i="8"/>
  <c r="K1887" i="8" s="1"/>
  <c r="K1886" i="8"/>
  <c r="B1889" i="8" l="1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9" i="8" s="1"/>
  <c r="E1998" i="8"/>
  <c r="I2001" i="8"/>
  <c r="H2001" i="8" s="1"/>
  <c r="J2000" i="8"/>
  <c r="K1998" i="8"/>
  <c r="B2001" i="8" l="1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<sst xmlns="http://schemas.openxmlformats.org/spreadsheetml/2006/main" count="879" uniqueCount="322">
  <si>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</si>
  <si>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</si>
  <si>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</si>
  <si>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</si>
  <si>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</si>
  <si>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</si>
  <si>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</si>
  <si>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</si>
  <si>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</si>
  <si>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</si>
  <si>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</si>
  <si>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</si>
  <si>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</si>
  <si>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</si>
  <si>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</si>
  <si>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</si>
  <si>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</si>
  <si>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</si>
  <si>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</si>
  <si>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</si>
  <si>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</si>
  <si>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</si>
  <si>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</si>
  <si>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</si>
  <si>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</si>
  <si>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</si>
  <si>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</si>
  <si>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</si>
  <si>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</si>
  <si>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</si>
  <si>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</si>
  <si>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</si>
  <si>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</si>
  <si>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</si>
  <si>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</si>
  <si>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</si>
  <si>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</si>
  <si>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</si>
  <si>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</si>
  <si>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</si>
  <si>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</si>
  <si>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</si>
  <si>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</si>
  <si>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</si>
  <si>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</si>
  <si>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</si>
  <si>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</si>
  <si>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</si>
  <si>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</si>
  <si>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</si>
  <si>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</si>
  <si>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</si>
  <si>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</si>
  <si>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</si>
  <si>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</si>
  <si>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</si>
  <si>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</si>
  <si>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</si>
  <si>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</si>
  <si>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</si>
  <si>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</si>
  <si>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</si>
  <si>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</si>
  <si>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</si>
  <si>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</si>
  <si>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</si>
  <si>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</si>
  <si>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</si>
  <si>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</si>
  <si>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</si>
  <si>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</si>
  <si>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</si>
  <si>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</si>
  <si>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</si>
  <si>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</si>
  <si>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</si>
  <si>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</si>
  <si>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</si>
  <si>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</si>
  <si>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</si>
  <si>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</si>
  <si>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</si>
  <si>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</si>
  <si>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</si>
  <si>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</si>
  <si>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</si>
  <si>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</si>
  <si>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</si>
  <si>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</si>
  <si>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</si>
  <si>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</si>
  <si>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</si>
  <si>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</si>
  <si>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</si>
  <si>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</si>
  <si>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</si>
  <si>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</si>
  <si>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</si>
  <si>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</si>
  <si>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</si>
  <si>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</si>
  <si>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</si>
  <si>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</si>
  <si>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</si>
  <si>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</si>
  <si>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</si>
  <si>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</si>
  <si>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</si>
  <si>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</si>
  <si>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</si>
  <si>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</si>
  <si>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</si>
  <si>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</si>
  <si>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</si>
  <si>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</si>
  <si>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</si>
  <si>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</si>
  <si>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</si>
  <si>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</si>
  <si>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</si>
  <si>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</si>
  <si>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</si>
  <si>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</si>
  <si>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</si>
  <si>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</si>
  <si>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</si>
  <si>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</si>
  <si>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</si>
  <si>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</si>
  <si>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</si>
  <si>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</si>
  <si>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</si>
  <si>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Truelev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</si>
  <si>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</si>
  <si>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</si>
  <si>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</si>
  <si>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</si>
  <si>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</si>
  <si>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</si>
  <si>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</si>
  <si>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</si>
  <si>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</si>
  <si>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</si>
  <si>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</si>
  <si>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</si>
  <si>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</si>
  <si>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</si>
  <si>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</si>
  <si>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</si>
  <si>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</si>
  <si>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</si>
  <si>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</si>
  <si>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</si>
  <si>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</si>
  <si>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</si>
  <si>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</si>
  <si>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</si>
  <si>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</si>
  <si>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</si>
  <si>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</si>
  <si>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</si>
  <si>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</si>
  <si>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</si>
  <si>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</si>
  <si>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</si>
  <si>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</si>
  <si>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</si>
  <si>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</si>
  <si>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</si>
  <si>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</si>
  <si>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</si>
  <si>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</si>
  <si>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</si>
  <si>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</si>
  <si>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</si>
  <si>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</si>
  <si>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</si>
  <si>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</si>
  <si>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</si>
  <si>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</si>
  <si>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</si>
  <si>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</si>
  <si>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</si>
  <si>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</si>
  <si>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</si>
  <si>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</si>
  <si>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</si>
  <si>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</si>
  <si>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</si>
  <si>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Minimum working volume</t>
  </si>
  <si>
    <t>Nominal volume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</si>
  <si>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</si>
  <si>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</si>
  <si>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</si>
  <si>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</si>
  <si>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</si>
  <si>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</si>
  <si>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</si>
  <si>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</si>
  <si>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</si>
  <si>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</si>
  <si>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</si>
  <si>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</si>
  <si>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Rekommenderad mixer 1:a hand</t>
  </si>
  <si>
    <t>Rekommenderad mixer 2:a hand</t>
  </si>
  <si>
    <t>Type of mixing</t>
  </si>
  <si>
    <t>Vortex</t>
  </si>
  <si>
    <t>Vigorous</t>
  </si>
  <si>
    <t>General</t>
  </si>
  <si>
    <t>Other mixing - Particle size reduction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</si>
  <si>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</si>
  <si>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</si>
  <si>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</si>
  <si>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</si>
  <si>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</si>
  <si>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</si>
  <si>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</si>
  <si>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</si>
  <si>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</si>
  <si>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</si>
  <si>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</si>
  <si>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</si>
  <si>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</si>
  <si>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</si>
  <si>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</si>
  <si>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</si>
  <si>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</si>
  <si>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</si>
  <si>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</si>
  <si>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</si>
  <si>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</si>
  <si>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</si>
  <si>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</si>
  <si>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</si>
  <si>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</si>
  <si>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</si>
  <si>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</si>
  <si>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</si>
  <si>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</si>
  <si>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</si>
  <si>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</si>
  <si>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</si>
  <si>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</si>
  <si>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</si>
  <si>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</si>
  <si>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</si>
  <si>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</si>
  <si>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</si>
  <si>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</si>
  <si>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</si>
  <si>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</si>
  <si>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</si>
  <si>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</si>
  <si>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</si>
  <si>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</si>
  <si>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</si>
  <si>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</si>
  <si>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</si>
  <si>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</si>
  <si>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</si>
  <si>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</si>
  <si>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</si>
  <si>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</si>
  <si>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</si>
  <si>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</si>
  <si>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</si>
  <si>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</si>
  <si>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</si>
  <si>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</si>
  <si>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</si>
  <si>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</si>
  <si>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</si>
  <si>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</si>
  <si>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(O-rings)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</si>
  <si>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</si>
  <si>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</si>
  <si>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</si>
  <si>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</si>
  <si>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</si>
  <si>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</si>
  <si>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</si>
  <si>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</si>
  <si>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</si>
  <si>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</si>
  <si>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</si>
  <si>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</si>
  <si>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</si>
  <si>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</si>
  <si>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</si>
  <si>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</si>
  <si>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</si>
  <si>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</si>
  <si>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</si>
  <si>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</si>
  <si>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</si>
  <si>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</si>
  <si>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</si>
  <si>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</si>
  <si>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</si>
  <si>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</si>
  <si>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</si>
  <si>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zgp5</t>
  </si>
  <si>
    <t>Indicative blending time</t>
  </si>
  <si>
    <t>Mix Head and Tank Plate</t>
  </si>
  <si>
    <t>zg5</t>
  </si>
  <si>
    <t>Upstream - Media prep: Floating powder mixing</t>
  </si>
  <si>
    <t>Upstream - Media prep: Sinking powder mixing</t>
  </si>
  <si>
    <t>NA</t>
  </si>
  <si>
    <t xml:space="preserve">Downstream - Buffer prep: Dissolve salt </t>
  </si>
  <si>
    <t>Downstream - Buffer hold: Keep suspension</t>
  </si>
  <si>
    <t>Downstream - Product hold: Shear sensitive</t>
  </si>
  <si>
    <t>Downstream - Product hold: Keep suspension, Non-shear sensitive</t>
  </si>
  <si>
    <t>Downstream - Final bulk: Keep suspension, Shear sensitive</t>
  </si>
  <si>
    <t>Downstream - Final bulk: Keep suspension, Non-shear sensitive</t>
  </si>
  <si>
    <t>Downstream - Tablet coating: Cellulose - Powder mixing</t>
  </si>
  <si>
    <t>Downstream - Tablet coating: Oil based - emulsification</t>
  </si>
  <si>
    <t>Other mixing -  Strong Acid or bases mixing in plastic vessel</t>
  </si>
  <si>
    <t>Other mixing -  Strong Acid or bases mixing in high alloy vessel</t>
  </si>
  <si>
    <t>#14</t>
  </si>
  <si>
    <t>#15</t>
  </si>
  <si>
    <t>No choice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</si>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</sst>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42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52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6" xfId="0" applyFill="1" applyBorder="1"/>
    <xf numFmtId="0" fontId="0" fillId="11" borderId="46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0" fillId="11" borderId="4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40" xfId="0" quotePrefix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0.28791428410149189</c:v>
                </c:pt>
                <c:pt idx="2">
                  <c:v>0.57582856820298378</c:v>
                </c:pt>
                <c:pt idx="3">
                  <c:v>0.86374285230447567</c:v>
                </c:pt>
                <c:pt idx="4">
                  <c:v>1.1516571364059676</c:v>
                </c:pt>
                <c:pt idx="5">
                  <c:v>1.4395714205074595</c:v>
                </c:pt>
                <c:pt idx="6">
                  <c:v>1.7274857046089513</c:v>
                </c:pt>
                <c:pt idx="7">
                  <c:v>2.0153999887104432</c:v>
                </c:pt>
                <c:pt idx="8">
                  <c:v>2.3033142728119351</c:v>
                </c:pt>
                <c:pt idx="9">
                  <c:v>2.591228556913427</c:v>
                </c:pt>
                <c:pt idx="10">
                  <c:v>2.8791428410149189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0.28791428410149189</c:v>
                </c:pt>
                <c:pt idx="2">
                  <c:v>0.57582856820298378</c:v>
                </c:pt>
                <c:pt idx="3">
                  <c:v>0.86374285230447567</c:v>
                </c:pt>
                <c:pt idx="4">
                  <c:v>1.1516571364059676</c:v>
                </c:pt>
                <c:pt idx="5">
                  <c:v>1.4395714205074595</c:v>
                </c:pt>
                <c:pt idx="6">
                  <c:v>1.7274857046089513</c:v>
                </c:pt>
                <c:pt idx="7">
                  <c:v>2.0153999887104432</c:v>
                </c:pt>
                <c:pt idx="8">
                  <c:v>2.3033142728119351</c:v>
                </c:pt>
                <c:pt idx="9">
                  <c:v>2.591228556913427</c:v>
                </c:pt>
                <c:pt idx="10">
                  <c:v>2.8791428410149189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419100</xdr:colOff>
      <xdr:row>49</xdr:row>
      <xdr:rowOff>214312</xdr:rowOff>
    </xdr:from>
    <xdr:to>
      <xdr:col>34</xdr:col>
      <xdr:colOff>590550</xdr:colOff>
      <xdr:row>64</xdr:row>
      <xdr:rowOff>166687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19</xdr:row>
      <xdr:rowOff>209550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6" totalsRowShown="0" headerRowDxfId="67">
  <autoFilter ref="A1:F16" xr:uid="{7395098D-495A-41B3-9849-D9F205106A5A}"/>
  <tableColumns count="6">
    <tableColumn id="6" xr3:uid="{489E3052-5B45-41B4-AB09-0C67493C2916}" name="Process Code" dataDxfId="66"/>
    <tableColumn id="1" xr3:uid="{9EF84E1A-CE86-49D7-98DE-6EE5E9A9D0FC}" name="Main Mixing purpose" dataDxfId="65"/>
    <tableColumn id="2" xr3:uid="{A1253C65-3F32-49D4-BBAB-23DA70E29DF4}" name="Rekommenderad mixer 1:a hand"/>
    <tableColumn id="3" xr3:uid="{54799859-032E-4A48-AF9F-7E28A5BE68EB}" name="Rekommenderad mixer 2:a hand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6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63">
  <autoFilter ref="A1:A5" xr:uid="{CB1EDA48-69B9-403D-A645-3051FDDDC4AC}"/>
  <tableColumns count="1">
    <tableColumn id="1" xr3:uid="{000B208C-5652-4FBE-B808-A25AC178E1E4}" name="O-rings" dataDxfId="6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61">
  <autoFilter ref="A1:A3" xr:uid="{CB1EDA48-69B9-403D-A645-3051FDDDC4AC}"/>
  <tableColumns count="1">
    <tableColumn id="1" xr3:uid="{2BC780CA-1595-46DA-B773-836E8AFCF258}" name="O-rings" dataDxfId="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P65"/>
  <sheetViews>
    <sheetView topLeftCell="C1" zoomScale="115" zoomScaleNormal="115" workbookViewId="0">
      <selection activeCell="D3" sqref="D3:E3"/>
    </sheetView>
  </sheetViews>
  <sheetFormatPr defaultRowHeight="15" x14ac:dyDescent="0.25"/>
  <cols>
    <col min="2" max="2" width="9.28515625" customWidth="1"/>
    <col min="3" max="3" width="26.5703125" customWidth="1"/>
    <col min="4" max="4" width="18.7109375" bestFit="1" customWidth="1"/>
    <col min="5" max="5" width="17.5703125" bestFit="1" customWidth="1"/>
    <col min="6" max="6" width="18.28515625" bestFit="1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3:16" x14ac:dyDescent="0.25">
      <c r="F1" s="192"/>
      <c r="G1" s="192"/>
      <c r="H1" s="192"/>
    </row>
    <row r="2" spans="3:16" x14ac:dyDescent="0.25">
      <c r="C2" s="193" t="s">
        <v>0</v>
      </c>
      <c r="D2" s="194"/>
      <c r="E2" s="195"/>
      <c r="F2" s="53"/>
      <c r="G2" s="82"/>
    </row>
    <row r="3" spans="3:16" x14ac:dyDescent="0.25">
      <c r="C3" s="120" t="s">
        <v>197</v>
      </c>
      <c r="D3" s="197" t="s">
        <v>217</v>
      </c>
      <c r="E3" s="197"/>
      <c r="F3" s="53"/>
      <c r="G3" s="53"/>
    </row>
    <row r="4" spans="3:16" x14ac:dyDescent="0.25">
      <c r="C4" s="120" t="s">
        <v>196</v>
      </c>
      <c r="D4" s="198"/>
      <c r="E4" s="198"/>
      <c r="F4" s="53"/>
    </row>
    <row r="5" spans="3:16" x14ac:dyDescent="0.25">
      <c r="C5" s="120" t="s">
        <v>195</v>
      </c>
      <c r="D5" s="198"/>
      <c r="E5" s="198"/>
      <c r="F5" s="53"/>
    </row>
    <row r="6" spans="3:16" x14ac:dyDescent="0.25">
      <c r="C6" s="120" t="s">
        <v>202</v>
      </c>
      <c r="D6" s="198"/>
      <c r="E6" s="198"/>
      <c r="F6" s="53"/>
    </row>
    <row r="7" spans="3:16" x14ac:dyDescent="0.25">
      <c r="C7" s="120" t="s">
        <v>199</v>
      </c>
      <c r="D7" s="198" t="s">
        <v>168</v>
      </c>
      <c r="E7" s="198"/>
      <c r="F7" s="53"/>
    </row>
    <row r="8" spans="3:16" x14ac:dyDescent="0.25">
      <c r="C8" s="120" t="s">
        <v>200</v>
      </c>
      <c r="D8" s="198" t="s">
        <v>201</v>
      </c>
      <c r="E8" s="198"/>
      <c r="F8" s="53"/>
    </row>
    <row r="9" spans="3:16" x14ac:dyDescent="0.25">
      <c r="C9" s="3" t="s">
        <v>1</v>
      </c>
      <c r="D9" s="3">
        <v>1003</v>
      </c>
      <c r="E9" s="3" t="s">
        <v>7</v>
      </c>
      <c r="F9" s="53"/>
    </row>
    <row r="10" spans="3:16" x14ac:dyDescent="0.25">
      <c r="C10" s="3" t="s">
        <v>156</v>
      </c>
      <c r="D10" s="3">
        <v>5</v>
      </c>
      <c r="E10" s="3" t="s">
        <v>7</v>
      </c>
      <c r="F10" s="53"/>
    </row>
    <row r="11" spans="3:16" x14ac:dyDescent="0.25">
      <c r="C11" s="3" t="s">
        <v>190</v>
      </c>
      <c r="D11" s="3">
        <v>2000</v>
      </c>
      <c r="E11" s="3" t="s">
        <v>12</v>
      </c>
      <c r="F11" s="53"/>
    </row>
    <row r="12" spans="3:16" x14ac:dyDescent="0.25">
      <c r="C12" s="3" t="s">
        <v>2</v>
      </c>
      <c r="D12" s="3">
        <v>500</v>
      </c>
      <c r="E12" s="3" t="s">
        <v>12</v>
      </c>
      <c r="F12" s="53"/>
    </row>
    <row r="13" spans="3:16" x14ac:dyDescent="0.25">
      <c r="C13" s="3" t="s">
        <v>186</v>
      </c>
      <c r="D13" s="3" t="str">
        <f>VLOOKUP($D$3,Tabell15[],5,FALSE)</f>
        <v>Gentle</v>
      </c>
      <c r="E13" s="3"/>
      <c r="F13" s="53"/>
    </row>
    <row r="14" spans="3:16" x14ac:dyDescent="0.25">
      <c r="C14" s="3" t="s">
        <v>4</v>
      </c>
      <c r="D14" s="3">
        <v>1001</v>
      </c>
      <c r="E14" s="3" t="s">
        <v>130</v>
      </c>
      <c r="F14" s="53"/>
    </row>
    <row r="15" spans="3:16" x14ac:dyDescent="0.25">
      <c r="C15" s="3" t="s">
        <v>3</v>
      </c>
      <c r="D15" s="3">
        <v>1</v>
      </c>
      <c r="E15" s="3" t="s">
        <v>131</v>
      </c>
      <c r="F15" s="53"/>
    </row>
    <row r="16" spans="3:16" x14ac:dyDescent="0.25">
      <c r="C16" s="197" t="s">
        <v>182</v>
      </c>
      <c r="D16" s="197"/>
      <c r="E16" s="197"/>
      <c r="F16" s="53"/>
      <c r="O16" s="3" t="s">
        <v>149</v>
      </c>
      <c r="P16" s="3"/>
    </row>
    <row r="17" spans="2:16" x14ac:dyDescent="0.25">
      <c r="C17" s="3" t="s">
        <v>274</v>
      </c>
      <c r="D17" s="3" t="s">
        <v>141</v>
      </c>
      <c r="E17" s="3"/>
      <c r="F17" s="53"/>
      <c r="O17" s="3" t="s">
        <v>143</v>
      </c>
      <c r="P17" s="3" t="s">
        <v>151</v>
      </c>
    </row>
    <row r="18" spans="2:16" x14ac:dyDescent="0.25">
      <c r="C18" s="197" t="s">
        <v>173</v>
      </c>
      <c r="D18" s="197"/>
      <c r="E18" s="197"/>
      <c r="F18" s="53"/>
      <c r="O18" s="3"/>
      <c r="P18" s="3"/>
    </row>
    <row r="19" spans="2:16" x14ac:dyDescent="0.25">
      <c r="C19" s="3" t="s">
        <v>273</v>
      </c>
      <c r="D19" s="3"/>
      <c r="E19" s="3"/>
      <c r="F19" s="53"/>
      <c r="O19" s="3"/>
      <c r="P19" s="3"/>
    </row>
    <row r="20" spans="2:16" x14ac:dyDescent="0.25">
      <c r="C20" s="3" t="s">
        <v>252</v>
      </c>
      <c r="D20" s="3" t="s">
        <v>144</v>
      </c>
      <c r="E20" s="3"/>
      <c r="F20" s="53"/>
      <c r="O20" s="3"/>
      <c r="P20" s="3"/>
    </row>
    <row r="21" spans="2:16" x14ac:dyDescent="0.25">
      <c r="C21" s="3" t="s">
        <v>276</v>
      </c>
      <c r="D21" s="125" t="s">
        <v>278</v>
      </c>
      <c r="E21" s="3"/>
      <c r="F21" s="53"/>
      <c r="O21" s="3"/>
      <c r="P21" s="3"/>
    </row>
    <row r="22" spans="2:16" x14ac:dyDescent="0.25">
      <c r="C22" s="3" t="s">
        <v>253</v>
      </c>
      <c r="D22" s="3" t="s">
        <v>254</v>
      </c>
      <c r="E22" s="3"/>
      <c r="F22" s="53"/>
      <c r="O22" s="3"/>
      <c r="P22" s="3"/>
    </row>
    <row r="23" spans="2:16" x14ac:dyDescent="0.25">
      <c r="C23" s="3" t="s">
        <v>277</v>
      </c>
      <c r="D23" s="3" t="s">
        <v>278</v>
      </c>
      <c r="E23" s="3"/>
      <c r="F23" s="53"/>
      <c r="O23" s="3"/>
      <c r="P23" s="3"/>
    </row>
    <row r="24" spans="2:16" x14ac:dyDescent="0.25">
      <c r="C24" s="3" t="s">
        <v>267</v>
      </c>
      <c r="D24" s="3" t="s">
        <v>280</v>
      </c>
      <c r="E24" s="3"/>
      <c r="F24" s="53"/>
      <c r="O24" s="3"/>
      <c r="P24" s="3"/>
    </row>
    <row r="25" spans="2:16" x14ac:dyDescent="0.25">
      <c r="F25" s="53"/>
      <c r="O25" s="3"/>
      <c r="P25" s="3"/>
    </row>
    <row r="26" spans="2:16" x14ac:dyDescent="0.25">
      <c r="E26" t="s">
        <v>288</v>
      </c>
      <c r="F26" s="53"/>
      <c r="O26" s="3" t="s">
        <v>143</v>
      </c>
      <c r="P26" s="3" t="s">
        <v>154</v>
      </c>
    </row>
    <row r="27" spans="2:16" ht="20.100000000000001" customHeight="1" x14ac:dyDescent="0.25">
      <c r="B27" s="196" t="s">
        <v>134</v>
      </c>
      <c r="C27" s="3" t="s">
        <v>268</v>
      </c>
      <c r="D27" s="3" t="s">
        <v>304</v>
      </c>
      <c r="E27" s="3"/>
      <c r="F27" s="53"/>
      <c r="O27" s="3" t="s">
        <v>143</v>
      </c>
      <c r="P27" s="3" t="s">
        <v>152</v>
      </c>
    </row>
    <row r="28" spans="2:16" ht="20.100000000000001" customHeight="1" x14ac:dyDescent="0.25">
      <c r="B28" s="196"/>
      <c r="C28" s="3" t="s">
        <v>269</v>
      </c>
      <c r="D28" s="3" t="s">
        <v>301</v>
      </c>
      <c r="E28" s="3"/>
      <c r="O28" s="3" t="s">
        <v>143</v>
      </c>
      <c r="P28" s="3" t="s">
        <v>153</v>
      </c>
    </row>
    <row r="29" spans="2:16" ht="20.100000000000001" customHeight="1" x14ac:dyDescent="0.25">
      <c r="B29" s="196"/>
      <c r="C29" s="3" t="s">
        <v>270</v>
      </c>
      <c r="D29" s="3" t="s">
        <v>28</v>
      </c>
      <c r="E29" s="3"/>
      <c r="O29" s="3" t="s">
        <v>150</v>
      </c>
      <c r="P29" s="3"/>
    </row>
    <row r="30" spans="2:16" ht="20.100000000000001" customHeight="1" x14ac:dyDescent="0.25">
      <c r="B30" s="196"/>
      <c r="C30" s="3" t="s">
        <v>271</v>
      </c>
      <c r="D30" s="3" t="s">
        <v>31</v>
      </c>
      <c r="E30" s="3"/>
      <c r="F30" s="53"/>
      <c r="O30" s="3"/>
      <c r="P30" s="3"/>
    </row>
    <row r="31" spans="2:16" ht="20.100000000000001" customHeight="1" x14ac:dyDescent="0.25">
      <c r="B31" s="196"/>
      <c r="C31" s="3" t="s">
        <v>272</v>
      </c>
      <c r="D31" s="3" t="s">
        <v>33</v>
      </c>
      <c r="E31" s="3"/>
      <c r="F31" s="53"/>
      <c r="O31" s="3"/>
      <c r="P31" s="3"/>
    </row>
    <row r="35" spans="2:7" x14ac:dyDescent="0.25">
      <c r="B35" s="7"/>
      <c r="C35" s="11"/>
      <c r="D35" s="53"/>
      <c r="E35" s="53"/>
      <c r="F35" s="53"/>
      <c r="G35" s="53"/>
    </row>
    <row r="36" spans="2:7" x14ac:dyDescent="0.25">
      <c r="B36" s="121"/>
      <c r="C36" s="53"/>
    </row>
    <row r="37" spans="2:7" x14ac:dyDescent="0.25">
      <c r="B37" s="121"/>
      <c r="C37" s="53"/>
    </row>
    <row r="38" spans="2:7" x14ac:dyDescent="0.25">
      <c r="B38" s="121"/>
      <c r="C38" s="53"/>
    </row>
    <row r="39" spans="2:7" x14ac:dyDescent="0.25">
      <c r="B39" s="121"/>
      <c r="C39" s="53"/>
    </row>
    <row r="40" spans="2:7" x14ac:dyDescent="0.25">
      <c r="B40" s="121"/>
      <c r="C40" s="53"/>
    </row>
    <row r="41" spans="2:7" x14ac:dyDescent="0.25">
      <c r="B41" s="121"/>
      <c r="C41" s="53"/>
    </row>
    <row r="42" spans="2:7" x14ac:dyDescent="0.25">
      <c r="B42" s="121"/>
      <c r="C42" s="53"/>
    </row>
    <row r="43" spans="2:7" x14ac:dyDescent="0.25">
      <c r="B43" s="121"/>
      <c r="C43" s="53"/>
    </row>
    <row r="44" spans="2:7" x14ac:dyDescent="0.25">
      <c r="B44" s="121"/>
      <c r="C44" s="53"/>
    </row>
    <row r="45" spans="2:7" x14ac:dyDescent="0.25">
      <c r="B45" s="121"/>
      <c r="C45" s="53"/>
    </row>
    <row r="46" spans="2:7" x14ac:dyDescent="0.25">
      <c r="B46" s="121"/>
      <c r="C46" s="53"/>
    </row>
    <row r="47" spans="2:7" x14ac:dyDescent="0.25">
      <c r="B47" s="121"/>
      <c r="C47" s="53"/>
    </row>
    <row r="48" spans="2:7" x14ac:dyDescent="0.25">
      <c r="B48" s="121"/>
      <c r="C48" s="53"/>
    </row>
    <row r="49" spans="2:5" x14ac:dyDescent="0.25">
      <c r="B49" s="121"/>
      <c r="C49" s="53"/>
    </row>
    <row r="50" spans="2:5" ht="20.25" customHeight="1" x14ac:dyDescent="0.25">
      <c r="B50" s="192"/>
      <c r="C50" s="192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2">
    <mergeCell ref="B50:C50"/>
    <mergeCell ref="F1:H1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List'!$A$2:$A$16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5"/>
  <sheetViews>
    <sheetView topLeftCell="A2" zoomScale="115" zoomScaleNormal="115" workbookViewId="0">
      <selection activeCell="D7" sqref="D7"/>
    </sheetView>
  </sheetViews>
  <sheetFormatPr defaultRowHeight="15" x14ac:dyDescent="0.25"/>
  <cols>
    <col min="2" max="2" width="32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7" ht="30" x14ac:dyDescent="0.25">
      <c r="A1" s="7" t="s">
        <v>212</v>
      </c>
      <c r="B1" s="7" t="s">
        <v>211</v>
      </c>
      <c r="C1" s="53" t="s">
        <v>203</v>
      </c>
      <c r="D1" s="53" t="s">
        <v>204</v>
      </c>
      <c r="E1" s="53" t="s">
        <v>205</v>
      </c>
      <c r="F1" s="53" t="s">
        <v>206</v>
      </c>
    </row>
    <row r="2" spans="1:7" ht="30" x14ac:dyDescent="0.25">
      <c r="A2" s="121" t="s">
        <v>213</v>
      </c>
      <c r="B2" s="53" t="s">
        <v>305</v>
      </c>
      <c r="C2" t="s">
        <v>125</v>
      </c>
      <c r="D2" t="s">
        <v>127</v>
      </c>
      <c r="E2" t="s">
        <v>207</v>
      </c>
      <c r="F2" t="s">
        <v>168</v>
      </c>
      <c r="G2" s="82"/>
    </row>
    <row r="3" spans="1:7" ht="30" x14ac:dyDescent="0.25">
      <c r="A3" s="121" t="s">
        <v>214</v>
      </c>
      <c r="B3" s="53" t="s">
        <v>306</v>
      </c>
      <c r="C3" t="s">
        <v>125</v>
      </c>
      <c r="D3" t="s">
        <v>127</v>
      </c>
      <c r="E3" t="s">
        <v>208</v>
      </c>
      <c r="F3" t="s">
        <v>307</v>
      </c>
      <c r="G3" s="53"/>
    </row>
    <row r="4" spans="1:7" ht="30" x14ac:dyDescent="0.25">
      <c r="A4" s="121" t="s">
        <v>215</v>
      </c>
      <c r="B4" s="53" t="s">
        <v>308</v>
      </c>
      <c r="C4" t="s">
        <v>125</v>
      </c>
      <c r="D4" t="s">
        <v>127</v>
      </c>
      <c r="E4" t="s">
        <v>207</v>
      </c>
      <c r="F4" t="s">
        <v>307</v>
      </c>
      <c r="G4" s="53"/>
    </row>
    <row r="5" spans="1:7" ht="30" x14ac:dyDescent="0.25">
      <c r="A5" s="121" t="s">
        <v>216</v>
      </c>
      <c r="B5" s="53" t="s">
        <v>309</v>
      </c>
      <c r="C5" t="s">
        <v>125</v>
      </c>
      <c r="D5" t="s">
        <v>127</v>
      </c>
      <c r="E5" t="s">
        <v>208</v>
      </c>
      <c r="F5" t="s">
        <v>307</v>
      </c>
    </row>
    <row r="6" spans="1:7" ht="30" x14ac:dyDescent="0.25">
      <c r="A6" s="121" t="s">
        <v>217</v>
      </c>
      <c r="B6" s="53" t="s">
        <v>310</v>
      </c>
      <c r="C6" t="s">
        <v>132</v>
      </c>
      <c r="D6" t="s">
        <v>125</v>
      </c>
      <c r="E6" t="s">
        <v>148</v>
      </c>
      <c r="F6" t="s">
        <v>201</v>
      </c>
    </row>
    <row r="7" spans="1:7" ht="45" x14ac:dyDescent="0.25">
      <c r="A7" s="121" t="s">
        <v>218</v>
      </c>
      <c r="B7" s="53" t="s">
        <v>311</v>
      </c>
      <c r="C7" t="s">
        <v>125</v>
      </c>
      <c r="D7" t="s">
        <v>137</v>
      </c>
      <c r="E7" t="s">
        <v>208</v>
      </c>
      <c r="F7" t="s">
        <v>201</v>
      </c>
    </row>
    <row r="8" spans="1:7" ht="30" x14ac:dyDescent="0.25">
      <c r="A8" s="121" t="s">
        <v>219</v>
      </c>
      <c r="B8" s="53" t="s">
        <v>312</v>
      </c>
      <c r="C8" t="s">
        <v>132</v>
      </c>
      <c r="D8" t="s">
        <v>125</v>
      </c>
      <c r="E8" t="s">
        <v>148</v>
      </c>
      <c r="F8" t="s">
        <v>201</v>
      </c>
    </row>
    <row r="9" spans="1:7" ht="45" x14ac:dyDescent="0.25">
      <c r="A9" s="121" t="s">
        <v>220</v>
      </c>
      <c r="B9" s="53" t="s">
        <v>313</v>
      </c>
      <c r="C9" t="s">
        <v>125</v>
      </c>
      <c r="D9" t="s">
        <v>137</v>
      </c>
      <c r="E9" t="s">
        <v>208</v>
      </c>
      <c r="F9" t="s">
        <v>201</v>
      </c>
    </row>
    <row r="10" spans="1:7" ht="30" x14ac:dyDescent="0.25">
      <c r="A10" s="121" t="s">
        <v>221</v>
      </c>
      <c r="B10" s="53" t="s">
        <v>314</v>
      </c>
      <c r="C10" t="s">
        <v>127</v>
      </c>
      <c r="D10" t="s">
        <v>125</v>
      </c>
      <c r="E10" t="s">
        <v>207</v>
      </c>
      <c r="F10" t="s">
        <v>168</v>
      </c>
    </row>
    <row r="11" spans="1:7" ht="30" x14ac:dyDescent="0.25">
      <c r="A11" s="121" t="s">
        <v>222</v>
      </c>
      <c r="B11" s="53" t="s">
        <v>315</v>
      </c>
      <c r="C11" t="s">
        <v>128</v>
      </c>
      <c r="D11" t="s">
        <v>137</v>
      </c>
      <c r="E11" t="s">
        <v>208</v>
      </c>
      <c r="F11" t="s">
        <v>168</v>
      </c>
    </row>
    <row r="12" spans="1:7" ht="30" x14ac:dyDescent="0.25">
      <c r="A12" s="121" t="s">
        <v>223</v>
      </c>
      <c r="B12" s="53" t="s">
        <v>209</v>
      </c>
      <c r="C12" t="s">
        <v>128</v>
      </c>
      <c r="D12" t="s">
        <v>137</v>
      </c>
      <c r="E12" t="s">
        <v>208</v>
      </c>
      <c r="F12" t="s">
        <v>307</v>
      </c>
    </row>
    <row r="13" spans="1:7" ht="30" x14ac:dyDescent="0.25">
      <c r="A13" s="121" t="s">
        <v>224</v>
      </c>
      <c r="B13" s="53" t="s">
        <v>316</v>
      </c>
      <c r="C13" t="s">
        <v>126</v>
      </c>
      <c r="D13" t="s">
        <v>137</v>
      </c>
      <c r="E13" t="s">
        <v>208</v>
      </c>
      <c r="F13" t="s">
        <v>307</v>
      </c>
    </row>
    <row r="14" spans="1:7" ht="45" x14ac:dyDescent="0.25">
      <c r="A14" s="121" t="s">
        <v>225</v>
      </c>
      <c r="B14" s="53" t="s">
        <v>317</v>
      </c>
      <c r="C14" t="s">
        <v>321</v>
      </c>
      <c r="D14" t="s">
        <v>137</v>
      </c>
      <c r="E14" t="s">
        <v>208</v>
      </c>
      <c r="F14" t="s">
        <v>307</v>
      </c>
    </row>
    <row r="15" spans="1:7" x14ac:dyDescent="0.25">
      <c r="A15" s="121" t="s">
        <v>318</v>
      </c>
      <c r="B15" s="53" t="s">
        <v>210</v>
      </c>
      <c r="C15" t="s">
        <v>321</v>
      </c>
      <c r="E15" t="s">
        <v>208</v>
      </c>
      <c r="F15" t="s">
        <v>201</v>
      </c>
    </row>
    <row r="16" spans="1:7" x14ac:dyDescent="0.25">
      <c r="A16" s="121" t="s">
        <v>319</v>
      </c>
      <c r="B16" s="53" t="s">
        <v>320</v>
      </c>
      <c r="C16" t="s">
        <v>321</v>
      </c>
      <c r="E16" t="s">
        <v>208</v>
      </c>
      <c r="F16" t="s">
        <v>307</v>
      </c>
    </row>
    <row r="17" spans="2:16" x14ac:dyDescent="0.25">
      <c r="F17" s="53"/>
    </row>
    <row r="18" spans="2:16" x14ac:dyDescent="0.25">
      <c r="F18" s="53"/>
      <c r="O18" s="3" t="s">
        <v>149</v>
      </c>
      <c r="P18" s="3"/>
    </row>
    <row r="19" spans="2:16" x14ac:dyDescent="0.25">
      <c r="F19" s="53"/>
      <c r="O19" s="3" t="s">
        <v>143</v>
      </c>
      <c r="P19" s="3" t="s">
        <v>151</v>
      </c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/>
      <c r="P24" s="3"/>
    </row>
    <row r="25" spans="2:16" x14ac:dyDescent="0.25">
      <c r="F25" s="53"/>
      <c r="O25" s="3"/>
      <c r="P25" s="3"/>
    </row>
    <row r="26" spans="2:16" x14ac:dyDescent="0.25">
      <c r="F26" s="53"/>
      <c r="O26" s="3" t="s">
        <v>143</v>
      </c>
      <c r="P26" s="3" t="s">
        <v>154</v>
      </c>
    </row>
    <row r="27" spans="2:16" ht="20.100000000000001" customHeight="1" x14ac:dyDescent="0.25">
      <c r="B27" s="128"/>
      <c r="F27" s="53"/>
      <c r="O27" s="3" t="s">
        <v>143</v>
      </c>
      <c r="P27" s="3" t="s">
        <v>152</v>
      </c>
    </row>
    <row r="28" spans="2:16" ht="20.100000000000001" customHeight="1" x14ac:dyDescent="0.25">
      <c r="B28" s="128"/>
      <c r="O28" s="3" t="s">
        <v>143</v>
      </c>
      <c r="P28" s="3" t="s">
        <v>153</v>
      </c>
    </row>
    <row r="29" spans="2:16" ht="20.100000000000001" customHeight="1" x14ac:dyDescent="0.25">
      <c r="B29" s="128"/>
      <c r="O29" s="3" t="s">
        <v>150</v>
      </c>
      <c r="P29" s="3"/>
    </row>
    <row r="30" spans="2:16" ht="20.100000000000001" customHeight="1" x14ac:dyDescent="0.25">
      <c r="B30" s="128"/>
      <c r="O30" s="3"/>
      <c r="P30" s="3"/>
    </row>
    <row r="31" spans="2:16" ht="20.100000000000001" customHeight="1" x14ac:dyDescent="0.25">
      <c r="B31" s="128"/>
      <c r="O31" s="3"/>
      <c r="P31" s="3"/>
    </row>
    <row r="49" spans="2:5" x14ac:dyDescent="0.25">
      <c r="B49" s="121"/>
      <c r="C49" s="53"/>
    </row>
    <row r="50" spans="2:5" ht="20.25" customHeight="1" x14ac:dyDescent="0.25">
      <c r="B50" s="192"/>
      <c r="C50" s="192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">
    <mergeCell ref="B50:C50"/>
  </mergeCells>
  <phoneticPr fontId="15" type="noConversion"/>
  <dataValidations count="4">
    <dataValidation type="list" allowBlank="1" showInputMessage="1" showErrorMessage="1" sqref="D22" xr:uid="{EEC9F5A3-4E1D-4C83-B9E0-EBC28A88747B}">
      <formula1>"IP55,IP66"</formula1>
    </dataValidation>
    <dataValidation type="list" allowBlank="1" showInputMessage="1" showErrorMessage="1" sqref="D21" xr:uid="{6E0BD13F-7DA3-4248-BF1C-982B05EB305E}">
      <formula1>$E$52:$E$55</formula1>
    </dataValidation>
    <dataValidation type="list" allowBlank="1" showInputMessage="1" showErrorMessage="1" sqref="D19" xr:uid="{8BEF27F3-F1C1-4902-8EDD-98960E23A4E1}">
      <formula1>$B$52:$B$65</formula1>
    </dataValidation>
    <dataValidation type="list" allowBlank="1" showInputMessage="1" showErrorMessage="1" sqref="D23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226</v>
      </c>
      <c r="B1" t="s">
        <v>227</v>
      </c>
      <c r="G1" s="82"/>
    </row>
    <row r="2" spans="1:16" x14ac:dyDescent="0.25">
      <c r="A2" t="s">
        <v>137</v>
      </c>
      <c r="B2" t="s">
        <v>234</v>
      </c>
      <c r="G2" s="53"/>
    </row>
    <row r="3" spans="1:16" x14ac:dyDescent="0.25">
      <c r="A3" t="s">
        <v>139</v>
      </c>
      <c r="B3" t="s">
        <v>235</v>
      </c>
    </row>
    <row r="4" spans="1:16" x14ac:dyDescent="0.25">
      <c r="A4" t="s">
        <v>140</v>
      </c>
      <c r="B4" t="s">
        <v>236</v>
      </c>
    </row>
    <row r="5" spans="1:16" x14ac:dyDescent="0.25">
      <c r="A5" t="s">
        <v>72</v>
      </c>
      <c r="B5" t="s">
        <v>237</v>
      </c>
    </row>
    <row r="6" spans="1:16" x14ac:dyDescent="0.25">
      <c r="A6" t="s">
        <v>141</v>
      </c>
      <c r="B6" t="s">
        <v>238</v>
      </c>
    </row>
    <row r="7" spans="1:16" x14ac:dyDescent="0.25">
      <c r="A7" t="s">
        <v>142</v>
      </c>
      <c r="B7" t="s">
        <v>239</v>
      </c>
    </row>
    <row r="8" spans="1:16" x14ac:dyDescent="0.25">
      <c r="A8" t="s">
        <v>145</v>
      </c>
      <c r="B8" t="s">
        <v>240</v>
      </c>
    </row>
    <row r="9" spans="1:16" x14ac:dyDescent="0.25">
      <c r="A9" t="s">
        <v>228</v>
      </c>
      <c r="B9" t="s">
        <v>241</v>
      </c>
    </row>
    <row r="10" spans="1:16" x14ac:dyDescent="0.25">
      <c r="A10" t="s">
        <v>229</v>
      </c>
      <c r="B10" t="s">
        <v>242</v>
      </c>
    </row>
    <row r="11" spans="1:16" x14ac:dyDescent="0.25">
      <c r="A11" t="s">
        <v>230</v>
      </c>
      <c r="B11" t="s">
        <v>243</v>
      </c>
    </row>
    <row r="12" spans="1:16" x14ac:dyDescent="0.25">
      <c r="A12" t="s">
        <v>231</v>
      </c>
      <c r="B12" t="s">
        <v>244</v>
      </c>
    </row>
    <row r="13" spans="1:16" ht="45" x14ac:dyDescent="0.25">
      <c r="A13" t="s">
        <v>12</v>
      </c>
      <c r="B13" s="53" t="s">
        <v>245</v>
      </c>
    </row>
    <row r="14" spans="1:16" ht="30" x14ac:dyDescent="0.25">
      <c r="A14" t="s">
        <v>232</v>
      </c>
      <c r="B14" s="53" t="s">
        <v>246</v>
      </c>
      <c r="F14" s="53"/>
    </row>
    <row r="15" spans="1:16" ht="30" x14ac:dyDescent="0.25">
      <c r="A15" t="s">
        <v>233</v>
      </c>
      <c r="B15" s="53" t="s">
        <v>247</v>
      </c>
      <c r="F15" s="53"/>
      <c r="O15" s="3" t="s">
        <v>149</v>
      </c>
      <c r="P15" s="3"/>
    </row>
    <row r="16" spans="1:16" x14ac:dyDescent="0.25">
      <c r="F16" s="53"/>
      <c r="O16" s="3" t="s">
        <v>143</v>
      </c>
      <c r="P16" s="3" t="s">
        <v>151</v>
      </c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 t="s">
        <v>143</v>
      </c>
      <c r="P23" s="3" t="s">
        <v>154</v>
      </c>
    </row>
    <row r="24" spans="2:16" ht="20.100000000000001" customHeight="1" x14ac:dyDescent="0.25">
      <c r="B24" s="128"/>
      <c r="F24" s="53"/>
      <c r="O24" s="3" t="s">
        <v>143</v>
      </c>
      <c r="P24" s="3" t="s">
        <v>152</v>
      </c>
    </row>
    <row r="25" spans="2:16" ht="20.100000000000001" customHeight="1" x14ac:dyDescent="0.25">
      <c r="B25" s="128"/>
      <c r="O25" s="3" t="s">
        <v>143</v>
      </c>
      <c r="P25" s="3" t="s">
        <v>153</v>
      </c>
    </row>
    <row r="26" spans="2:16" ht="20.100000000000001" customHeight="1" x14ac:dyDescent="0.25">
      <c r="B26" s="128"/>
      <c r="O26" s="3" t="s">
        <v>150</v>
      </c>
      <c r="P26" s="3"/>
    </row>
    <row r="27" spans="2:16" ht="20.100000000000001" customHeight="1" x14ac:dyDescent="0.25">
      <c r="B27" s="128"/>
      <c r="O27" s="3"/>
      <c r="P27" s="3"/>
    </row>
    <row r="28" spans="2:16" ht="20.100000000000001" customHeight="1" x14ac:dyDescent="0.25">
      <c r="B28" s="128"/>
      <c r="O28" s="3"/>
      <c r="P28" s="3"/>
    </row>
    <row r="46" spans="2:3" x14ac:dyDescent="0.25">
      <c r="B46" s="121"/>
      <c r="C46" s="53"/>
    </row>
    <row r="47" spans="2:3" ht="20.25" customHeight="1" x14ac:dyDescent="0.25"/>
    <row r="49" spans="5:5" x14ac:dyDescent="0.25">
      <c r="E49" s="53"/>
    </row>
    <row r="50" spans="5:5" x14ac:dyDescent="0.25">
      <c r="E50" s="53"/>
    </row>
    <row r="51" spans="5:5" x14ac:dyDescent="0.25">
      <c r="E51" s="53"/>
    </row>
    <row r="52" spans="5:5" x14ac:dyDescent="0.2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143</v>
      </c>
      <c r="B1" s="7"/>
      <c r="C1" s="53"/>
      <c r="D1" s="53"/>
      <c r="E1" s="53"/>
      <c r="F1" s="53"/>
    </row>
    <row r="2" spans="1:16" ht="30" x14ac:dyDescent="0.25">
      <c r="A2" s="53" t="s">
        <v>248</v>
      </c>
      <c r="B2" s="53"/>
      <c r="G2" s="82"/>
    </row>
    <row r="3" spans="1:16" ht="30" x14ac:dyDescent="0.25">
      <c r="A3" s="53" t="s">
        <v>249</v>
      </c>
      <c r="B3" s="53"/>
      <c r="G3" s="53"/>
    </row>
    <row r="4" spans="1:16" ht="30" x14ac:dyDescent="0.25">
      <c r="A4" s="53" t="s">
        <v>250</v>
      </c>
      <c r="B4" s="53"/>
    </row>
    <row r="5" spans="1:16" ht="30" x14ac:dyDescent="0.25">
      <c r="A5" s="53" t="s">
        <v>251</v>
      </c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A13" s="121"/>
      <c r="B13" s="53"/>
    </row>
    <row r="14" spans="1:16" x14ac:dyDescent="0.25">
      <c r="A14" s="121"/>
      <c r="B14" s="53"/>
    </row>
    <row r="15" spans="1:16" x14ac:dyDescent="0.25">
      <c r="F15" s="53"/>
    </row>
    <row r="16" spans="1:16" x14ac:dyDescent="0.25">
      <c r="F16" s="53"/>
      <c r="O16" s="3" t="s">
        <v>149</v>
      </c>
      <c r="P16" s="3"/>
    </row>
    <row r="17" spans="2:16" x14ac:dyDescent="0.25">
      <c r="F17" s="53"/>
      <c r="O17" s="3" t="s">
        <v>143</v>
      </c>
      <c r="P17" s="3" t="s">
        <v>151</v>
      </c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 t="s">
        <v>143</v>
      </c>
      <c r="P24" s="3" t="s">
        <v>154</v>
      </c>
    </row>
    <row r="25" spans="2:16" ht="20.100000000000001" customHeight="1" x14ac:dyDescent="0.25">
      <c r="B25" s="128"/>
      <c r="F25" s="53"/>
      <c r="O25" s="3" t="s">
        <v>143</v>
      </c>
      <c r="P25" s="3" t="s">
        <v>152</v>
      </c>
    </row>
    <row r="26" spans="2:16" ht="20.100000000000001" customHeight="1" x14ac:dyDescent="0.25">
      <c r="B26" s="128"/>
      <c r="O26" s="3" t="s">
        <v>143</v>
      </c>
      <c r="P26" s="3" t="s">
        <v>153</v>
      </c>
    </row>
    <row r="27" spans="2:16" ht="20.100000000000001" customHeight="1" x14ac:dyDescent="0.25">
      <c r="B27" s="128"/>
      <c r="O27" s="3" t="s">
        <v>150</v>
      </c>
      <c r="P27" s="3"/>
    </row>
    <row r="28" spans="2:16" ht="20.100000000000001" customHeight="1" x14ac:dyDescent="0.25">
      <c r="B28" s="128"/>
      <c r="O28" s="3"/>
      <c r="P28" s="3"/>
    </row>
    <row r="29" spans="2:16" ht="20.100000000000001" customHeight="1" x14ac:dyDescent="0.25">
      <c r="B29" s="128"/>
      <c r="O29" s="3"/>
      <c r="P29" s="3"/>
    </row>
    <row r="47" spans="2:3" x14ac:dyDescent="0.25">
      <c r="B47" s="121"/>
      <c r="C47" s="53"/>
    </row>
    <row r="48" spans="2:3" ht="20.25" customHeight="1" x14ac:dyDescent="0.25">
      <c r="B48" s="192"/>
      <c r="C48" s="192"/>
    </row>
    <row r="61" spans="3:3" x14ac:dyDescent="0.25">
      <c r="C61" s="53"/>
    </row>
    <row r="62" spans="3:3" x14ac:dyDescent="0.25">
      <c r="C62" s="53"/>
    </row>
    <row r="63" spans="3:3" x14ac:dyDescent="0.25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143</v>
      </c>
      <c r="B1" s="7"/>
      <c r="C1" s="53"/>
      <c r="D1" s="53"/>
      <c r="E1" s="53"/>
      <c r="F1" s="53"/>
    </row>
    <row r="2" spans="1:16" x14ac:dyDescent="0.25">
      <c r="A2" s="53" t="s">
        <v>279</v>
      </c>
      <c r="B2" s="53"/>
      <c r="G2" s="82"/>
    </row>
    <row r="3" spans="1:16" x14ac:dyDescent="0.25">
      <c r="A3" s="53" t="s">
        <v>144</v>
      </c>
      <c r="B3" s="53"/>
      <c r="G3" s="53"/>
    </row>
    <row r="4" spans="1:16" x14ac:dyDescent="0.25">
      <c r="A4" s="121"/>
      <c r="B4" s="53"/>
    </row>
    <row r="5" spans="1:16" x14ac:dyDescent="0.25">
      <c r="A5" s="121"/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F13" s="53"/>
    </row>
    <row r="14" spans="1:16" x14ac:dyDescent="0.25">
      <c r="F14" s="53"/>
      <c r="O14" s="3" t="s">
        <v>149</v>
      </c>
      <c r="P14" s="3"/>
    </row>
    <row r="15" spans="1:16" x14ac:dyDescent="0.25">
      <c r="F15" s="53"/>
      <c r="O15" s="3" t="s">
        <v>143</v>
      </c>
      <c r="P15" s="3" t="s">
        <v>151</v>
      </c>
    </row>
    <row r="16" spans="1:16" x14ac:dyDescent="0.25">
      <c r="F16" s="53"/>
      <c r="O16" s="3"/>
      <c r="P16" s="3"/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 t="s">
        <v>143</v>
      </c>
      <c r="P22" s="3" t="s">
        <v>154</v>
      </c>
    </row>
    <row r="23" spans="2:16" ht="20.100000000000001" customHeight="1" x14ac:dyDescent="0.25">
      <c r="B23" s="128"/>
      <c r="F23" s="53"/>
      <c r="O23" s="3" t="s">
        <v>143</v>
      </c>
      <c r="P23" s="3" t="s">
        <v>152</v>
      </c>
    </row>
    <row r="24" spans="2:16" ht="20.100000000000001" customHeight="1" x14ac:dyDescent="0.25">
      <c r="B24" s="128"/>
      <c r="O24" s="3" t="s">
        <v>143</v>
      </c>
      <c r="P24" s="3" t="s">
        <v>153</v>
      </c>
    </row>
    <row r="25" spans="2:16" ht="20.100000000000001" customHeight="1" x14ac:dyDescent="0.25">
      <c r="B25" s="128"/>
      <c r="O25" s="3" t="s">
        <v>150</v>
      </c>
      <c r="P25" s="3"/>
    </row>
    <row r="26" spans="2:16" ht="20.100000000000001" customHeight="1" x14ac:dyDescent="0.25">
      <c r="B26" s="128"/>
      <c r="O26" s="3"/>
      <c r="P26" s="3"/>
    </row>
    <row r="27" spans="2:16" ht="20.100000000000001" customHeight="1" x14ac:dyDescent="0.25">
      <c r="B27" s="128"/>
      <c r="O27" s="3"/>
      <c r="P27" s="3"/>
    </row>
    <row r="45" spans="2:3" x14ac:dyDescent="0.25">
      <c r="B45" s="121"/>
      <c r="C45" s="53"/>
    </row>
    <row r="46" spans="2:3" ht="20.25" customHeight="1" x14ac:dyDescent="0.25">
      <c r="B46" s="192"/>
      <c r="C46" s="192"/>
    </row>
    <row r="59" spans="3:3" x14ac:dyDescent="0.25">
      <c r="C59" s="53"/>
    </row>
    <row r="60" spans="3:3" x14ac:dyDescent="0.25">
      <c r="C60" s="53"/>
    </row>
    <row r="61" spans="3:3" x14ac:dyDescent="0.25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2"/>
  <sheetViews>
    <sheetView tabSelected="1" topLeftCell="A9" zoomScaleNormal="100" workbookViewId="0">
      <selection activeCell="I17" sqref="I17:J17"/>
    </sheetView>
  </sheetViews>
  <sheetFormatPr defaultRowHeight="15" x14ac:dyDescent="0.25"/>
  <cols>
    <col min="1" max="1" width="19.85546875" bestFit="1" customWidth="1"/>
    <col min="2" max="2" width="19.85546875" style="53" bestFit="1" customWidth="1"/>
    <col min="3" max="3" width="21" style="53" customWidth="1"/>
    <col min="4" max="4" width="16.28515625" style="53" customWidth="1"/>
    <col min="5" max="7" width="13.7109375" style="53" customWidth="1"/>
    <col min="8" max="12" width="13.7109375" customWidth="1"/>
    <col min="15" max="15" width="11.7109375" bestFit="1" customWidth="1"/>
  </cols>
  <sheetData>
    <row r="1" spans="2:37" ht="15.75" thickBot="1" x14ac:dyDescent="0.3">
      <c r="B1" s="119"/>
      <c r="C1" s="210" t="s">
        <v>125</v>
      </c>
      <c r="D1" s="211"/>
      <c r="E1" s="210" t="s">
        <v>126</v>
      </c>
      <c r="F1" s="211"/>
      <c r="G1" s="210" t="s">
        <v>127</v>
      </c>
      <c r="H1" s="215"/>
      <c r="I1" s="210" t="s">
        <v>128</v>
      </c>
      <c r="J1" s="211"/>
      <c r="K1" s="210" t="s">
        <v>129</v>
      </c>
      <c r="L1" s="211"/>
      <c r="M1" s="53"/>
      <c r="N1" s="53"/>
      <c r="O1" s="53"/>
    </row>
    <row r="2" spans="2:37" x14ac:dyDescent="0.25">
      <c r="B2" s="212" t="s">
        <v>198</v>
      </c>
      <c r="C2" s="213"/>
      <c r="D2" s="213"/>
      <c r="E2" s="213"/>
      <c r="F2" s="213"/>
      <c r="G2" s="213"/>
      <c r="H2" s="213"/>
      <c r="I2" s="213"/>
      <c r="J2" s="213"/>
      <c r="K2" s="213"/>
      <c r="L2" s="214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</row>
    <row r="3" spans="2:37" ht="36.75" customHeight="1" x14ac:dyDescent="0.25">
      <c r="B3" s="114" t="s">
        <v>197</v>
      </c>
      <c r="C3" s="199" t="str">
        <f>VLOOKUP(Input!$D$3,'Main Mixing Purpose List'!$A$2:$F$16,2,FALSE)</f>
        <v>Downstream - Product hold: Shear sensitive</v>
      </c>
      <c r="D3" s="200"/>
      <c r="E3" s="199" t="str">
        <f>VLOOKUP(Input!$D$3,'Main Mixing Purpose List'!$A$2:$F$16,2,FALSE)</f>
        <v>Downstream - Product hold: Shear sensitive</v>
      </c>
      <c r="F3" s="200"/>
      <c r="G3" s="199" t="str">
        <f>VLOOKUP(Input!$D$3,'Main Mixing Purpose List'!$A$2:$F$16,2,FALSE)</f>
        <v>Downstream - Product hold: Shear sensitive</v>
      </c>
      <c r="H3" s="207"/>
      <c r="I3" s="199" t="str">
        <f>VLOOKUP(Input!$D$3,'Main Mixing Purpose List'!$A$2:$F$16,2,FALSE)</f>
        <v>Downstream - Product hold: Shear sensitive</v>
      </c>
      <c r="J3" s="200"/>
      <c r="K3" s="199" t="str">
        <f>VLOOKUP(Input!$D$3,'Main Mixing Purpose List'!$A$2:$F$16,2,FALSE)</f>
        <v>Downstream - Product hold: Shear sensitive</v>
      </c>
      <c r="L3" s="200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</row>
    <row r="4" spans="2:37" x14ac:dyDescent="0.25">
      <c r="B4" s="114" t="s">
        <v>196</v>
      </c>
      <c r="C4" s="199" t="str">
        <f>IF(Input!$D$4=0,"",Input!$D$4)</f>
        <v/>
      </c>
      <c r="D4" s="200"/>
      <c r="E4" s="199" t="str">
        <f>IF(Input!$D$4=0,"",Input!$D$4)</f>
        <v/>
      </c>
      <c r="F4" s="200"/>
      <c r="G4" s="199" t="str">
        <f>IF(Input!$D$4=0,"",Input!$D$4)</f>
        <v/>
      </c>
      <c r="H4" s="207"/>
      <c r="I4" s="199" t="str">
        <f>IF(Input!$D$4=0,"",Input!$D$4)</f>
        <v/>
      </c>
      <c r="J4" s="200"/>
      <c r="K4" s="199" t="str">
        <f>IF(Input!$D$4=0,"",Input!$D$4)</f>
        <v/>
      </c>
      <c r="L4" s="200"/>
    </row>
    <row r="5" spans="2:37" x14ac:dyDescent="0.25">
      <c r="B5" s="114" t="s">
        <v>195</v>
      </c>
      <c r="C5" s="199" t="str">
        <f>IF(Input!$D$6=0,"",Input!$D$6)</f>
        <v/>
      </c>
      <c r="D5" s="200"/>
      <c r="E5" s="199" t="str">
        <f>IF(Input!$D$6=0,"",Input!$D$6)</f>
        <v/>
      </c>
      <c r="F5" s="200"/>
      <c r="G5" s="199" t="str">
        <f>IF(Input!$D$6=0,"",Input!$D$6)</f>
        <v/>
      </c>
      <c r="H5" s="207"/>
      <c r="I5" s="199" t="str">
        <f>IF(Input!$D$6=0,"",Input!$D$6)</f>
        <v/>
      </c>
      <c r="J5" s="200"/>
      <c r="K5" s="199" t="str">
        <f>IF(Input!$D$6=0,"",Input!$D$6)</f>
        <v/>
      </c>
      <c r="L5" s="200"/>
    </row>
    <row r="6" spans="2:37" x14ac:dyDescent="0.25">
      <c r="B6" s="114" t="s">
        <v>194</v>
      </c>
      <c r="C6" s="199" t="str">
        <f>IF(Input!$D$5=0,"",Input!$D$5)</f>
        <v/>
      </c>
      <c r="D6" s="200"/>
      <c r="E6" s="199" t="str">
        <f>IF(Input!$D$5=0,"",Input!$D$5)</f>
        <v/>
      </c>
      <c r="F6" s="200"/>
      <c r="G6" s="199" t="str">
        <f>IF(Input!$D$5=0,"",Input!$D$5)</f>
        <v/>
      </c>
      <c r="H6" s="207"/>
      <c r="I6" s="199" t="str">
        <f>IF(Input!$D$5=0,"",Input!$D$5)</f>
        <v/>
      </c>
      <c r="J6" s="200"/>
      <c r="K6" s="199" t="str">
        <f>IF(Input!$D$5=0,"",Input!$D$5)</f>
        <v/>
      </c>
      <c r="L6" s="200"/>
    </row>
    <row r="7" spans="2:37" ht="21.75" customHeight="1" x14ac:dyDescent="0.25">
      <c r="B7" s="203" t="s">
        <v>124</v>
      </c>
      <c r="C7" s="204"/>
      <c r="D7" s="204"/>
      <c r="E7" s="204"/>
      <c r="F7" s="204"/>
      <c r="G7" s="204"/>
      <c r="H7" s="204"/>
      <c r="I7" s="204"/>
      <c r="J7" s="204"/>
      <c r="K7" s="204"/>
      <c r="L7" s="205"/>
    </row>
    <row r="8" spans="2:37" x14ac:dyDescent="0.25">
      <c r="B8" s="114" t="s">
        <v>193</v>
      </c>
      <c r="C8" s="199" t="str">
        <f>Input!$D$7</f>
        <v>Yes</v>
      </c>
      <c r="D8" s="200"/>
      <c r="E8" s="199" t="str">
        <f>Input!$D$7</f>
        <v>Yes</v>
      </c>
      <c r="F8" s="200"/>
      <c r="G8" s="199" t="str">
        <f>Input!$D$7</f>
        <v>Yes</v>
      </c>
      <c r="H8" s="207"/>
      <c r="I8" s="199" t="str">
        <f>Input!$D$7</f>
        <v>Yes</v>
      </c>
      <c r="J8" s="200"/>
      <c r="K8" s="199" t="str">
        <f>Input!$D$7</f>
        <v>Yes</v>
      </c>
      <c r="L8" s="200"/>
    </row>
    <row r="9" spans="2:37" x14ac:dyDescent="0.25">
      <c r="B9" s="114" t="s">
        <v>192</v>
      </c>
      <c r="C9" s="199" t="str">
        <f>Input!$D$8</f>
        <v>No</v>
      </c>
      <c r="D9" s="200"/>
      <c r="E9" s="199" t="str">
        <f>Input!$D$8</f>
        <v>No</v>
      </c>
      <c r="F9" s="200"/>
      <c r="G9" s="199" t="str">
        <f>Input!$D$8</f>
        <v>No</v>
      </c>
      <c r="H9" s="207"/>
      <c r="I9" s="199" t="str">
        <f>Input!$D$8</f>
        <v>No</v>
      </c>
      <c r="J9" s="200"/>
      <c r="K9" s="199" t="str">
        <f>Input!$D$8</f>
        <v>No</v>
      </c>
      <c r="L9" s="200"/>
    </row>
    <row r="10" spans="2:37" x14ac:dyDescent="0.25">
      <c r="B10" s="114" t="s">
        <v>1</v>
      </c>
      <c r="C10" s="199" t="str">
        <f>IF(Input!$D$24="Metric",
CONCATENATE(Input!$D$9," mm"),
CONCATENATE(SUBSTITUTE(ROUND(Input!$D$9/25.4,1),",",".",1)," in"))</f>
        <v>39.5 in</v>
      </c>
      <c r="D10" s="200"/>
      <c r="E10" s="199" t="str">
        <f>IF(Input!$D$24="Metric",
CONCATENATE(Input!$D$9," mm"),
CONCATENATE(SUBSTITUTE(ROUND(Input!$D$9/25.4,1),",",".",1)," in"))</f>
        <v>39.5 in</v>
      </c>
      <c r="F10" s="200"/>
      <c r="G10" s="199" t="str">
        <f>IF(Input!$D$24="Metric",
CONCATENATE(Input!$D$9," mm"),
CONCATENATE(SUBSTITUTE(ROUND(Input!$D$9/25.4,1),",",".",1)," in"))</f>
        <v>39.5 in</v>
      </c>
      <c r="H10" s="207"/>
      <c r="I10" s="199" t="str">
        <f>IF(Input!$D$24="Metric",
CONCATENATE(Input!$D$9," mm"),
CONCATENATE(SUBSTITUTE(ROUND(Input!$D$9/25.4,1),",",".",1)," in"))</f>
        <v>39.5 in</v>
      </c>
      <c r="J10" s="200"/>
      <c r="K10" s="199" t="str">
        <f>IF(Input!$D$24="Metric",
CONCATENATE(Input!$D$9," mm"),
CONCATENATE(SUBSTITUTE(ROUND(Input!$D$9/25.4,1),",",".",1)," in"))</f>
        <v>39.5 in</v>
      </c>
      <c r="L10" s="200"/>
    </row>
    <row r="11" spans="2:37" x14ac:dyDescent="0.25">
      <c r="B11" s="114" t="s">
        <v>191</v>
      </c>
      <c r="C11" s="199" t="str">
        <f>IF(Input!$D$24="Metric",
'Vessel dimension - DIN 28011'!$B$7,
'Vessel dimension - DIN 28011'!$B$8)</f>
        <v>5.3 in - 8.8 in</v>
      </c>
      <c r="D11" s="200"/>
      <c r="E11" s="199" t="str">
        <f>IF(Input!$D$24="Metric",
'Vessel dimension - DIN 28011'!$B$7,
'Vessel dimension - DIN 28011'!$B$8)</f>
        <v>5.3 in - 8.8 in</v>
      </c>
      <c r="F11" s="200"/>
      <c r="G11" s="199" t="str">
        <f>IF(Input!$D$24="Metric",
'Vessel dimension - DIN 28011'!$B$7,
'Vessel dimension - DIN 28011'!$B$8)</f>
        <v>5.3 in - 8.8 in</v>
      </c>
      <c r="H11" s="207"/>
      <c r="I11" s="199" t="str">
        <f>IF(Input!$D$24="Metric",
'Vessel dimension - DIN 28011'!$B$7,
'Vessel dimension - DIN 28011'!$B$8)</f>
        <v>5.3 in - 8.8 in</v>
      </c>
      <c r="J11" s="200"/>
      <c r="K11" s="199" t="str">
        <f>IF(Input!$D$24="Metric",
'Vessel dimension - DIN 28011'!$B$7,
'Vessel dimension - DIN 28011'!$B$8)</f>
        <v>5.3 in - 8.8 in</v>
      </c>
      <c r="L11" s="200"/>
    </row>
    <row r="12" spans="2:37" x14ac:dyDescent="0.25">
      <c r="B12" s="114" t="s">
        <v>15</v>
      </c>
      <c r="C12" s="199" t="str">
        <f>IF(Input!$D$24="Metric",
CONCATENATE(Input!$D$10," mm"),
CONCATENATE(SUBSTITUTE(ROUND(Input!$D$10/25.4,3),",",".",1)," in"))</f>
        <v>0.197 in</v>
      </c>
      <c r="D12" s="200"/>
      <c r="E12" s="199" t="str">
        <f>IF(Input!$D$24="Metric",
CONCATENATE(Input!$D$10," mm"),
CONCATENATE(SUBSTITUTE(ROUND(Input!$D$10/25.4,3),",",".",1)," in"))</f>
        <v>0.197 in</v>
      </c>
      <c r="F12" s="200"/>
      <c r="G12" s="199" t="str">
        <f>IF(Input!$D$24="Metric",
CONCATENATE(Input!$D$10," mm"),
CONCATENATE(SUBSTITUTE(ROUND(Input!$D$10/25.4,3),",",".",1)," in"))</f>
        <v>0.197 in</v>
      </c>
      <c r="H12" s="207"/>
      <c r="I12" s="199" t="str">
        <f>IF(Input!$D$24="Metric",
CONCATENATE(Input!$D$10," mm"),
CONCATENATE(SUBSTITUTE(ROUND(Input!$D$10/25.4,3),",",".",1)," in"))</f>
        <v>0.197 in</v>
      </c>
      <c r="J12" s="200"/>
      <c r="K12" s="199" t="str">
        <f>IF(Input!$D$24="Metric",
CONCATENATE(Input!$D$10," mm"),
CONCATENATE(SUBSTITUTE(ROUND(Input!$D$10/25.4,3),",",".",1)," in"))</f>
        <v>0.197 in</v>
      </c>
      <c r="L12" s="200"/>
    </row>
    <row r="13" spans="2:37" ht="30" x14ac:dyDescent="0.25">
      <c r="B13" s="114" t="s">
        <v>162</v>
      </c>
      <c r="C13" s="199" t="str">
        <f>IF(Input!$D$24="Metric",
CONCATENATE('Vessel dimension - DIN 28011'!$B$29," kg"),
CONCATENATE(ROUNDUP('Vessel dimension - DIN 28011'!$B$29*2.20462,-1)," lb"))</f>
        <v>890 lb</v>
      </c>
      <c r="D13" s="200"/>
      <c r="E13" s="199" t="str">
        <f>IF(Input!$D$24="Metric",
CONCATENATE('Vessel dimension - DIN 28011'!$B$29," kg"),
CONCATENATE(ROUNDUP('Vessel dimension - DIN 28011'!$B$29*2.20462,-1)," lb"))</f>
        <v>890 lb</v>
      </c>
      <c r="F13" s="200"/>
      <c r="G13" s="199" t="str">
        <f>IF(Input!$D$24="Metric",
CONCATENATE('Vessel dimension - DIN 28011'!$B$29," kg"),
CONCATENATE(ROUNDUP('Vessel dimension - DIN 28011'!$B$29*2.20462,-1)," lb"))</f>
        <v>890 lb</v>
      </c>
      <c r="H13" s="207"/>
      <c r="I13" s="199" t="str">
        <f>IF(Input!$D$24="Metric",
CONCATENATE('Vessel dimension - DIN 28011'!$B$29," kg"),
CONCATENATE(ROUNDUP('Vessel dimension - DIN 28011'!$B$29*2.20462,-1)," lb"))</f>
        <v>890 lb</v>
      </c>
      <c r="J13" s="200"/>
      <c r="K13" s="199" t="str">
        <f>IF(Input!$D$24="Metric",
CONCATENATE('Vessel dimension - DIN 28011'!$B$29," kg"),
CONCATENATE(ROUNDUP('Vessel dimension - DIN 28011'!$B$29*2.20462,-1)," lb"))</f>
        <v>890 lb</v>
      </c>
      <c r="L13" s="200"/>
      <c r="O13" s="126"/>
      <c r="P13" s="127"/>
    </row>
    <row r="14" spans="2:37" ht="23.25" x14ac:dyDescent="0.25">
      <c r="B14" s="114" t="s">
        <v>190</v>
      </c>
      <c r="C14" s="199" t="str">
        <f>IF(Input!$D$24="Metric",
CONCATENATE(Input!$D$11," L"),
CONCATENATE(SUBSTITUTE(ROUNDUP(Input!$D$11*0.264172,1),",",".",1)," gal"))</f>
        <v>528.4 gal</v>
      </c>
      <c r="D14" s="200"/>
      <c r="E14" s="199" t="str">
        <f>IF(Input!$D$24="Metric",
CONCATENATE(Input!$D$11," L"),
CONCATENATE(SUBSTITUTE(ROUNDUP(Input!$D$11*0.264172,1),",",".",1)," gal"))</f>
        <v>528.4 gal</v>
      </c>
      <c r="F14" s="200"/>
      <c r="G14" s="199" t="str">
        <f>IF(Input!$D$24="Metric",
CONCATENATE(Input!$D$11," L"),
CONCATENATE(SUBSTITUTE(ROUNDUP(Input!$D$11*0.264172,1),",",".",1)," gal"))</f>
        <v>528.4 gal</v>
      </c>
      <c r="H14" s="200"/>
      <c r="I14" s="199" t="str">
        <f>IF(Input!$D$24="Metric",
CONCATENATE(Input!$D$11," L"),
CONCATENATE(SUBSTITUTE(ROUNDUP(Input!$D$11*0.264172,1),",",".",1)," gal"))</f>
        <v>528.4 gal</v>
      </c>
      <c r="J14" s="200"/>
      <c r="K14" s="199" t="str">
        <f>IF(Input!$D$24="Metric",
CONCATENATE(Input!$D$11," L"),
CONCATENATE(SUBSTITUTE(ROUNDUP(Input!$D$11*0.264172,1),",",".",1)," gal"))</f>
        <v>528.4 gal</v>
      </c>
      <c r="L14" s="200"/>
      <c r="O14" s="126"/>
      <c r="P14" s="127"/>
    </row>
    <row r="15" spans="2:37" ht="23.25" x14ac:dyDescent="0.25">
      <c r="B15" s="114" t="s">
        <v>2</v>
      </c>
      <c r="C15" s="199" t="str">
        <f>IF(Input!$D$24="Metric",
CONCATENATE(Input!$D$12," L"),
CONCATENATE(SUBSTITUTE(ROUNDUP(Input!$D$12*0.264172,1),",",".",1)," gal"))</f>
        <v>132.1 gal</v>
      </c>
      <c r="D15" s="200"/>
      <c r="E15" s="199" t="str">
        <f>IF(Input!$D$24="Metric",
CONCATENATE(Input!$D$12," L"),
CONCATENATE(SUBSTITUTE(ROUNDUP(Input!$D$12*0.264172,1),",",".",1)," gal"))</f>
        <v>132.1 gal</v>
      </c>
      <c r="F15" s="200"/>
      <c r="G15" s="199" t="str">
        <f>IF(Input!$D$24="Metric",
CONCATENATE(Input!$D$12," L"),
CONCATENATE(SUBSTITUTE(ROUNDUP(Input!$D$12*0.264172,1),",",".",1)," gal"))</f>
        <v>132.1 gal</v>
      </c>
      <c r="H15" s="200"/>
      <c r="I15" s="199" t="str">
        <f>IF(Input!$D$24="Metric",
CONCATENATE(Input!$D$12," L"),
CONCATENATE(SUBSTITUTE(ROUNDUP(Input!$D$12*0.264172,1),",",".",1)," gal"))</f>
        <v>132.1 gal</v>
      </c>
      <c r="J15" s="200"/>
      <c r="K15" s="199" t="str">
        <f>IF(Input!$D$24="Metric",
CONCATENATE(Input!$D$12," L"),
CONCATENATE(SUBSTITUTE(ROUNDUP(Input!$D$12*0.264172,1),",",".",1)," gal"))</f>
        <v>132.1 gal</v>
      </c>
      <c r="L15" s="200"/>
      <c r="O15" s="126"/>
      <c r="P15" s="127"/>
    </row>
    <row r="16" spans="2:37" ht="30" x14ac:dyDescent="0.25">
      <c r="B16" s="114" t="s">
        <v>189</v>
      </c>
      <c r="C16" s="199" t="s">
        <v>174</v>
      </c>
      <c r="D16" s="200"/>
      <c r="E16" s="199" t="s">
        <v>174</v>
      </c>
      <c r="F16" s="200"/>
      <c r="G16" s="199" t="s">
        <v>174</v>
      </c>
      <c r="H16" s="207"/>
      <c r="I16" s="199" t="s">
        <v>174</v>
      </c>
      <c r="J16" s="200"/>
      <c r="K16" s="199" t="s">
        <v>174</v>
      </c>
      <c r="L16" s="200"/>
    </row>
    <row r="17" spans="2:12" ht="30" customHeight="1" x14ac:dyDescent="0.25">
      <c r="B17" s="114" t="s">
        <v>188</v>
      </c>
      <c r="C17" s="199" t="str">
        <f>IF(Input!$D$24="metric",
ROUND('Vessel dimension - DIN 28011'!$B$13,2),
SUBSTITUTE(ROUND('Vessel dimension - DIN 28011'!$B$13,2),",",".",1))</f>
        <v>0.7</v>
      </c>
      <c r="D17" s="200"/>
      <c r="E17" s="199" t="str">
        <f>IF(Input!$D$24="metric",
ROUND('Vessel dimension - DIN 28011'!$B$13,2),
SUBSTITUTE(ROUND('Vessel dimension - DIN 28011'!$B$13,2),",",".",1))</f>
        <v>0.7</v>
      </c>
      <c r="F17" s="200"/>
      <c r="G17" s="199" t="str">
        <f>IF(Input!$D$24="metric",
ROUND('Vessel dimension - DIN 28011'!$B$13,2),
SUBSTITUTE(ROUND('Vessel dimension - DIN 28011'!$B$13,2),",",".",1))</f>
        <v>0.7</v>
      </c>
      <c r="H17" s="200"/>
      <c r="I17" s="199" t="str">
        <f>IF(Input!$D$24="metric",
ROUND('Vessel dimension - DIN 28011'!$B$13,2),
SUBSTITUTE(ROUND('Vessel dimension - DIN 28011'!$B$13,2),",",".",1))</f>
        <v>0.7</v>
      </c>
      <c r="J17" s="200"/>
      <c r="K17" s="199" t="str">
        <f>IF(Input!$D$24="metric",
ROUND('Vessel dimension - DIN 28011'!$B$13,2),
SUBSTITUTE(ROUND('Vessel dimension - DIN 28011'!$B$13,2),",",".",1))</f>
        <v>0.7</v>
      </c>
      <c r="L17" s="200"/>
    </row>
    <row r="18" spans="2:12" ht="23.25" customHeight="1" x14ac:dyDescent="0.25">
      <c r="B18" s="203" t="s">
        <v>187</v>
      </c>
      <c r="C18" s="204"/>
      <c r="D18" s="204"/>
      <c r="E18" s="204"/>
      <c r="F18" s="204"/>
      <c r="G18" s="204"/>
      <c r="H18" s="204"/>
      <c r="I18" s="204"/>
      <c r="J18" s="204"/>
      <c r="K18" s="204"/>
      <c r="L18" s="205"/>
    </row>
    <row r="19" spans="2:12" x14ac:dyDescent="0.25">
      <c r="B19" s="114" t="s">
        <v>186</v>
      </c>
      <c r="C19" s="199" t="str">
        <f>VLOOKUP(Input!$D$3,'Main Mixing Purpose List'!$A$2:$F$16,5,FALSE)</f>
        <v>Gentle</v>
      </c>
      <c r="D19" s="200"/>
      <c r="E19" s="208" t="str">
        <f>VLOOKUP(Input!$D$3,'Main Mixing Purpose List'!$A$2:$F$16,5,FALSE)</f>
        <v>Gentle</v>
      </c>
      <c r="F19" s="209"/>
      <c r="G19" s="208" t="str">
        <f>VLOOKUP(Input!$D$3,'Main Mixing Purpose List'!$A$2:$F$16,5,FALSE)</f>
        <v>Gentle</v>
      </c>
      <c r="H19" s="209"/>
      <c r="I19" s="208" t="str">
        <f>VLOOKUP(Input!$D$3,'Main Mixing Purpose List'!$A$2:$F$16,5,FALSE)</f>
        <v>Gentle</v>
      </c>
      <c r="J19" s="209"/>
      <c r="K19" s="208" t="str">
        <f>VLOOKUP(Input!$D$3,'Main Mixing Purpose List'!$A$2:$F$16,5,FALSE)</f>
        <v>Gentle</v>
      </c>
      <c r="L19" s="209"/>
    </row>
    <row r="20" spans="2:12" x14ac:dyDescent="0.25">
      <c r="B20" s="114" t="s">
        <v>4</v>
      </c>
      <c r="C20" s="199" t="str">
        <f>IF(Input!$D$24="Metric",
CONCATENATE(Input!$D$14," kg/m3"),
CONCATENATE(SUBSTITUTE(ROUNDUP(Input!$D$14*2.20462/35.3147,1),",",".",1)," lb/ft3"))</f>
        <v>62.5 lb/ft3</v>
      </c>
      <c r="D20" s="200"/>
      <c r="E20" s="199" t="str">
        <f>IF(Input!$D$24="Metric",
CONCATENATE(Input!$D$14," kg/m3"),
CONCATENATE(SUBSTITUTE(ROUNDUP(Input!$D$14*2.20462/35.3147,1),",",".",1)," lb/ft3"))</f>
        <v>62.5 lb/ft3</v>
      </c>
      <c r="F20" s="200"/>
      <c r="G20" s="199" t="str">
        <f>IF(Input!$D$24="Metric",
CONCATENATE(Input!$D$14," kg/m3"),
CONCATENATE(SUBSTITUTE(ROUNDUP(Input!$D$14*2.20462/35.3147,1),",",".",1)," lb/ft3"))</f>
        <v>62.5 lb/ft3</v>
      </c>
      <c r="H20" s="200"/>
      <c r="I20" s="199" t="str">
        <f>IF(Input!$D$24="Metric",
CONCATENATE(Input!$D$14," kg/m3"),
CONCATENATE(SUBSTITUTE(ROUNDUP(Input!$D$14*2.20462/35.3147,1),",",".",1)," lb/ft3"))</f>
        <v>62.5 lb/ft3</v>
      </c>
      <c r="J20" s="200"/>
      <c r="K20" s="199" t="str">
        <f>IF(Input!$D$24="Metric",
CONCATENATE(Input!$D$14," kg/m3"),
CONCATENATE(SUBSTITUTE(ROUNDUP(Input!$D$14*2.20462/35.3147,1),",",".",1)," lb/ft3"))</f>
        <v>62.5 lb/ft3</v>
      </c>
      <c r="L20" s="200"/>
    </row>
    <row r="21" spans="2:12" x14ac:dyDescent="0.25">
      <c r="B21" s="114" t="s">
        <v>3</v>
      </c>
      <c r="C21" s="199" t="str">
        <f>CONCATENATE(Input!$D$15," cP")</f>
        <v>1 cP</v>
      </c>
      <c r="D21" s="200"/>
      <c r="E21" s="208" t="str">
        <f>CONCATENATE(Input!$D$15," cP")</f>
        <v>1 cP</v>
      </c>
      <c r="F21" s="209"/>
      <c r="G21" s="208" t="str">
        <f>CONCATENATE(Input!$D$15," cP")</f>
        <v>1 cP</v>
      </c>
      <c r="H21" s="209"/>
      <c r="I21" s="208" t="str">
        <f>CONCATENATE(Input!$D$15," cP")</f>
        <v>1 cP</v>
      </c>
      <c r="J21" s="209"/>
      <c r="K21" s="208" t="str">
        <f>CONCATENATE(Input!$D$15," cP")</f>
        <v>1 cP</v>
      </c>
      <c r="L21" s="209"/>
    </row>
    <row r="22" spans="2:12" x14ac:dyDescent="0.25">
      <c r="B22" s="115" t="s">
        <v>185</v>
      </c>
      <c r="C22" s="208" t="str">
        <f>UPPER(IF(ZG!$B$45=0,
ZG!$B$44,
ZG!$B$45))</f>
        <v>ZG5</v>
      </c>
      <c r="D22" s="209"/>
      <c r="E22" s="208" t="str">
        <f>UPPER(IF(ZGP!$B$45=0,
ZGP!$B$44,
ZGP!$B$45))</f>
        <v>ZGP5</v>
      </c>
      <c r="F22" s="209"/>
      <c r="G22" s="208" t="str">
        <f>UPPER(IF(HP!$B$45=0,
HP!$B$44,
HP!$B$45))</f>
        <v>HP5</v>
      </c>
      <c r="H22" s="209"/>
      <c r="I22" s="208" t="str">
        <f>UPPER(IF(HS!$B$45=0,
HS!$B$44,
HS!$B$45))</f>
        <v>HS5</v>
      </c>
      <c r="J22" s="209"/>
      <c r="K22" s="208" t="str">
        <f>UPPER(IF(ZF!$B$45=0,
ZF!$B$44,
ZF!$B$45))</f>
        <v>ZF100</v>
      </c>
      <c r="L22" s="209"/>
    </row>
    <row r="23" spans="2:12" ht="30" x14ac:dyDescent="0.25">
      <c r="B23" s="114" t="s">
        <v>184</v>
      </c>
      <c r="C23" s="106" t="str">
        <f>CONCATENATE(ZG!$X$49," rpm (max speed)")</f>
        <v>487 rpm (max speed)</v>
      </c>
      <c r="D23" s="190" t="str">
        <f>CONCATENATE(ZG!$X$53," rpm (working speed)")</f>
        <v>487 rpm (working speed)</v>
      </c>
      <c r="E23" s="106" t="str">
        <f>CONCATENATE(ZGP!$X$49," rpm (max speed)")</f>
        <v>487 rpm (max speed)</v>
      </c>
      <c r="F23" s="190" t="str">
        <f>CONCATENATE(ROUNDDOWN(ZGP!$X$53,0)," (working speed)")</f>
        <v>487 (working speed)</v>
      </c>
      <c r="G23" s="106" t="str">
        <f>CONCATENATE(HP!$X$49," (max speed)")</f>
        <v>1690 (max speed)</v>
      </c>
      <c r="H23" s="190" t="str">
        <f>CONCATENATE(ROUNDDOWN(HP!$X$53,0)," (working speed)")</f>
        <v>1690 (working speed)</v>
      </c>
      <c r="I23" s="106" t="str">
        <f>CONCATENATE(HS!$X$49," (max speed)")</f>
        <v>3877 (max speed)</v>
      </c>
      <c r="J23" s="190" t="str">
        <f>CONCATENATE(ROUNDDOWN(HS!$X$53,0)," (working speed)")</f>
        <v>3877 (working speed)</v>
      </c>
      <c r="K23" s="106" t="str">
        <f>CONCATENATE(ZF!$X$49," (max speed)")</f>
        <v>347 (max speed)</v>
      </c>
      <c r="L23" s="190" t="str">
        <f>CONCATENATE(ROUNDDOWN(ZF!$X$53,0)," (working speed)")</f>
        <v>347 (working speed)</v>
      </c>
    </row>
    <row r="24" spans="2:12" x14ac:dyDescent="0.25">
      <c r="B24" s="114" t="s">
        <v>183</v>
      </c>
      <c r="C24" s="106" t="str">
        <f>IF(Input!$D$24="Metric",
CONCATENATE(ROUND(ZG!$X$50,3)," W/L"),
CONCATENATE(SUBSTITUTE(ROUND(ZG!$Z$50,3),",",".",1)," W/gal"))</f>
        <v>1.924 W/gal</v>
      </c>
      <c r="D24" s="190" t="str">
        <f>IF(Input!$D$24="Metric",
CONCATENATE(ROUND(ZG!$X$54,3)," W/L"),
CONCATENATE(SUBSTITUTE(ROUND(ZG!$Z$54,3),",",".",1)," W/gal"))</f>
        <v>1.924 W/gal</v>
      </c>
      <c r="E24" s="106" t="str">
        <f>IF(Input!$D$24="Metric",
CONCATENATE(ROUND(ZGP!$X$50,3)," W/L"),
CONCATENATE(SUBSTITUTE(ROUND(ZGP!$Z$50,3),",",".",1)," W/gal"))</f>
        <v>2.057 W/gal</v>
      </c>
      <c r="F24" s="190" t="str">
        <f>IF(Input!$D$24="Metric",
CONCATENATE(ROUND(ZGP!$X$54,3)," W/L"),
CONCATENATE(SUBSTITUTE(ROUND(ZGP!$Z$54,3),",",".",1)," W/gal"))</f>
        <v>2.057 W/gal</v>
      </c>
      <c r="G24" s="106" t="str">
        <f>IF(Input!$D$24="Metric",
CONCATENATE(ROUND(HP!$X$50,3)," W/L"),
CONCATENATE(SUBSTITUTE(ROUND(HP!$Z$50,3),",",".",1)," W/gal"))</f>
        <v>6.479 W/gal</v>
      </c>
      <c r="H24" s="190" t="str">
        <f>IF(Input!$D$24="Metric",
CONCATENATE(ROUND(HP!$X$54,3)," W/L"),
CONCATENATE(SUBSTITUTE(ROUND(HP!$Z$54,3),",",".",1)," W/gal"))</f>
        <v>6.479 W/gal</v>
      </c>
      <c r="I24" s="106" t="str">
        <f>IF(Input!$D$24="Metric",
CONCATENATE(ROUND(HS!$X$50,3)," W/L"),
CONCATENATE(SUBSTITUTE(ROUND(HS!$Z$50,3),",",".",1)," W/gal"))</f>
        <v>13.048 W/gal</v>
      </c>
      <c r="J24" s="190" t="str">
        <f>IF(Input!$D$24="Metric",
CONCATENATE(ROUND(HS!$X$54,3)," W/L"),
CONCATENATE(SUBSTITUTE(ROUND(HS!$Z$54,3),",",".",1)," W/gal"))</f>
        <v>13.048 W/gal</v>
      </c>
      <c r="K24" s="106" t="str">
        <f>IF(Input!$D$24="Metric",
CONCATENATE(ROUND(ZF!$X$50,3)," W/L"),
CONCATENATE(SUBSTITUTE(ROUND(ZF!$Z$50,3),",",".",1)," W/gal"))</f>
        <v>0.189 W/gal</v>
      </c>
      <c r="L24" s="190" t="str">
        <f>IF(Input!$D$24="Metric",
CONCATENATE(ROUND(ZF!$X$54,3)," W/L"),
CONCATENATE(SUBSTITUTE(ROUND(ZF!$Z$54,3),",",".",1)," W/gal"))</f>
        <v>0.189 W/gal</v>
      </c>
    </row>
    <row r="25" spans="2:12" x14ac:dyDescent="0.25">
      <c r="B25" s="114" t="s">
        <v>10</v>
      </c>
      <c r="C25" s="106" t="str">
        <f>IF(Input!$D$24="metric",
CONCATENATE(ROUND(ZG!$X$51,3)," m/s"),
 CONCATENATE(SUBSTITUTE(ROUND(ZG!$X$51*196.85039,0),",",".",1)," ft/min"))</f>
        <v>743 ft/min</v>
      </c>
      <c r="D25" s="190" t="str">
        <f>IF(Input!$D$24="metric",
CONCATENATE(ROUND(ZG!$X$55,3)," m/s"),
 CONCATENATE(SUBSTITUTE(ROUND(ZG!$X$55*196.85039,0),",",".",1)," ft/min"))</f>
        <v>743 ft/min</v>
      </c>
      <c r="E25" s="106" t="str">
        <f>IF(Input!$D$24="metric",
CONCATENATE(ROUND(ZGP!$X$51,3)," m/s"),
 CONCATENATE(SUBSTITUTE(ROUND(ZGP!$X$51*196.85039,0),",",".",1)," ft/min"))</f>
        <v>753 ft/min</v>
      </c>
      <c r="F25" s="190" t="str">
        <f>IF(Input!$D$24="metric",
CONCATENATE(ROUND(ZGP!$X$55,3)," m/s"),
 CONCATENATE(SUBSTITUTE(ROUND(ZGP!$X$55*196.85039,0),",",".",1)," ft/min"))</f>
        <v>753 ft/min</v>
      </c>
      <c r="G25" s="106" t="str">
        <f>IF(Input!$D$24="metric",
CONCATENATE(ROUND(HP!$X$51,3)," m/s"),
 CONCATENATE(SUBSTITUTE(ROUND(HP!$X$51*196.85039,0),",",".",1)," ft/min"))</f>
        <v>1793 ft/min</v>
      </c>
      <c r="H25" s="190" t="str">
        <f>IF(Input!$D$24="metric",
CONCATENATE(ROUND(HP!$X$55,3)," m/s"),
 CONCATENATE(SUBSTITUTE(ROUND(HP!$X$55*196.85039,0),",",".",1)," ft/min"))</f>
        <v>1793 ft/min</v>
      </c>
      <c r="I25" s="106" t="str">
        <f>IF(Input!$D$24="metric",
CONCATENATE(ROUND(HS!$X$51,3)," m/s"),
 CONCATENATE(SUBSTITUTE(ROUND(HS!$X$51*196.85039,0),",",".",1)," ft/min"))</f>
        <v>4194 ft/min</v>
      </c>
      <c r="J25" s="190" t="str">
        <f>IF(Input!$D$24="metric",
CONCATENATE(ROUND(HS!$X$55,3)," m/s"),
 CONCATENATE(SUBSTITUTE(ROUND(HS!$X$55*196.85039,0),",",".",1)," ft/min"))</f>
        <v>4194 ft/min</v>
      </c>
      <c r="K25" s="106" t="str">
        <f>IF(Input!$D$24="metric",
CONCATENATE(ROUND(ZF!$X$51,3)," m/s"),
 CONCATENATE(SUBSTITUTE(ROUND(ZF!$X$51*196.85039,0),",",".",1)," ft/min"))</f>
        <v>500 ft/min</v>
      </c>
      <c r="L25" s="190" t="str">
        <f>IF(Input!$D$24="metric",
CONCATENATE(ROUND(ZF!$X$55,3)," m/s"),
 CONCATENATE(SUBSTITUTE(ROUND(ZF!$X$55*196.85039,0),",",".",1)," ft/min"))</f>
        <v>500 ft/min</v>
      </c>
    </row>
    <row r="26" spans="2:12" ht="30" x14ac:dyDescent="0.25">
      <c r="B26" s="114" t="s">
        <v>302</v>
      </c>
      <c r="C26" s="106" t="str">
        <f>IF(Input!$D$24="metric",
ZG!$X$52,
SUBSTITUTE(ZG!$X$52,",",".",1))</f>
        <v>1.5 min</v>
      </c>
      <c r="D26" s="191" t="str">
        <f>IF(Input!$D$24="metric",
ZG!$X$56,
SUBSTITUTE(ZG!$X$56,",",".",1))</f>
        <v>1.5 min</v>
      </c>
      <c r="E26" s="106" t="str">
        <f>IF(Input!$D$24="metric",
ZGP!$X$52,
SUBSTITUTE(ZGP!$X$52,",",".",1))</f>
        <v>##</v>
      </c>
      <c r="F26" s="191" t="str">
        <f>IF(Input!$D$24="metric",
ZGP!$X$56,
SUBSTITUTE(ZGP!$X$56,",",".",1))</f>
        <v>##</v>
      </c>
      <c r="G26" s="106" t="str">
        <f>IF(Input!$D$24="metric",
HP!$X$52,
SUBSTITUTE(HP!$X$52,",",".",1))</f>
        <v>##</v>
      </c>
      <c r="H26" s="191" t="str">
        <f>IF(Input!$D$24="metric",
HP!$X$56,
SUBSTITUTE(HP!$X$56,",",".",1))</f>
        <v>##</v>
      </c>
      <c r="I26" s="106" t="str">
        <f>IF(Input!$D$24="metric",
HS!$X$52,
SUBSTITUTE(HS!$X$52,",",".",1))</f>
        <v>##</v>
      </c>
      <c r="J26" s="191" t="str">
        <f>IF(Input!$D$24="metric",
HS!$X$56,
SUBSTITUTE(HS!$X$56,",",".",1))</f>
        <v>##</v>
      </c>
      <c r="K26" s="106" t="str">
        <f>IF(Input!$D$24="metric",
ZF!$X$52,
SUBSTITUTE(ZF!$X$52,",",".",1))</f>
        <v>##</v>
      </c>
      <c r="L26" s="191" t="str">
        <f>IF(Input!$D$24="metric",
ZF!$X$56,
SUBSTITUTE(ZF!$X$56,",",".",1))</f>
        <v>##</v>
      </c>
    </row>
    <row r="27" spans="2:12" x14ac:dyDescent="0.25">
      <c r="B27" s="203" t="s">
        <v>303</v>
      </c>
      <c r="C27" s="204"/>
      <c r="D27" s="204"/>
      <c r="E27" s="204"/>
      <c r="F27" s="204"/>
      <c r="G27" s="204"/>
      <c r="H27" s="204"/>
      <c r="I27" s="204"/>
      <c r="J27" s="204"/>
      <c r="K27" s="204"/>
      <c r="L27" s="205"/>
    </row>
    <row r="28" spans="2:12" x14ac:dyDescent="0.25">
      <c r="B28" s="114" t="s">
        <v>181</v>
      </c>
      <c r="C28" s="199" t="str">
        <f>IF(Input!$D$27=0,ZG!$B$44,Input!$D$27)</f>
        <v>zg5</v>
      </c>
      <c r="D28" s="200"/>
      <c r="E28" s="199" t="str">
        <f>IF(Input!$D$28=0,ZGP!$B$44,Input!$D$28)</f>
        <v>zgp5</v>
      </c>
      <c r="F28" s="200"/>
      <c r="G28" s="199" t="str">
        <f>IF(Input!$D$29=0,HP!$B$44,Input!$D$29)</f>
        <v>HP5</v>
      </c>
      <c r="H28" s="207"/>
      <c r="I28" s="199" t="str">
        <f>IF(Input!$D$30=0,HS!$B$44,Input!$D$30)</f>
        <v>HS5</v>
      </c>
      <c r="J28" s="200"/>
      <c r="K28" s="199" t="str">
        <f>IF(Input!$D$31=0,ZF!$B$44,Input!$D$31)</f>
        <v>ZF100</v>
      </c>
      <c r="L28" s="200"/>
    </row>
    <row r="29" spans="2:12" x14ac:dyDescent="0.25">
      <c r="B29" s="114" t="s">
        <v>180</v>
      </c>
      <c r="C29" s="199" t="str">
        <f>IF(Input!$D$24="Metric",
CONCATENATE(VLOOKUP(C$28,ZG!$B$48:$M$69,3,FALSE)," mm"),
CONCATENATE(SUBSTITUTE(ROUND(VLOOKUP(C$28,ZG!$B$48:$M$69,3,FALSE)/25.4,2),",",".",1)," in"))</f>
        <v>5.83 in</v>
      </c>
      <c r="D29" s="200"/>
      <c r="E29" s="199" t="str">
        <f>IF(Input!$D$24="Metric",
CONCATENATE(VLOOKUP($E$28,ZGP!$B$48:$N$55,3,FALSE)," mm"),
CONCATENATE(SUBSTITUTE(ROUND(VLOOKUP($E$28,ZGP!$B$48:$N$55,3,FALSE)/25.4,2),",",".",1)," in"))</f>
        <v>5.91 in</v>
      </c>
      <c r="F29" s="200"/>
      <c r="G29" s="199" t="str">
        <f>IF(Input!$D$24="Metric",
CONCATENATE(VLOOKUP($G$28,HP!$B$48:$N$53,3,FALSE)," mm"),
CONCATENATE(SUBSTITUTE(ROUND(VLOOKUP($G$28,HP!$B$48:$N$53,3,FALSE)/25.4,2),",",".",1)," in"))</f>
        <v>4.06 in</v>
      </c>
      <c r="H29" s="207"/>
      <c r="I29" s="199" t="str">
        <f>IF(Input!$D$24="Metric",
CONCATENATE(VLOOKUP($I$28,HS!$B$48:$N$53,3,FALSE)," mm"),
CONCATENATE(SUBSTITUTE(ROUND(VLOOKUP($I$28,HS!$B$48:$N$53,3,FALSE)/25.4,2),",",".",1)," in"))</f>
        <v>4.13 in</v>
      </c>
      <c r="J29" s="200"/>
      <c r="K29" s="199" t="str">
        <f>IF(Input!$D$24="Metric",
CONCATENATE(VLOOKUP($K$28,ZF!$B$48:$N$51,3,FALSE)," mm"),
CONCATENATE(SUBSTITUTE(ROUND(VLOOKUP($K$28,ZF!$B$48:$N$51,3,FALSE)/25.4,2),",",".",1)," in"))</f>
        <v>5.51 in</v>
      </c>
      <c r="L29" s="200"/>
    </row>
    <row r="30" spans="2:12" ht="30" x14ac:dyDescent="0.25">
      <c r="B30" s="114" t="s">
        <v>179</v>
      </c>
      <c r="C30" s="199" t="str">
        <f>CONCATENATE(VLOOKUP(C$28,ZG!$B$48:$M$69,2,FALSE)," rpm")</f>
        <v>490 rpm</v>
      </c>
      <c r="D30" s="200"/>
      <c r="E30" s="199" t="str">
        <f>CONCATENATE(VLOOKUP(E$28,ZGP!$B$48:$N$55,2,FALSE)," rpm")</f>
        <v>490 rpm</v>
      </c>
      <c r="F30" s="200"/>
      <c r="G30" s="199" t="str">
        <f>CONCATENATE(VLOOKUP($G$28,HP!$B$48:$N$53,2,FALSE)," rpm")</f>
        <v>1700 rpm</v>
      </c>
      <c r="H30" s="207"/>
      <c r="I30" s="199" t="str">
        <f>CONCATENATE(VLOOKUP($I$28,HS!$B$48:$N$53,2,FALSE)," rpm")</f>
        <v>3900 rpm</v>
      </c>
      <c r="J30" s="200"/>
      <c r="K30" s="199" t="str">
        <f>CONCATENATE(VLOOKUP($K$28,ZF!$B$48:$N$51,2,FALSE)," rpm")</f>
        <v>350 rpm</v>
      </c>
      <c r="L30" s="200"/>
    </row>
    <row r="31" spans="2:12" ht="30" x14ac:dyDescent="0.25">
      <c r="B31" s="114" t="s">
        <v>299</v>
      </c>
      <c r="C31" s="199" t="str">
        <f>CONCATENATE(ROUNDUP(VLOOKUP(C$28,ZG!$B$48:$M$69,2,FALSE)*0.1,0)," rpm")</f>
        <v>49 rpm</v>
      </c>
      <c r="D31" s="200"/>
      <c r="E31" s="199" t="str">
        <f>CONCATENATE(ROUNDUP(VLOOKUP($E$28,ZGP!$B$48:$N$55,2,FALSE)*0.1,0)," rpm")</f>
        <v>49 rpm</v>
      </c>
      <c r="F31" s="200"/>
      <c r="G31" s="199" t="str">
        <f>CONCATENATE(ROUNDUP(VLOOKUP($G$28,HP!$B$48:$N$53,2,FALSE)*0.1,0)," rpm")</f>
        <v>170 rpm</v>
      </c>
      <c r="H31" s="207"/>
      <c r="I31" s="199" t="str">
        <f>CONCATENATE(ROUNDUP(VLOOKUP($I$28,HS!$B$48:$N$53,2,FALSE)*0.1,0)," rpm")</f>
        <v>390 rpm</v>
      </c>
      <c r="J31" s="200"/>
      <c r="K31" s="199" t="str">
        <f>CONCATENATE(ROUNDUP(VLOOKUP($K$28,ZF!$B$48:$N$51,2,FALSE)*0.1,0)," rpm")</f>
        <v>35 rpm</v>
      </c>
      <c r="L31" s="200"/>
    </row>
    <row r="32" spans="2:12" x14ac:dyDescent="0.25">
      <c r="B32" s="114" t="s">
        <v>172</v>
      </c>
      <c r="C32" s="199" t="str">
        <f>VLOOKUP(Input!$D$17,'SS Material List'!$A$2:$B$15,2,FALSE)</f>
        <v>Hastelloy C276</v>
      </c>
      <c r="D32" s="200"/>
      <c r="E32" s="199" t="str">
        <f>"Polypropylene (PP) - FDA USP Class VI"</f>
        <v>Polypropylene (PP) - FDA USP Class VI</v>
      </c>
      <c r="F32" s="200"/>
      <c r="G32" s="199" t="str">
        <f>VLOOKUP(Input!$D$17,'SS Material List'!$A$2:$B$15,2,FALSE)</f>
        <v>Hastelloy C276</v>
      </c>
      <c r="H32" s="207"/>
      <c r="I32" s="199" t="str">
        <f>VLOOKUP(Input!$D$17,'SS Material List'!$A$2:$B$15,2,FALSE)</f>
        <v>Hastelloy C276</v>
      </c>
      <c r="J32" s="200"/>
      <c r="K32" s="199" t="str">
        <f>VLOOKUP(Input!$D$17,'SS Material List'!$A$2:$B$15,2,FALSE)</f>
        <v>Hastelloy C276</v>
      </c>
      <c r="L32" s="200"/>
    </row>
    <row r="33" spans="2:12" ht="45" customHeight="1" x14ac:dyDescent="0.25">
      <c r="B33" s="114" t="s">
        <v>178</v>
      </c>
      <c r="C33" s="199" t="str">
        <f>IF(Input!$D$24="Metric","Ra &lt;= 0,38μm, EP, on SS Components inside vessel","Ra &lt;= 15μin, EP, on SS Components inside vessel")</f>
        <v>Ra &lt;= 15μin, EP, on SS Components inside vessel</v>
      </c>
      <c r="D33" s="200"/>
      <c r="E33" s="199" t="s">
        <v>174</v>
      </c>
      <c r="F33" s="200"/>
      <c r="G33" s="199" t="str">
        <f>IF(Input!$D$24="Metric","Ra &lt;= 0,38μm, EP, on SS Components inside vessel","Ra &lt;= 15μin, EP, on SS Components inside vessel")</f>
        <v>Ra &lt;= 15μin, EP, on SS Components inside vessel</v>
      </c>
      <c r="H33" s="207"/>
      <c r="I33" s="199" t="str">
        <f>IF(Input!$D$24="Metric","Ra &lt;= 0,38μm, EP, on SS Components inside vessel","Ra &lt;= 15μin, EP, on SS Components inside vessel")</f>
        <v>Ra &lt;= 15μin, EP, on SS Components inside vessel</v>
      </c>
      <c r="J33" s="200"/>
      <c r="K33" s="199" t="str">
        <f>IF(Input!$D$24="Metric","Ra &lt;= 0,38μm, EP, on SS Components inside vessel","Ra &lt;= 15μin, EP, on SS Components inside vessel")</f>
        <v>Ra &lt;= 15μin, EP, on SS Components inside vessel</v>
      </c>
      <c r="L33" s="200"/>
    </row>
    <row r="34" spans="2:12" ht="30" x14ac:dyDescent="0.25">
      <c r="B34" s="114" t="s">
        <v>177</v>
      </c>
      <c r="C34" s="199" t="str">
        <f>IF(Input!$D$24="Metric",
CONCATENATE(VLOOKUP(C$28,ZG!$B$48:$M$69,12,FALSE)," mm"),
CONCATENATE(SUBSTITUTE(ROUND(VLOOKUP(C$28,ZG!$B$48:$M$69,12,FALSE)/25.4,2),",",".",1)," in"))</f>
        <v>3.7 in</v>
      </c>
      <c r="D34" s="200"/>
      <c r="E34" s="199" t="str">
        <f>IF(Input!$D$24="Metric",
CONCATENATE(VLOOKUP($E$28,ZGP!$B$48:$N$55,12,FALSE)," mm"),
CONCATENATE(SUBSTITUTE(ROUND(VLOOKUP($E$28,ZGP!$B$48:$N$55,12,FALSE)/25.4,2),",",".",1)," in"))</f>
        <v>3.7 in</v>
      </c>
      <c r="F34" s="200"/>
      <c r="G34" s="199" t="str">
        <f>IF(Input!$D$24="Metric",
CONCATENATE(VLOOKUP($G$28,HP!$B$48:$N$53,12,FALSE)," mm"),
CONCATENATE(SUBSTITUTE(ROUND(VLOOKUP($G$28,HP!$B$48:$N$53,12,FALSE)/25.4,2),",",".",1)," in"))</f>
        <v>3.7 in</v>
      </c>
      <c r="H34" s="207"/>
      <c r="I34" s="199" t="str">
        <f>IF(Input!$D$24="Metric",
CONCATENATE(VLOOKUP($I$28,HS!$B$48:$N$53,12,FALSE)," mm"),
CONCATENATE(SUBSTITUTE(ROUND(VLOOKUP($I$28,HS!$B$48:$N$53,12,FALSE)/25.4,2),",",".",1)," in"))</f>
        <v>4.49 in</v>
      </c>
      <c r="J34" s="200"/>
      <c r="K34" s="199" t="str">
        <f>IF(Input!$D$24="Metric",
CONCATENATE(VLOOKUP($K$28,ZF!$B$48:$N$51,12,FALSE)," mm"),
CONCATENATE(SUBSTITUTE(ROUND(VLOOKUP($K$28,ZF!$B$48:$N$51,12,FALSE)/25.4,2),",",".",1)," in"))</f>
        <v>4.31 in</v>
      </c>
      <c r="L34" s="200"/>
    </row>
    <row r="35" spans="2:12" x14ac:dyDescent="0.25">
      <c r="B35" s="114" t="s">
        <v>176</v>
      </c>
      <c r="C35" s="199" t="str">
        <f>IF(Input!$D$24="Metric",
"5°C - 150°C",
"41°F - 302°F")</f>
        <v>41°F - 302°F</v>
      </c>
      <c r="D35" s="200"/>
      <c r="E35" s="199" t="str">
        <f>IF(Input!$D$24="Metric",
"5°C - 60°C",
"41°F - 140°F")</f>
        <v>41°F - 140°F</v>
      </c>
      <c r="F35" s="200"/>
      <c r="G35" s="199" t="str">
        <f>IF(Input!$D$24="Metric",
"5°C - 150°C",
"41°F - 302°F")</f>
        <v>41°F - 302°F</v>
      </c>
      <c r="H35" s="207"/>
      <c r="I35" s="199" t="str">
        <f>IF(Input!$D$24="Metric",
"5°C - 150°C",
"41°F - 302°F")</f>
        <v>41°F - 302°F</v>
      </c>
      <c r="J35" s="200"/>
      <c r="K35" s="199" t="str">
        <f>IF(Input!$D$24="Metric",
"5°C - 135°C",
"41°F - 275°F")</f>
        <v>41°F - 275°F</v>
      </c>
      <c r="L35" s="200"/>
    </row>
    <row r="36" spans="2:12" x14ac:dyDescent="0.25">
      <c r="B36" s="114" t="s">
        <v>175</v>
      </c>
      <c r="C36" s="206" t="str">
        <f>IF(Input!$D$24="Metric",
"-1 – 7 barg",
"-14.5 – 101.5 psig")</f>
        <v>-14.5 – 101.5 psig</v>
      </c>
      <c r="D36" s="200"/>
      <c r="E36" s="199" t="s">
        <v>174</v>
      </c>
      <c r="F36" s="200"/>
      <c r="G36" s="206" t="str">
        <f>IF(Input!$D$24="Metric",
"-1 – 7 barg",
"-14.5 – 101.5 psig")</f>
        <v>-14.5 – 101.5 psig</v>
      </c>
      <c r="H36" s="207"/>
      <c r="I36" s="206" t="str">
        <f>IF(Input!$D$24="Metric",
"-1 – 7 barg",
"-14.5 – 101.5 psig")</f>
        <v>-14.5 – 101.5 psig</v>
      </c>
      <c r="J36" s="200"/>
      <c r="K36" s="206" t="str">
        <f>IF(Input!$D$24="Metric",
"-1 – 7 barg",
"-14.5 – 101.5 psig")</f>
        <v>-14.5 – 101.5 psig</v>
      </c>
      <c r="L36" s="200"/>
    </row>
    <row r="37" spans="2:12" x14ac:dyDescent="0.25">
      <c r="B37" s="203" t="s">
        <v>173</v>
      </c>
      <c r="C37" s="204"/>
      <c r="D37" s="204"/>
      <c r="E37" s="204"/>
      <c r="F37" s="204"/>
      <c r="G37" s="204"/>
      <c r="H37" s="204"/>
      <c r="I37" s="204"/>
      <c r="J37" s="204"/>
      <c r="K37" s="204"/>
      <c r="L37" s="205"/>
    </row>
    <row r="38" spans="2:12" ht="30.75" customHeight="1" x14ac:dyDescent="0.3">
      <c r="B38" s="113" t="s">
        <v>172</v>
      </c>
      <c r="C38" s="199" t="s">
        <v>171</v>
      </c>
      <c r="D38" s="200"/>
      <c r="E38" s="199" t="s">
        <v>171</v>
      </c>
      <c r="F38" s="200"/>
      <c r="G38" s="199" t="s">
        <v>171</v>
      </c>
      <c r="H38" s="207"/>
      <c r="I38" s="199" t="s">
        <v>171</v>
      </c>
      <c r="J38" s="200"/>
      <c r="K38" s="199" t="s">
        <v>300</v>
      </c>
      <c r="L38" s="200"/>
    </row>
    <row r="39" spans="2:12" ht="15.75" x14ac:dyDescent="0.3">
      <c r="B39" s="113" t="s">
        <v>143</v>
      </c>
      <c r="C39" s="199" t="str">
        <f>IF(Input!D19=0,"EPDM",Input!$D$19)</f>
        <v>EPDM</v>
      </c>
      <c r="D39" s="200"/>
      <c r="E39" s="199" t="str">
        <f>IF(Input!D19=0,"EPDM",Input!$D$19)</f>
        <v>EPDM</v>
      </c>
      <c r="F39" s="200"/>
      <c r="G39" s="199" t="str">
        <f>IF(Input!D19=0,"EPDM",Input!$D$19)</f>
        <v>EPDM</v>
      </c>
      <c r="H39" s="207"/>
      <c r="I39" s="199" t="str">
        <f>IF(Input!D19=0,"EPDM",Input!$D$19)</f>
        <v>EPDM</v>
      </c>
      <c r="J39" s="200"/>
      <c r="K39" s="199" t="s">
        <v>300</v>
      </c>
      <c r="L39" s="200"/>
    </row>
    <row r="40" spans="2:12" x14ac:dyDescent="0.25">
      <c r="B40" s="203" t="s">
        <v>138</v>
      </c>
      <c r="C40" s="204"/>
      <c r="D40" s="204"/>
      <c r="E40" s="204"/>
      <c r="F40" s="204"/>
      <c r="G40" s="204"/>
      <c r="H40" s="204"/>
      <c r="I40" s="204"/>
      <c r="J40" s="204"/>
      <c r="K40" s="204"/>
      <c r="L40" s="205"/>
    </row>
    <row r="41" spans="2:12" ht="15.75" x14ac:dyDescent="0.3">
      <c r="B41" s="113" t="s">
        <v>170</v>
      </c>
      <c r="C41" s="199" t="str">
        <f>IF(Input!$D$20=0,"IP55",Input!$D$20)</f>
        <v>IP66</v>
      </c>
      <c r="D41" s="200"/>
      <c r="E41" s="208" t="str">
        <f>IF(Input!$D$20=0,"IP55",Input!$D$20)</f>
        <v>IP66</v>
      </c>
      <c r="F41" s="209"/>
      <c r="G41" s="199" t="str">
        <f>IF(Input!$D$20=0,"IP55",Input!$D$20)</f>
        <v>IP66</v>
      </c>
      <c r="H41" s="207"/>
      <c r="I41" s="199" t="str">
        <f>IF(Input!$D$20=0,"IP55",Input!$D$20)</f>
        <v>IP66</v>
      </c>
      <c r="J41" s="200"/>
      <c r="K41" s="199" t="str">
        <f>IF(Input!$D$20=0,"IP55",Input!$D$20)</f>
        <v>IP66</v>
      </c>
      <c r="L41" s="200"/>
    </row>
    <row r="42" spans="2:12" ht="15.75" x14ac:dyDescent="0.3">
      <c r="B42" s="139" t="s">
        <v>276</v>
      </c>
      <c r="C42" s="199" t="str">
        <f>IF(Input!$D$21=0,"NO",Input!$D$21)</f>
        <v>NO</v>
      </c>
      <c r="D42" s="200"/>
      <c r="E42" s="216" t="str">
        <f>IF(Input!$D$21=0,"NO",Input!$D$21)</f>
        <v>NO</v>
      </c>
      <c r="F42" s="217"/>
      <c r="G42" s="218" t="str">
        <f>IF(Input!$D$21=0,"NO",Input!$D$21)</f>
        <v>NO</v>
      </c>
      <c r="H42" s="219"/>
      <c r="I42" s="218" t="str">
        <f>IF(Input!$D$21=0,"NO",Input!$D$21)</f>
        <v>NO</v>
      </c>
      <c r="J42" s="217"/>
      <c r="K42" s="218" t="str">
        <f>IF(Input!$D$21=0,"NO",Input!$D$21)</f>
        <v>NO</v>
      </c>
      <c r="L42" s="217"/>
    </row>
    <row r="43" spans="2:12" ht="15.75" x14ac:dyDescent="0.3">
      <c r="B43" s="113" t="s">
        <v>169</v>
      </c>
      <c r="C43" s="199" t="str">
        <f>IF(Input!$D$22=0,"NO",Input!$D$22)</f>
        <v>YES</v>
      </c>
      <c r="D43" s="200"/>
      <c r="E43" s="201" t="str">
        <f>IF(Input!$D$22=0,"NO",Input!$D$22)</f>
        <v>YES</v>
      </c>
      <c r="F43" s="200"/>
      <c r="G43" s="199" t="str">
        <f>IF(Input!$D$22=0,"NO",Input!$D$22)</f>
        <v>YES</v>
      </c>
      <c r="H43" s="207"/>
      <c r="I43" s="199" t="str">
        <f>IF(Input!$D$22=0,"NO",Input!$D$22)</f>
        <v>YES</v>
      </c>
      <c r="J43" s="200"/>
      <c r="K43" s="201" t="str">
        <f>IF(Input!$D$22=0,"NO",Input!$D$22)</f>
        <v>YES</v>
      </c>
      <c r="L43" s="202"/>
    </row>
    <row r="44" spans="2:12" ht="16.5" thickBot="1" x14ac:dyDescent="0.35">
      <c r="B44" s="140" t="s">
        <v>277</v>
      </c>
      <c r="C44" s="220" t="str">
        <f>IF(Input!$D$23=0,"NO",Input!$D$23)</f>
        <v>NO</v>
      </c>
      <c r="D44" s="221"/>
      <c r="E44" s="220" t="str">
        <f>IF(Input!$D$23=0,"NO",Input!$D$23)</f>
        <v>NO</v>
      </c>
      <c r="F44" s="221"/>
      <c r="G44" s="220" t="str">
        <f>IF(Input!$D$23=0,"NO",Input!$D$23)</f>
        <v>NO</v>
      </c>
      <c r="H44" s="222"/>
      <c r="I44" s="220" t="str">
        <f>IF(Input!$D$23=0,"NO",Input!$D$23)</f>
        <v>NO</v>
      </c>
      <c r="J44" s="221"/>
      <c r="K44" s="223" t="str">
        <f>IF(Input!$D$23=0,"NO",Input!$D$23)</f>
        <v>NO</v>
      </c>
      <c r="L44" s="221"/>
    </row>
    <row r="46" spans="2:12" x14ac:dyDescent="0.25">
      <c r="C46" s="129"/>
    </row>
    <row r="47" spans="2:12" x14ac:dyDescent="0.25">
      <c r="C47" s="129"/>
      <c r="D47"/>
    </row>
    <row r="48" spans="2:12" x14ac:dyDescent="0.25">
      <c r="D48"/>
    </row>
    <row r="49" spans="1:4" x14ac:dyDescent="0.25">
      <c r="D49"/>
    </row>
    <row r="50" spans="1:4" x14ac:dyDescent="0.25">
      <c r="A50" s="118"/>
    </row>
    <row r="51" spans="1:4" x14ac:dyDescent="0.25">
      <c r="A51" s="117"/>
      <c r="C51" s="129"/>
    </row>
    <row r="52" spans="1:4" x14ac:dyDescent="0.25">
      <c r="A52" s="116"/>
    </row>
  </sheetData>
  <mergeCells count="198">
    <mergeCell ref="C42:D42"/>
    <mergeCell ref="E42:F42"/>
    <mergeCell ref="G42:H42"/>
    <mergeCell ref="I42:J42"/>
    <mergeCell ref="K42:L42"/>
    <mergeCell ref="C44:D44"/>
    <mergeCell ref="E44:F44"/>
    <mergeCell ref="G44:H44"/>
    <mergeCell ref="I44:J44"/>
    <mergeCell ref="K44:L44"/>
    <mergeCell ref="C43:D43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E38:F38"/>
    <mergeCell ref="G15:H15"/>
    <mergeCell ref="G16:H16"/>
    <mergeCell ref="G17:H17"/>
    <mergeCell ref="G19:H19"/>
    <mergeCell ref="G20:H20"/>
    <mergeCell ref="G33:H33"/>
    <mergeCell ref="C16:D16"/>
    <mergeCell ref="AD2:AE2"/>
    <mergeCell ref="P2:Q2"/>
    <mergeCell ref="R2:S2"/>
    <mergeCell ref="T2:U2"/>
    <mergeCell ref="V2:W2"/>
    <mergeCell ref="X2:Y2"/>
    <mergeCell ref="Z2:AA2"/>
    <mergeCell ref="AB2:AC2"/>
    <mergeCell ref="K29:L29"/>
    <mergeCell ref="C3:D3"/>
    <mergeCell ref="G10:H10"/>
    <mergeCell ref="G11:H11"/>
    <mergeCell ref="G12:H12"/>
    <mergeCell ref="G13:H13"/>
    <mergeCell ref="K10:L10"/>
    <mergeCell ref="K11:L11"/>
    <mergeCell ref="C15:D15"/>
    <mergeCell ref="C14:D14"/>
    <mergeCell ref="C13:D13"/>
    <mergeCell ref="C12:D12"/>
    <mergeCell ref="C34:D34"/>
    <mergeCell ref="C4:D4"/>
    <mergeCell ref="C39:D39"/>
    <mergeCell ref="C41:D41"/>
    <mergeCell ref="C28:D28"/>
    <mergeCell ref="C29:D29"/>
    <mergeCell ref="C30:D30"/>
    <mergeCell ref="C31:D31"/>
    <mergeCell ref="C32:D32"/>
    <mergeCell ref="C8:D8"/>
    <mergeCell ref="C6:D6"/>
    <mergeCell ref="C33:D33"/>
    <mergeCell ref="C22:D22"/>
    <mergeCell ref="C21:D21"/>
    <mergeCell ref="C20:D20"/>
    <mergeCell ref="C19:D19"/>
    <mergeCell ref="C17:D17"/>
    <mergeCell ref="C35:D35"/>
    <mergeCell ref="C36:D36"/>
    <mergeCell ref="C38:D38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K1:L1"/>
    <mergeCell ref="K3:L3"/>
    <mergeCell ref="K4:L4"/>
    <mergeCell ref="E39:F39"/>
    <mergeCell ref="E41:F41"/>
    <mergeCell ref="E43:F43"/>
    <mergeCell ref="E1:F1"/>
    <mergeCell ref="E20:F20"/>
    <mergeCell ref="E30:F30"/>
    <mergeCell ref="E13:F13"/>
    <mergeCell ref="E14:F14"/>
    <mergeCell ref="E15:F15"/>
    <mergeCell ref="E16:F16"/>
    <mergeCell ref="E17:F17"/>
    <mergeCell ref="E19:F19"/>
    <mergeCell ref="E31:F31"/>
    <mergeCell ref="E32:F32"/>
    <mergeCell ref="E10:F10"/>
    <mergeCell ref="E11:F11"/>
    <mergeCell ref="E12:F12"/>
    <mergeCell ref="B7:L7"/>
    <mergeCell ref="C11:D11"/>
    <mergeCell ref="C10:D10"/>
    <mergeCell ref="C9:D9"/>
    <mergeCell ref="E28:F28"/>
    <mergeCell ref="E29:F29"/>
    <mergeCell ref="G14:H14"/>
    <mergeCell ref="G34:H34"/>
    <mergeCell ref="E33:F33"/>
    <mergeCell ref="E34:F34"/>
    <mergeCell ref="I15:J15"/>
    <mergeCell ref="I32:J32"/>
    <mergeCell ref="I33:J33"/>
    <mergeCell ref="I16:J16"/>
    <mergeCell ref="I17:J17"/>
    <mergeCell ref="I19:J19"/>
    <mergeCell ref="I20:J20"/>
    <mergeCell ref="I21:J21"/>
    <mergeCell ref="I22:J22"/>
    <mergeCell ref="B18:L18"/>
    <mergeCell ref="G21:H21"/>
    <mergeCell ref="G22:H22"/>
    <mergeCell ref="G28:H28"/>
    <mergeCell ref="G29:H29"/>
    <mergeCell ref="G30:H30"/>
    <mergeCell ref="G32:H32"/>
    <mergeCell ref="B27:L27"/>
    <mergeCell ref="E21:F21"/>
    <mergeCell ref="E22:F22"/>
    <mergeCell ref="K30:L30"/>
    <mergeCell ref="K31:L31"/>
    <mergeCell ref="K32:L32"/>
    <mergeCell ref="K33:L33"/>
    <mergeCell ref="G31:H31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8:J28"/>
    <mergeCell ref="I29:J29"/>
    <mergeCell ref="I30:J30"/>
    <mergeCell ref="I31:J31"/>
    <mergeCell ref="K5:L5"/>
    <mergeCell ref="K6:L6"/>
    <mergeCell ref="K8:L8"/>
    <mergeCell ref="K12:L12"/>
    <mergeCell ref="K13:L13"/>
    <mergeCell ref="K14:L14"/>
    <mergeCell ref="K15:L15"/>
    <mergeCell ref="K16:L16"/>
    <mergeCell ref="K17:L17"/>
    <mergeCell ref="K19:L19"/>
    <mergeCell ref="K20:L20"/>
    <mergeCell ref="K21:L21"/>
    <mergeCell ref="K22:L22"/>
    <mergeCell ref="K28:L28"/>
    <mergeCell ref="I1:J1"/>
    <mergeCell ref="I3:J3"/>
    <mergeCell ref="I4:J4"/>
    <mergeCell ref="K41:L41"/>
    <mergeCell ref="K43:L43"/>
    <mergeCell ref="B37:L37"/>
    <mergeCell ref="I43:J43"/>
    <mergeCell ref="I38:J38"/>
    <mergeCell ref="I39:J39"/>
    <mergeCell ref="I41:J41"/>
    <mergeCell ref="B40:L40"/>
    <mergeCell ref="I34:J34"/>
    <mergeCell ref="I35:J35"/>
    <mergeCell ref="I36:J36"/>
    <mergeCell ref="G41:H41"/>
    <mergeCell ref="G43:H43"/>
    <mergeCell ref="G35:H35"/>
    <mergeCell ref="G36:H36"/>
    <mergeCell ref="G38:H38"/>
    <mergeCell ref="G39:H39"/>
    <mergeCell ref="K34:L34"/>
    <mergeCell ref="K35:L35"/>
    <mergeCell ref="K36:L36"/>
    <mergeCell ref="K38:L38"/>
    <mergeCell ref="K39:L39"/>
    <mergeCell ref="E35:F35"/>
    <mergeCell ref="E36:F3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C3:D6 C8:D17 C19:D22 C23:C26 C28:D36 C38:D39 C41:D44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E8:F17 E19:F22 E23:E26 E28:F36 E38:F39 E41:F44</xm:sqref>
        </x14:conditionalFormatting>
        <x14:conditionalFormatting xmlns:xm="http://schemas.microsoft.com/office/excel/2006/main"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G3:H6 G8:H17 G19:H22 G23:G26 G28:H36 G38:H39 G41:H44</xm:sqref>
        </x14:conditionalFormatting>
        <x14:conditionalFormatting xmlns:xm="http://schemas.microsoft.com/office/excel/2006/main"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I8:J17 I19:J22 I23:I26 I28:J36 I38:J39 I41:J44</xm:sqref>
        </x14:conditionalFormatting>
        <x14:conditionalFormatting xmlns:xm="http://schemas.microsoft.com/office/excel/2006/main"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K8:L17 K19:L22 K23:K26 K28:L36 K38:L39 K41:L44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topLeftCell="E1" zoomScaleNormal="100" workbookViewId="0">
      <selection activeCell="W8" sqref="W8"/>
    </sheetView>
  </sheetViews>
  <sheetFormatPr defaultRowHeight="15" x14ac:dyDescent="0.25"/>
  <cols>
    <col min="1" max="1" width="20.28515625" bestFit="1" customWidth="1"/>
    <col min="4" max="4" width="17.42578125" customWidth="1"/>
    <col min="13" max="13" width="12.28515625" customWidth="1"/>
    <col min="14" max="14" width="11.5703125" bestFit="1" customWidth="1"/>
    <col min="15" max="15" width="9.140625" customWidth="1"/>
    <col min="17" max="19" width="9.140625" customWidth="1"/>
    <col min="20" max="20" width="11.5703125" customWidth="1"/>
    <col min="21" max="21" width="9.140625" customWidth="1"/>
    <col min="22" max="22" width="14.28515625" customWidth="1"/>
    <col min="23" max="23" width="21.5703125" customWidth="1"/>
    <col min="24" max="24" width="12" customWidth="1"/>
    <col min="26" max="26" width="9.5703125" bestFit="1" customWidth="1"/>
    <col min="29" max="29" width="20.28515625" bestFit="1" customWidth="1"/>
  </cols>
  <sheetData>
    <row r="1" spans="1:28" ht="18.75" x14ac:dyDescent="0.3">
      <c r="A1" s="228"/>
      <c r="B1" s="228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287</v>
      </c>
      <c r="B3" s="226">
        <f>IF(Input!$D$13="Gentle",1.2,IF(Input!$D$13="Vigorous", 0.8,1))</f>
        <v>1.2</v>
      </c>
      <c r="C3" s="227"/>
      <c r="D3" s="226">
        <f>IF(Input!$D$13="Gentle",1.2,IF(Input!$D$13="Vigorous", 0.8,1))</f>
        <v>1.2</v>
      </c>
      <c r="E3" s="227"/>
      <c r="F3" s="226">
        <f>IF(Input!$D$13="Gentle",1.2,IF(Input!$D$13="Vigorous", 0.8,1))</f>
        <v>1.2</v>
      </c>
      <c r="G3" s="227"/>
      <c r="H3" s="226">
        <f>IF(Input!$D$13="Gentle",1.2,IF(Input!$D$13="Vigorous", 0.8,1))</f>
        <v>1.2</v>
      </c>
      <c r="I3" s="227"/>
      <c r="J3" s="226">
        <f>IF(Input!$D$13="Gentle",1.2,IF(Input!$D$13="Vigorous", 0.8,1))</f>
        <v>1.2</v>
      </c>
      <c r="K3" s="227"/>
      <c r="L3" s="226">
        <f>IF(Input!$D$13="Gentle",1.2,IF(Input!$D$13="Vigorous", 0.8,1))</f>
        <v>1.2</v>
      </c>
      <c r="M3" s="227"/>
      <c r="N3" s="226">
        <f>IF(Input!$D$13="Gentle",1.2,IF(Input!$D$13="Vigorous", 0.8,1))</f>
        <v>1.2</v>
      </c>
      <c r="O3" s="227"/>
      <c r="P3" s="226">
        <f>IF(Input!$D$13="Gentle",1.2,IF(Input!$D$13="Vigorous", 0.8,1))</f>
        <v>1.2</v>
      </c>
      <c r="Q3" s="227"/>
      <c r="R3" s="226">
        <f>IF(Input!$D$13="Gentle",1.2,IF(Input!$D$13="Vigorous", 0.8,1))</f>
        <v>1.2</v>
      </c>
      <c r="S3" s="227"/>
      <c r="T3" s="226">
        <f>IF(Input!$D$13="Gentle",1.2,IF(Input!$D$13="Vigorous", 0.8,1))</f>
        <v>1.2</v>
      </c>
      <c r="U3" s="227"/>
      <c r="V3" s="226">
        <f>IF(Input!$D$13="Gentle",1.2,IF(Input!$D$13="Vigorous", 0.8,1))</f>
        <v>1.2</v>
      </c>
      <c r="W3" s="227"/>
      <c r="X3" s="17"/>
      <c r="Y3" s="17"/>
      <c r="Z3" s="17"/>
      <c r="AA3" s="17"/>
      <c r="AB3" s="17"/>
    </row>
    <row r="4" spans="1:28" ht="15.75" thickBot="1" x14ac:dyDescent="0.3">
      <c r="A4" s="18" t="s">
        <v>17</v>
      </c>
      <c r="B4" s="18">
        <v>10</v>
      </c>
      <c r="C4" s="19"/>
      <c r="D4" s="18">
        <v>50</v>
      </c>
      <c r="E4" s="19"/>
      <c r="F4" s="18">
        <v>250</v>
      </c>
      <c r="G4" s="19"/>
      <c r="H4" s="18">
        <v>850</v>
      </c>
      <c r="I4" s="19"/>
      <c r="J4" s="18">
        <v>1200</v>
      </c>
      <c r="K4" s="19"/>
      <c r="L4" s="18">
        <v>2000</v>
      </c>
      <c r="M4" s="19"/>
      <c r="N4" s="18">
        <v>5000</v>
      </c>
      <c r="O4" s="19"/>
      <c r="P4" s="18">
        <v>10000</v>
      </c>
      <c r="Q4" s="19"/>
      <c r="R4" s="18">
        <v>20000</v>
      </c>
      <c r="S4" s="19"/>
      <c r="T4" s="18">
        <v>20000</v>
      </c>
      <c r="U4" s="19"/>
      <c r="V4" s="18">
        <v>20000</v>
      </c>
      <c r="W4" s="19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13</v>
      </c>
      <c r="C5" s="19" t="s">
        <v>3</v>
      </c>
      <c r="D5" s="18" t="s">
        <v>13</v>
      </c>
      <c r="E5" s="19" t="s">
        <v>3</v>
      </c>
      <c r="F5" s="18" t="s">
        <v>13</v>
      </c>
      <c r="G5" s="19" t="s">
        <v>3</v>
      </c>
      <c r="H5" s="18" t="s">
        <v>13</v>
      </c>
      <c r="I5" s="19" t="s">
        <v>3</v>
      </c>
      <c r="J5" s="18" t="s">
        <v>13</v>
      </c>
      <c r="K5" s="19" t="s">
        <v>3</v>
      </c>
      <c r="L5" s="18" t="s">
        <v>13</v>
      </c>
      <c r="M5" s="19" t="s">
        <v>3</v>
      </c>
      <c r="N5" s="18" t="s">
        <v>13</v>
      </c>
      <c r="O5" s="19" t="s">
        <v>3</v>
      </c>
      <c r="P5" s="18" t="s">
        <v>13</v>
      </c>
      <c r="Q5" s="19" t="s">
        <v>3</v>
      </c>
      <c r="R5" s="18" t="s">
        <v>13</v>
      </c>
      <c r="S5" s="19" t="s">
        <v>3</v>
      </c>
      <c r="T5" s="18" t="s">
        <v>13</v>
      </c>
      <c r="U5" s="19" t="s">
        <v>3</v>
      </c>
      <c r="V5" s="18" t="s">
        <v>13</v>
      </c>
      <c r="W5" s="19" t="s">
        <v>3</v>
      </c>
      <c r="X5" s="17"/>
      <c r="Y5" s="17"/>
      <c r="Z5" s="17"/>
      <c r="AA5" s="17"/>
      <c r="AB5" s="17"/>
    </row>
    <row r="6" spans="1:28" ht="15.75" thickBot="1" x14ac:dyDescent="0.3">
      <c r="A6" s="17"/>
      <c r="B6" s="18" t="s">
        <v>18</v>
      </c>
      <c r="C6" s="19" t="s">
        <v>18</v>
      </c>
      <c r="D6" s="18" t="s">
        <v>19</v>
      </c>
      <c r="E6" s="19" t="s">
        <v>19</v>
      </c>
      <c r="F6" s="18" t="s">
        <v>20</v>
      </c>
      <c r="G6" s="19" t="s">
        <v>20</v>
      </c>
      <c r="H6" s="18" t="s">
        <v>21</v>
      </c>
      <c r="I6" s="19" t="s">
        <v>21</v>
      </c>
      <c r="J6" s="18" t="s">
        <v>22</v>
      </c>
      <c r="K6" s="19" t="s">
        <v>22</v>
      </c>
      <c r="L6" s="18" t="s">
        <v>23</v>
      </c>
      <c r="M6" s="19" t="s">
        <v>23</v>
      </c>
      <c r="N6" s="18" t="s">
        <v>24</v>
      </c>
      <c r="O6" s="19" t="s">
        <v>24</v>
      </c>
      <c r="P6" s="18" t="s">
        <v>25</v>
      </c>
      <c r="Q6" s="19" t="s">
        <v>25</v>
      </c>
      <c r="R6" s="18" t="s">
        <v>26</v>
      </c>
      <c r="S6" s="19" t="s">
        <v>26</v>
      </c>
      <c r="T6" s="18" t="str">
        <f>IF($T$8=0,"","ZG11")</f>
        <v/>
      </c>
      <c r="U6" s="92" t="str">
        <f>IF($T$8=0,"","ZG11")</f>
        <v/>
      </c>
      <c r="V6" s="18" t="str">
        <f>IF($V$8=0,"","ZG12")</f>
        <v/>
      </c>
      <c r="W6" s="19" t="str">
        <f>IF($V$8=0,"","ZG12")</f>
        <v/>
      </c>
      <c r="X6" s="17"/>
      <c r="Y6" s="17"/>
      <c r="Z6" s="17"/>
      <c r="AA6" s="17"/>
      <c r="AB6" s="17"/>
    </row>
    <row r="7" spans="1:28" x14ac:dyDescent="0.25">
      <c r="A7" s="17"/>
      <c r="B7" s="20">
        <f>($B$3)*10</f>
        <v>12</v>
      </c>
      <c r="C7" s="21">
        <v>1</v>
      </c>
      <c r="D7" s="20">
        <f>(D$3)*50</f>
        <v>60</v>
      </c>
      <c r="E7" s="21">
        <v>1</v>
      </c>
      <c r="F7" s="20">
        <f>(F$3)*250</f>
        <v>300</v>
      </c>
      <c r="G7" s="21">
        <v>1</v>
      </c>
      <c r="H7" s="20">
        <f>(H$3)*850</f>
        <v>1020</v>
      </c>
      <c r="I7" s="21">
        <v>1</v>
      </c>
      <c r="J7" s="20">
        <f>(J$3)*1200</f>
        <v>1440</v>
      </c>
      <c r="K7" s="21">
        <v>1</v>
      </c>
      <c r="L7" s="20">
        <f>(L$3)*2000</f>
        <v>2400</v>
      </c>
      <c r="M7" s="21">
        <v>1</v>
      </c>
      <c r="N7" s="20">
        <f>(N$3)*5000</f>
        <v>6000</v>
      </c>
      <c r="O7" s="21">
        <v>1</v>
      </c>
      <c r="P7" s="20">
        <f>(P$3)*10000</f>
        <v>12000</v>
      </c>
      <c r="Q7" s="21">
        <v>1</v>
      </c>
      <c r="R7" s="20">
        <f>(R$3)*20000</f>
        <v>24000</v>
      </c>
      <c r="S7" s="21">
        <v>1</v>
      </c>
      <c r="T7" s="48">
        <v>30000</v>
      </c>
      <c r="U7" s="49">
        <v>1</v>
      </c>
      <c r="V7" s="48">
        <v>50000</v>
      </c>
      <c r="W7" s="49">
        <v>1</v>
      </c>
      <c r="X7" s="17"/>
      <c r="Y7" s="17"/>
      <c r="Z7" s="17"/>
      <c r="AA7" s="17"/>
      <c r="AB7" s="17"/>
    </row>
    <row r="8" spans="1:28" x14ac:dyDescent="0.25">
      <c r="A8" s="17"/>
      <c r="B8" s="22">
        <f>($B$3)*9.1</f>
        <v>10.92</v>
      </c>
      <c r="C8" s="23">
        <v>5</v>
      </c>
      <c r="D8" s="22">
        <f>(D$3)*45.5</f>
        <v>54.6</v>
      </c>
      <c r="E8" s="23">
        <v>5</v>
      </c>
      <c r="F8" s="22">
        <f>(F$3)*227.5</f>
        <v>273</v>
      </c>
      <c r="G8" s="23">
        <v>5</v>
      </c>
      <c r="H8" s="22">
        <f>(H$3)*773.5</f>
        <v>928.19999999999993</v>
      </c>
      <c r="I8" s="23">
        <v>5</v>
      </c>
      <c r="J8" s="22">
        <f>(J$3)*1092</f>
        <v>1310.3999999999999</v>
      </c>
      <c r="K8" s="23">
        <v>5</v>
      </c>
      <c r="L8" s="22">
        <f>(L$3)*1820</f>
        <v>2184</v>
      </c>
      <c r="M8" s="23">
        <v>5</v>
      </c>
      <c r="N8" s="22">
        <f>(N$3)*4550</f>
        <v>5460</v>
      </c>
      <c r="O8" s="23">
        <v>5</v>
      </c>
      <c r="P8" s="22">
        <f>(P$3)*9100</f>
        <v>10920</v>
      </c>
      <c r="Q8" s="23">
        <v>5</v>
      </c>
      <c r="R8" s="22">
        <f>(R$3)*18200</f>
        <v>21840</v>
      </c>
      <c r="S8" s="23">
        <v>5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 x14ac:dyDescent="0.25">
      <c r="A9" s="17"/>
      <c r="B9" s="22">
        <f>($B$3)*8.3</f>
        <v>9.9600000000000009</v>
      </c>
      <c r="C9" s="23">
        <v>10</v>
      </c>
      <c r="D9" s="22">
        <f>(D$3)*41.5</f>
        <v>49.8</v>
      </c>
      <c r="E9" s="23">
        <v>10</v>
      </c>
      <c r="F9" s="22">
        <f>(F$3)*207.5</f>
        <v>249</v>
      </c>
      <c r="G9" s="23">
        <v>10</v>
      </c>
      <c r="H9" s="22">
        <f>(H$3)*705.5</f>
        <v>846.6</v>
      </c>
      <c r="I9" s="23">
        <v>10</v>
      </c>
      <c r="J9" s="22">
        <f>(J$3)*996</f>
        <v>1195.2</v>
      </c>
      <c r="K9" s="23">
        <v>10</v>
      </c>
      <c r="L9" s="22">
        <f>(L$3)*1660</f>
        <v>1992</v>
      </c>
      <c r="M9" s="23">
        <v>10</v>
      </c>
      <c r="N9" s="22">
        <f>(N$3)*4150</f>
        <v>4980</v>
      </c>
      <c r="O9" s="23">
        <v>10</v>
      </c>
      <c r="P9" s="22">
        <f>(P$3)*8300</f>
        <v>9960</v>
      </c>
      <c r="Q9" s="23">
        <v>10</v>
      </c>
      <c r="R9" s="22">
        <f>(R$3)*16600</f>
        <v>19920</v>
      </c>
      <c r="S9" s="23">
        <v>10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 x14ac:dyDescent="0.25">
      <c r="A10" s="17"/>
      <c r="B10" s="22">
        <f>($B$3)*7.7</f>
        <v>9.24</v>
      </c>
      <c r="C10" s="23">
        <v>15</v>
      </c>
      <c r="D10" s="22">
        <f>(D$3)*38.5</f>
        <v>46.199999999999996</v>
      </c>
      <c r="E10" s="23">
        <v>15</v>
      </c>
      <c r="F10" s="22">
        <f>(F$3)*192.5</f>
        <v>231</v>
      </c>
      <c r="G10" s="23">
        <v>15</v>
      </c>
      <c r="H10" s="22">
        <f>(H$3)*654.5</f>
        <v>785.4</v>
      </c>
      <c r="I10" s="23">
        <v>15</v>
      </c>
      <c r="J10" s="22">
        <f>(J$3)*924</f>
        <v>1108.8</v>
      </c>
      <c r="K10" s="23">
        <v>15</v>
      </c>
      <c r="L10" s="22">
        <f>(L$3)*1540</f>
        <v>1848</v>
      </c>
      <c r="M10" s="23">
        <v>15</v>
      </c>
      <c r="N10" s="22">
        <f>(N$3)*3850</f>
        <v>4620</v>
      </c>
      <c r="O10" s="23">
        <v>15</v>
      </c>
      <c r="P10" s="22">
        <f>(P$3)*7700</f>
        <v>9240</v>
      </c>
      <c r="Q10" s="23">
        <v>15</v>
      </c>
      <c r="R10" s="22">
        <f>(R$3)*15400</f>
        <v>18480</v>
      </c>
      <c r="S10" s="23">
        <v>15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 x14ac:dyDescent="0.25">
      <c r="A11" s="17"/>
      <c r="B11" s="22">
        <f>($B$3)*7.2</f>
        <v>8.64</v>
      </c>
      <c r="C11" s="23">
        <v>20</v>
      </c>
      <c r="D11" s="22">
        <f>(D$3)*36</f>
        <v>43.199999999999996</v>
      </c>
      <c r="E11" s="23">
        <v>20</v>
      </c>
      <c r="F11" s="22">
        <f>(F$3)*180</f>
        <v>216</v>
      </c>
      <c r="G11" s="23">
        <v>20</v>
      </c>
      <c r="H11" s="22">
        <f>(H$3)*612</f>
        <v>734.4</v>
      </c>
      <c r="I11" s="23">
        <v>20</v>
      </c>
      <c r="J11" s="22">
        <f>(J$3)*864</f>
        <v>1036.8</v>
      </c>
      <c r="K11" s="23">
        <v>20</v>
      </c>
      <c r="L11" s="22">
        <f>(L$3)*1440</f>
        <v>1728</v>
      </c>
      <c r="M11" s="23">
        <v>20</v>
      </c>
      <c r="N11" s="22">
        <f>(N$3)*3600</f>
        <v>4320</v>
      </c>
      <c r="O11" s="23">
        <v>20</v>
      </c>
      <c r="P11" s="22">
        <f>(P$3)*7200</f>
        <v>8640</v>
      </c>
      <c r="Q11" s="23">
        <v>20</v>
      </c>
      <c r="R11" s="22">
        <f>(R$3)*14400</f>
        <v>17280</v>
      </c>
      <c r="S11" s="23">
        <v>20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 x14ac:dyDescent="0.25">
      <c r="A12" s="17"/>
      <c r="B12" s="22">
        <f>($B$3)*6.8</f>
        <v>8.16</v>
      </c>
      <c r="C12" s="23">
        <v>25</v>
      </c>
      <c r="D12" s="22">
        <f>(D$3)*34</f>
        <v>40.799999999999997</v>
      </c>
      <c r="E12" s="23">
        <v>25</v>
      </c>
      <c r="F12" s="22">
        <f>(F$3)*170</f>
        <v>204</v>
      </c>
      <c r="G12" s="23">
        <v>25</v>
      </c>
      <c r="H12" s="22">
        <f>(H$3)*578</f>
        <v>693.6</v>
      </c>
      <c r="I12" s="23">
        <v>25</v>
      </c>
      <c r="J12" s="22">
        <f>(J$3)*816</f>
        <v>979.19999999999993</v>
      </c>
      <c r="K12" s="23">
        <v>25</v>
      </c>
      <c r="L12" s="22">
        <f>(L$3)*1360</f>
        <v>1632</v>
      </c>
      <c r="M12" s="23">
        <v>25</v>
      </c>
      <c r="N12" s="22">
        <f>(N$3)*3400</f>
        <v>4080</v>
      </c>
      <c r="O12" s="23">
        <v>25</v>
      </c>
      <c r="P12" s="22">
        <f>(P$3)*6800</f>
        <v>8160</v>
      </c>
      <c r="Q12" s="23">
        <v>25</v>
      </c>
      <c r="R12" s="22">
        <f>(R$3)*13600</f>
        <v>16320</v>
      </c>
      <c r="S12" s="23">
        <v>25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 x14ac:dyDescent="0.25">
      <c r="A13" s="17"/>
      <c r="B13" s="22">
        <f>($B$3)*6.55</f>
        <v>7.8599999999999994</v>
      </c>
      <c r="C13" s="23">
        <v>30</v>
      </c>
      <c r="D13" s="22">
        <f>(D$3)*32.75</f>
        <v>39.299999999999997</v>
      </c>
      <c r="E13" s="23">
        <v>30</v>
      </c>
      <c r="F13" s="22">
        <f>(F$3)*163.75</f>
        <v>196.5</v>
      </c>
      <c r="G13" s="23">
        <v>30</v>
      </c>
      <c r="H13" s="22">
        <f>(H$3)*556.75</f>
        <v>668.1</v>
      </c>
      <c r="I13" s="23">
        <v>30</v>
      </c>
      <c r="J13" s="22">
        <f>(J$3)*786</f>
        <v>943.19999999999993</v>
      </c>
      <c r="K13" s="23">
        <v>30</v>
      </c>
      <c r="L13" s="22">
        <f>(L$3)*1310</f>
        <v>1572</v>
      </c>
      <c r="M13" s="23">
        <v>30</v>
      </c>
      <c r="N13" s="22">
        <f>(N$3)*3275</f>
        <v>3930</v>
      </c>
      <c r="O13" s="23">
        <v>30</v>
      </c>
      <c r="P13" s="22">
        <f>(P$3)*6550</f>
        <v>7860</v>
      </c>
      <c r="Q13" s="23">
        <v>30</v>
      </c>
      <c r="R13" s="22">
        <f>(R$3)*13100</f>
        <v>15720</v>
      </c>
      <c r="S13" s="23">
        <v>30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 x14ac:dyDescent="0.25">
      <c r="A14" s="17"/>
      <c r="B14" s="22">
        <f>($B$3)*6.3</f>
        <v>7.56</v>
      </c>
      <c r="C14" s="23">
        <v>35</v>
      </c>
      <c r="D14" s="22">
        <f>(D$3)*31.5</f>
        <v>37.799999999999997</v>
      </c>
      <c r="E14" s="23">
        <v>35</v>
      </c>
      <c r="F14" s="22">
        <f>(F$3)*157.5</f>
        <v>189</v>
      </c>
      <c r="G14" s="23">
        <v>35</v>
      </c>
      <c r="H14" s="22">
        <f>(H$3)*535.5</f>
        <v>642.6</v>
      </c>
      <c r="I14" s="23">
        <v>35</v>
      </c>
      <c r="J14" s="22">
        <f>(J$3)*756</f>
        <v>907.19999999999993</v>
      </c>
      <c r="K14" s="23">
        <v>35</v>
      </c>
      <c r="L14" s="22">
        <f>(L$3)*1260</f>
        <v>1512</v>
      </c>
      <c r="M14" s="23">
        <v>35</v>
      </c>
      <c r="N14" s="22">
        <f>(N$3)*3150</f>
        <v>3780</v>
      </c>
      <c r="O14" s="23">
        <v>35</v>
      </c>
      <c r="P14" s="22">
        <f>(P$3)*6300</f>
        <v>7560</v>
      </c>
      <c r="Q14" s="23">
        <v>35</v>
      </c>
      <c r="R14" s="22">
        <f>(R$3)*12600</f>
        <v>15120</v>
      </c>
      <c r="S14" s="23">
        <v>35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 x14ac:dyDescent="0.25">
      <c r="A15" s="17"/>
      <c r="B15" s="22">
        <f>($B$3)*6.15</f>
        <v>7.38</v>
      </c>
      <c r="C15" s="23">
        <v>40</v>
      </c>
      <c r="D15" s="22">
        <f>(D$3)*30.75</f>
        <v>36.9</v>
      </c>
      <c r="E15" s="23">
        <v>40</v>
      </c>
      <c r="F15" s="22">
        <f>(F$3)*153.75</f>
        <v>184.5</v>
      </c>
      <c r="G15" s="23">
        <v>40</v>
      </c>
      <c r="H15" s="22">
        <f>(H$3)*522.75</f>
        <v>627.29999999999995</v>
      </c>
      <c r="I15" s="23">
        <v>40</v>
      </c>
      <c r="J15" s="22">
        <f>(J$3)*738</f>
        <v>885.6</v>
      </c>
      <c r="K15" s="23">
        <v>40</v>
      </c>
      <c r="L15" s="22">
        <f>(L$3)*1230</f>
        <v>1476</v>
      </c>
      <c r="M15" s="23">
        <v>40</v>
      </c>
      <c r="N15" s="22">
        <f>(N$3)*3075</f>
        <v>3690</v>
      </c>
      <c r="O15" s="23">
        <v>40</v>
      </c>
      <c r="P15" s="22">
        <f>(P$3)*6150</f>
        <v>7380</v>
      </c>
      <c r="Q15" s="23">
        <v>40</v>
      </c>
      <c r="R15" s="22">
        <f>(R$3)*12300</f>
        <v>14760</v>
      </c>
      <c r="S15" s="23">
        <v>40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 x14ac:dyDescent="0.25">
      <c r="A16" s="17"/>
      <c r="B16" s="22">
        <f>($B$3)*6</f>
        <v>7.1999999999999993</v>
      </c>
      <c r="C16" s="23">
        <v>45</v>
      </c>
      <c r="D16" s="22">
        <f>(D$3)*30</f>
        <v>36</v>
      </c>
      <c r="E16" s="23">
        <v>45</v>
      </c>
      <c r="F16" s="22">
        <f>(F$3)*150</f>
        <v>180</v>
      </c>
      <c r="G16" s="23">
        <v>45</v>
      </c>
      <c r="H16" s="22">
        <f>(H$3)*510</f>
        <v>612</v>
      </c>
      <c r="I16" s="23">
        <v>45</v>
      </c>
      <c r="J16" s="22">
        <f>(J$3)*720</f>
        <v>864</v>
      </c>
      <c r="K16" s="23">
        <v>45</v>
      </c>
      <c r="L16" s="22">
        <f>(L$3)*1200</f>
        <v>1440</v>
      </c>
      <c r="M16" s="23">
        <v>45</v>
      </c>
      <c r="N16" s="22">
        <f>(N$3)*3000</f>
        <v>3600</v>
      </c>
      <c r="O16" s="23">
        <v>45</v>
      </c>
      <c r="P16" s="22">
        <f>(P$3)*6000</f>
        <v>7200</v>
      </c>
      <c r="Q16" s="23">
        <v>45</v>
      </c>
      <c r="R16" s="22">
        <f>(R$3)*12000</f>
        <v>14400</v>
      </c>
      <c r="S16" s="23">
        <v>45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 x14ac:dyDescent="0.25">
      <c r="A17" s="17"/>
      <c r="B17" s="22">
        <f>($B$3)*5.86</f>
        <v>7.032</v>
      </c>
      <c r="C17" s="23">
        <v>50</v>
      </c>
      <c r="D17" s="22">
        <f>(D$3)*29.3</f>
        <v>35.159999999999997</v>
      </c>
      <c r="E17" s="23">
        <v>50</v>
      </c>
      <c r="F17" s="22">
        <f>(F$3)*146.5</f>
        <v>175.79999999999998</v>
      </c>
      <c r="G17" s="23">
        <v>50</v>
      </c>
      <c r="H17" s="22">
        <f>(H$3)*498.1</f>
        <v>597.72</v>
      </c>
      <c r="I17" s="23">
        <v>50</v>
      </c>
      <c r="J17" s="22">
        <f>(J$3)*703.2</f>
        <v>843.84</v>
      </c>
      <c r="K17" s="23">
        <v>50</v>
      </c>
      <c r="L17" s="22">
        <f>(L$3)*1172</f>
        <v>1406.3999999999999</v>
      </c>
      <c r="M17" s="23">
        <v>50</v>
      </c>
      <c r="N17" s="22">
        <f>(N$3)*2930</f>
        <v>3516</v>
      </c>
      <c r="O17" s="23">
        <v>50</v>
      </c>
      <c r="P17" s="22">
        <f>(P$3)*5860</f>
        <v>7032</v>
      </c>
      <c r="Q17" s="23">
        <v>50</v>
      </c>
      <c r="R17" s="22">
        <f>(R$3)*11720</f>
        <v>14064</v>
      </c>
      <c r="S17" s="23">
        <v>50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 x14ac:dyDescent="0.25">
      <c r="A18" s="17"/>
      <c r="B18" s="22">
        <f>($B$3)*5.7</f>
        <v>6.84</v>
      </c>
      <c r="C18" s="23">
        <v>55</v>
      </c>
      <c r="D18" s="22">
        <f>(D$3)*28.5</f>
        <v>34.199999999999996</v>
      </c>
      <c r="E18" s="23">
        <v>55</v>
      </c>
      <c r="F18" s="22">
        <f>(F$3)*142.5</f>
        <v>171</v>
      </c>
      <c r="G18" s="23">
        <v>55</v>
      </c>
      <c r="H18" s="22">
        <f>(H$3)*484.5</f>
        <v>581.4</v>
      </c>
      <c r="I18" s="23">
        <v>55</v>
      </c>
      <c r="J18" s="22">
        <f>(J$3)*684</f>
        <v>820.8</v>
      </c>
      <c r="K18" s="23">
        <v>55</v>
      </c>
      <c r="L18" s="22">
        <f>(L$3)*1140</f>
        <v>1368</v>
      </c>
      <c r="M18" s="23">
        <v>55</v>
      </c>
      <c r="N18" s="22">
        <f>(N$3)*2850</f>
        <v>3420</v>
      </c>
      <c r="O18" s="23">
        <v>55</v>
      </c>
      <c r="P18" s="22">
        <f>(P$3)*5700</f>
        <v>6840</v>
      </c>
      <c r="Q18" s="23">
        <v>55</v>
      </c>
      <c r="R18" s="22">
        <f>(R$3)*11400</f>
        <v>13680</v>
      </c>
      <c r="S18" s="23">
        <v>55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 x14ac:dyDescent="0.25">
      <c r="A19" s="17"/>
      <c r="B19" s="22">
        <f>($B$3)*5.6</f>
        <v>6.72</v>
      </c>
      <c r="C19" s="23">
        <v>60</v>
      </c>
      <c r="D19" s="22">
        <f>(D$3)*28</f>
        <v>33.6</v>
      </c>
      <c r="E19" s="23">
        <v>60</v>
      </c>
      <c r="F19" s="22">
        <f>(F$3)*140</f>
        <v>168</v>
      </c>
      <c r="G19" s="23">
        <v>60</v>
      </c>
      <c r="H19" s="22">
        <f>(H$3)*476</f>
        <v>571.19999999999993</v>
      </c>
      <c r="I19" s="23">
        <v>60</v>
      </c>
      <c r="J19" s="22">
        <f>(J$3)*672</f>
        <v>806.4</v>
      </c>
      <c r="K19" s="23">
        <v>60</v>
      </c>
      <c r="L19" s="22">
        <f>(L$3)*1120</f>
        <v>1344</v>
      </c>
      <c r="M19" s="23">
        <v>60</v>
      </c>
      <c r="N19" s="22">
        <f>(N$3)*2800</f>
        <v>3360</v>
      </c>
      <c r="O19" s="23">
        <v>60</v>
      </c>
      <c r="P19" s="22">
        <f>(P$3)*5600</f>
        <v>6720</v>
      </c>
      <c r="Q19" s="23">
        <v>60</v>
      </c>
      <c r="R19" s="22">
        <f>(R$3)*11200</f>
        <v>13440</v>
      </c>
      <c r="S19" s="23">
        <v>60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 x14ac:dyDescent="0.25">
      <c r="A20" s="17"/>
      <c r="B20" s="22">
        <f>($B$3)*5.5</f>
        <v>6.6</v>
      </c>
      <c r="C20" s="23">
        <v>65</v>
      </c>
      <c r="D20" s="22">
        <f>(D$3)*27.5</f>
        <v>33</v>
      </c>
      <c r="E20" s="23">
        <v>65</v>
      </c>
      <c r="F20" s="22">
        <f>(F$3)*137.5</f>
        <v>165</v>
      </c>
      <c r="G20" s="23">
        <v>65</v>
      </c>
      <c r="H20" s="22">
        <f>(H$3)*467.5</f>
        <v>561</v>
      </c>
      <c r="I20" s="23">
        <v>65</v>
      </c>
      <c r="J20" s="22">
        <f>(J$3)*660</f>
        <v>792</v>
      </c>
      <c r="K20" s="23">
        <v>65</v>
      </c>
      <c r="L20" s="22">
        <f>(L$3)*1100</f>
        <v>1320</v>
      </c>
      <c r="M20" s="23">
        <v>65</v>
      </c>
      <c r="N20" s="22">
        <f>(N$3)*2750</f>
        <v>3300</v>
      </c>
      <c r="O20" s="23">
        <v>65</v>
      </c>
      <c r="P20" s="22">
        <f>(P$3)*5500</f>
        <v>6600</v>
      </c>
      <c r="Q20" s="23">
        <v>65</v>
      </c>
      <c r="R20" s="22">
        <f>(R$3)*11000</f>
        <v>13200</v>
      </c>
      <c r="S20" s="23">
        <v>65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 x14ac:dyDescent="0.25">
      <c r="A21" s="17"/>
      <c r="B21" s="22">
        <f>($B$3)*5.4</f>
        <v>6.48</v>
      </c>
      <c r="C21" s="23">
        <v>70</v>
      </c>
      <c r="D21" s="22">
        <f>(D$3)*27</f>
        <v>32.4</v>
      </c>
      <c r="E21" s="23">
        <v>70</v>
      </c>
      <c r="F21" s="22">
        <f>(F$3)*135</f>
        <v>162</v>
      </c>
      <c r="G21" s="23">
        <v>70</v>
      </c>
      <c r="H21" s="22">
        <f>(H$3)*459</f>
        <v>550.79999999999995</v>
      </c>
      <c r="I21" s="23">
        <v>70</v>
      </c>
      <c r="J21" s="22">
        <f>(J$3)*648</f>
        <v>777.6</v>
      </c>
      <c r="K21" s="23">
        <v>70</v>
      </c>
      <c r="L21" s="22">
        <f>(L$3)*1080</f>
        <v>1296</v>
      </c>
      <c r="M21" s="23">
        <v>70</v>
      </c>
      <c r="N21" s="22">
        <f>(N$3)*2700</f>
        <v>3240</v>
      </c>
      <c r="O21" s="23">
        <v>70</v>
      </c>
      <c r="P21" s="22">
        <f>(P$3)*5400</f>
        <v>6480</v>
      </c>
      <c r="Q21" s="23">
        <v>70</v>
      </c>
      <c r="R21" s="22">
        <f>(R$3)*10800</f>
        <v>12960</v>
      </c>
      <c r="S21" s="23">
        <v>70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 x14ac:dyDescent="0.25">
      <c r="A22" s="17"/>
      <c r="B22" s="22">
        <f>($B$3)*5.3</f>
        <v>6.3599999999999994</v>
      </c>
      <c r="C22" s="23">
        <v>75</v>
      </c>
      <c r="D22" s="22">
        <f>(D$3)*26.5</f>
        <v>31.799999999999997</v>
      </c>
      <c r="E22" s="23">
        <v>75</v>
      </c>
      <c r="F22" s="22">
        <f>(F$3)*132.5</f>
        <v>159</v>
      </c>
      <c r="G22" s="23">
        <v>75</v>
      </c>
      <c r="H22" s="22">
        <f>(H$3)*450.5</f>
        <v>540.6</v>
      </c>
      <c r="I22" s="23">
        <v>75</v>
      </c>
      <c r="J22" s="22">
        <f>(J$3)*636</f>
        <v>763.19999999999993</v>
      </c>
      <c r="K22" s="23">
        <v>75</v>
      </c>
      <c r="L22" s="22">
        <f>(L$3)*1060</f>
        <v>1272</v>
      </c>
      <c r="M22" s="23">
        <v>75</v>
      </c>
      <c r="N22" s="22">
        <f>(N$3)*2650</f>
        <v>3180</v>
      </c>
      <c r="O22" s="23">
        <v>75</v>
      </c>
      <c r="P22" s="22">
        <f>(P$3)*5300</f>
        <v>6360</v>
      </c>
      <c r="Q22" s="23">
        <v>75</v>
      </c>
      <c r="R22" s="22">
        <f>(R$3)*10600</f>
        <v>12720</v>
      </c>
      <c r="S22" s="23">
        <v>75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 x14ac:dyDescent="0.25">
      <c r="A23" s="17"/>
      <c r="B23" s="22">
        <f>($B$3)*5.2</f>
        <v>6.24</v>
      </c>
      <c r="C23" s="23">
        <v>80</v>
      </c>
      <c r="D23" s="22">
        <f>(D$3)*26</f>
        <v>31.2</v>
      </c>
      <c r="E23" s="23">
        <v>80</v>
      </c>
      <c r="F23" s="22">
        <f>(F$3)*130</f>
        <v>156</v>
      </c>
      <c r="G23" s="23">
        <v>80</v>
      </c>
      <c r="H23" s="22">
        <f>(H$3)*442</f>
        <v>530.4</v>
      </c>
      <c r="I23" s="23">
        <v>80</v>
      </c>
      <c r="J23" s="22">
        <f>(J$3)*624</f>
        <v>748.8</v>
      </c>
      <c r="K23" s="23">
        <v>80</v>
      </c>
      <c r="L23" s="22">
        <f>(L$3)*1040</f>
        <v>1248</v>
      </c>
      <c r="M23" s="23">
        <v>80</v>
      </c>
      <c r="N23" s="22">
        <f>(N$3)*2600</f>
        <v>3120</v>
      </c>
      <c r="O23" s="23">
        <v>80</v>
      </c>
      <c r="P23" s="22">
        <f>(P$3)*5200</f>
        <v>6240</v>
      </c>
      <c r="Q23" s="23">
        <v>80</v>
      </c>
      <c r="R23" s="22">
        <f>(R$3)*10400</f>
        <v>12480</v>
      </c>
      <c r="S23" s="23">
        <v>80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 x14ac:dyDescent="0.25">
      <c r="A24" s="17"/>
      <c r="B24" s="22">
        <f>($B$3)*5.1</f>
        <v>6.1199999999999992</v>
      </c>
      <c r="C24" s="23">
        <v>85</v>
      </c>
      <c r="D24" s="22">
        <f>(D$3)*25.5</f>
        <v>30.599999999999998</v>
      </c>
      <c r="E24" s="23">
        <v>85</v>
      </c>
      <c r="F24" s="22">
        <f>(F$3)*127.5</f>
        <v>153</v>
      </c>
      <c r="G24" s="23">
        <v>85</v>
      </c>
      <c r="H24" s="22">
        <f>(H$3)*433.5</f>
        <v>520.19999999999993</v>
      </c>
      <c r="I24" s="23">
        <v>85</v>
      </c>
      <c r="J24" s="22">
        <f>(J$3)*612</f>
        <v>734.4</v>
      </c>
      <c r="K24" s="23">
        <v>85</v>
      </c>
      <c r="L24" s="22">
        <f>(L$3)*1020</f>
        <v>1224</v>
      </c>
      <c r="M24" s="23">
        <v>85</v>
      </c>
      <c r="N24" s="22">
        <f>(N$3)*2550</f>
        <v>3060</v>
      </c>
      <c r="O24" s="23">
        <v>85</v>
      </c>
      <c r="P24" s="22">
        <f>(P$3)*5100</f>
        <v>6120</v>
      </c>
      <c r="Q24" s="23">
        <v>85</v>
      </c>
      <c r="R24" s="22">
        <f>(R$3)*10200</f>
        <v>12240</v>
      </c>
      <c r="S24" s="23">
        <v>85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 x14ac:dyDescent="0.25">
      <c r="A25" s="17"/>
      <c r="B25" s="22">
        <f>($B$3)*5</f>
        <v>6</v>
      </c>
      <c r="C25" s="23">
        <v>90</v>
      </c>
      <c r="D25" s="22">
        <f>(D$3)*25</f>
        <v>30</v>
      </c>
      <c r="E25" s="23">
        <v>90</v>
      </c>
      <c r="F25" s="22">
        <f>(F$3)*125</f>
        <v>150</v>
      </c>
      <c r="G25" s="23">
        <v>90</v>
      </c>
      <c r="H25" s="22">
        <f>(H$3)*425</f>
        <v>510</v>
      </c>
      <c r="I25" s="23">
        <v>90</v>
      </c>
      <c r="J25" s="22">
        <f>(J$3)*600</f>
        <v>720</v>
      </c>
      <c r="K25" s="23">
        <v>90</v>
      </c>
      <c r="L25" s="22">
        <f>(L$3)*1000</f>
        <v>1200</v>
      </c>
      <c r="M25" s="23">
        <v>90</v>
      </c>
      <c r="N25" s="22">
        <f>(N$3)*2500</f>
        <v>3000</v>
      </c>
      <c r="O25" s="23">
        <v>90</v>
      </c>
      <c r="P25" s="22">
        <f>(P$3)*5000</f>
        <v>6000</v>
      </c>
      <c r="Q25" s="23">
        <v>90</v>
      </c>
      <c r="R25" s="22">
        <f>(R$3)*10000</f>
        <v>12000</v>
      </c>
      <c r="S25" s="23">
        <v>90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 x14ac:dyDescent="0.25">
      <c r="A26" s="17"/>
      <c r="B26" s="22">
        <f>($B$3)*4.9</f>
        <v>5.88</v>
      </c>
      <c r="C26" s="23">
        <v>95</v>
      </c>
      <c r="D26" s="22">
        <f>(D$3)*24.5</f>
        <v>29.4</v>
      </c>
      <c r="E26" s="23">
        <v>95</v>
      </c>
      <c r="F26" s="22">
        <f>(F$3)*122.5</f>
        <v>147</v>
      </c>
      <c r="G26" s="23">
        <v>95</v>
      </c>
      <c r="H26" s="22">
        <f>(H$3)*416.5</f>
        <v>499.79999999999995</v>
      </c>
      <c r="I26" s="23">
        <v>95</v>
      </c>
      <c r="J26" s="22">
        <f>(J$3)*588</f>
        <v>705.6</v>
      </c>
      <c r="K26" s="23">
        <v>95</v>
      </c>
      <c r="L26" s="22">
        <f>(L$3)*980</f>
        <v>1176</v>
      </c>
      <c r="M26" s="23">
        <v>95</v>
      </c>
      <c r="N26" s="22">
        <f>(N$3)*2450</f>
        <v>2940</v>
      </c>
      <c r="O26" s="23">
        <v>95</v>
      </c>
      <c r="P26" s="22">
        <f>(P$3)*4900</f>
        <v>5880</v>
      </c>
      <c r="Q26" s="23">
        <v>95</v>
      </c>
      <c r="R26" s="22">
        <f>(R$3)*9800</f>
        <v>11760</v>
      </c>
      <c r="S26" s="23">
        <v>95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 x14ac:dyDescent="0.25">
      <c r="A27" s="17"/>
      <c r="B27" s="22">
        <f>($B$3)*4.85</f>
        <v>5.8199999999999994</v>
      </c>
      <c r="C27" s="23">
        <v>100</v>
      </c>
      <c r="D27" s="22">
        <f>(D$3)*24.25</f>
        <v>29.099999999999998</v>
      </c>
      <c r="E27" s="23">
        <v>100</v>
      </c>
      <c r="F27" s="22">
        <f>(F$3)*121.25</f>
        <v>145.5</v>
      </c>
      <c r="G27" s="23">
        <v>100</v>
      </c>
      <c r="H27" s="22">
        <f>(H$3)*412.25</f>
        <v>494.7</v>
      </c>
      <c r="I27" s="23">
        <v>100</v>
      </c>
      <c r="J27" s="22">
        <f>(J$3)*582</f>
        <v>698.4</v>
      </c>
      <c r="K27" s="23">
        <v>100</v>
      </c>
      <c r="L27" s="22">
        <f>(L$3)*970</f>
        <v>1164</v>
      </c>
      <c r="M27" s="23">
        <v>100</v>
      </c>
      <c r="N27" s="22">
        <f>(N$3)*2425</f>
        <v>2910</v>
      </c>
      <c r="O27" s="23">
        <v>100</v>
      </c>
      <c r="P27" s="22">
        <f>(P$3)*4850</f>
        <v>5820</v>
      </c>
      <c r="Q27" s="23">
        <v>100</v>
      </c>
      <c r="R27" s="22">
        <f>(R$3)*9700</f>
        <v>11640</v>
      </c>
      <c r="S27" s="23">
        <v>100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 x14ac:dyDescent="0.25">
      <c r="A28" s="17"/>
      <c r="B28" s="22">
        <f>($B$3)*4.3</f>
        <v>5.1599999999999993</v>
      </c>
      <c r="C28" s="23">
        <v>150</v>
      </c>
      <c r="D28" s="22">
        <f>(D$3)*21.5</f>
        <v>25.8</v>
      </c>
      <c r="E28" s="23">
        <v>150</v>
      </c>
      <c r="F28" s="22">
        <f>(F$3)*107.5</f>
        <v>129</v>
      </c>
      <c r="G28" s="23">
        <v>150</v>
      </c>
      <c r="H28" s="22">
        <f>(H$3)*365.5</f>
        <v>438.59999999999997</v>
      </c>
      <c r="I28" s="23">
        <v>150</v>
      </c>
      <c r="J28" s="22">
        <f>(J$3)*516</f>
        <v>619.19999999999993</v>
      </c>
      <c r="K28" s="23">
        <v>150</v>
      </c>
      <c r="L28" s="22">
        <f>(L$3)*860</f>
        <v>1032</v>
      </c>
      <c r="M28" s="23">
        <v>150</v>
      </c>
      <c r="N28" s="22">
        <f>(N$3)*2150</f>
        <v>2580</v>
      </c>
      <c r="O28" s="23">
        <v>150</v>
      </c>
      <c r="P28" s="22">
        <f>(P$3)*4300</f>
        <v>5160</v>
      </c>
      <c r="Q28" s="23">
        <v>150</v>
      </c>
      <c r="R28" s="22">
        <f>(R$3)*8600</f>
        <v>10320</v>
      </c>
      <c r="S28" s="23">
        <v>150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 x14ac:dyDescent="0.25">
      <c r="A29" s="17"/>
      <c r="B29" s="22">
        <f>($B$3)*3.9</f>
        <v>4.68</v>
      </c>
      <c r="C29" s="23">
        <v>200</v>
      </c>
      <c r="D29" s="22">
        <f>(D$3)*19.5</f>
        <v>23.4</v>
      </c>
      <c r="E29" s="23">
        <v>200</v>
      </c>
      <c r="F29" s="22">
        <f>(F$3)*97.5</f>
        <v>117</v>
      </c>
      <c r="G29" s="23">
        <v>200</v>
      </c>
      <c r="H29" s="22">
        <f>(H$3)*331.5</f>
        <v>397.8</v>
      </c>
      <c r="I29" s="23">
        <v>200</v>
      </c>
      <c r="J29" s="22">
        <f>(J$3)*468</f>
        <v>561.6</v>
      </c>
      <c r="K29" s="23">
        <v>200</v>
      </c>
      <c r="L29" s="22">
        <f>(L$3)*780</f>
        <v>936</v>
      </c>
      <c r="M29" s="23">
        <v>200</v>
      </c>
      <c r="N29" s="22">
        <f>(N$3)*1950</f>
        <v>2340</v>
      </c>
      <c r="O29" s="23">
        <v>200</v>
      </c>
      <c r="P29" s="22">
        <f>(P$3)*3900</f>
        <v>4680</v>
      </c>
      <c r="Q29" s="23">
        <v>200</v>
      </c>
      <c r="R29" s="22">
        <f>(R$3)*7800</f>
        <v>9360</v>
      </c>
      <c r="S29" s="23">
        <v>200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 x14ac:dyDescent="0.25">
      <c r="A30" s="17"/>
      <c r="B30" s="22">
        <f>($B$3)*3.55</f>
        <v>4.26</v>
      </c>
      <c r="C30" s="23">
        <v>250</v>
      </c>
      <c r="D30" s="22">
        <f>(D$3)*17.75</f>
        <v>21.3</v>
      </c>
      <c r="E30" s="23">
        <v>250</v>
      </c>
      <c r="F30" s="22">
        <f>(F$3)*88.75</f>
        <v>106.5</v>
      </c>
      <c r="G30" s="23">
        <v>250</v>
      </c>
      <c r="H30" s="22">
        <f>(H$3)*301.75</f>
        <v>362.09999999999997</v>
      </c>
      <c r="I30" s="23">
        <v>250</v>
      </c>
      <c r="J30" s="22">
        <f>(J$3)*426</f>
        <v>511.2</v>
      </c>
      <c r="K30" s="23">
        <v>250</v>
      </c>
      <c r="L30" s="22">
        <f>(L$3)*710</f>
        <v>852</v>
      </c>
      <c r="M30" s="23">
        <v>250</v>
      </c>
      <c r="N30" s="22">
        <f>(N$3)*1775</f>
        <v>2130</v>
      </c>
      <c r="O30" s="23">
        <v>250</v>
      </c>
      <c r="P30" s="22">
        <f>(P$3)*3550</f>
        <v>4260</v>
      </c>
      <c r="Q30" s="23">
        <v>250</v>
      </c>
      <c r="R30" s="22">
        <f>(R$3)*7100</f>
        <v>8520</v>
      </c>
      <c r="S30" s="23">
        <v>250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 x14ac:dyDescent="0.25">
      <c r="A31" s="17"/>
      <c r="B31" s="22">
        <f>($B$3)*3.2</f>
        <v>3.84</v>
      </c>
      <c r="C31" s="23">
        <v>300</v>
      </c>
      <c r="D31" s="22">
        <f>(D$3)*16</f>
        <v>19.2</v>
      </c>
      <c r="E31" s="23">
        <v>300</v>
      </c>
      <c r="F31" s="22">
        <f>(F$3)*80</f>
        <v>96</v>
      </c>
      <c r="G31" s="23">
        <v>300</v>
      </c>
      <c r="H31" s="22">
        <f>(H$3)*272</f>
        <v>326.39999999999998</v>
      </c>
      <c r="I31" s="23">
        <v>300</v>
      </c>
      <c r="J31" s="22">
        <f>(J$3)*384</f>
        <v>460.79999999999995</v>
      </c>
      <c r="K31" s="23">
        <v>300</v>
      </c>
      <c r="L31" s="22">
        <f>(L$3)*640</f>
        <v>768</v>
      </c>
      <c r="M31" s="23">
        <v>300</v>
      </c>
      <c r="N31" s="22">
        <f>(N$3)*1600</f>
        <v>1920</v>
      </c>
      <c r="O31" s="23">
        <v>300</v>
      </c>
      <c r="P31" s="22">
        <f>(P$3)*3200</f>
        <v>3840</v>
      </c>
      <c r="Q31" s="23">
        <v>300</v>
      </c>
      <c r="R31" s="22">
        <f>(R$3)*6400</f>
        <v>7680</v>
      </c>
      <c r="S31" s="23">
        <v>300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 x14ac:dyDescent="0.25">
      <c r="A32" s="17"/>
      <c r="B32" s="22">
        <f>($B$3)*2.9</f>
        <v>3.48</v>
      </c>
      <c r="C32" s="23">
        <v>350</v>
      </c>
      <c r="D32" s="22">
        <f>(D$3)*14.5</f>
        <v>17.399999999999999</v>
      </c>
      <c r="E32" s="23">
        <v>350</v>
      </c>
      <c r="F32" s="22">
        <f>(F$3)*72.5</f>
        <v>87</v>
      </c>
      <c r="G32" s="23">
        <v>350</v>
      </c>
      <c r="H32" s="22">
        <f>(H$3)*246.5</f>
        <v>295.8</v>
      </c>
      <c r="I32" s="23">
        <v>350</v>
      </c>
      <c r="J32" s="22">
        <f>(J$3)*348</f>
        <v>417.59999999999997</v>
      </c>
      <c r="K32" s="23">
        <v>350</v>
      </c>
      <c r="L32" s="22">
        <f>(L$3)*580</f>
        <v>696</v>
      </c>
      <c r="M32" s="23">
        <v>350</v>
      </c>
      <c r="N32" s="22">
        <f>(N$3)*1450</f>
        <v>1740</v>
      </c>
      <c r="O32" s="23">
        <v>350</v>
      </c>
      <c r="P32" s="22">
        <f>(P$3)*2900</f>
        <v>3480</v>
      </c>
      <c r="Q32" s="23">
        <v>350</v>
      </c>
      <c r="R32" s="22">
        <f>(R$3)*5800</f>
        <v>6960</v>
      </c>
      <c r="S32" s="23">
        <v>350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 x14ac:dyDescent="0.25">
      <c r="A33" s="17"/>
      <c r="B33" s="22">
        <f>($B$3)*2.6</f>
        <v>3.12</v>
      </c>
      <c r="C33" s="23">
        <v>400</v>
      </c>
      <c r="D33" s="22">
        <f>(D$3)*13</f>
        <v>15.6</v>
      </c>
      <c r="E33" s="23">
        <v>400</v>
      </c>
      <c r="F33" s="22">
        <f>(F$3)*65</f>
        <v>78</v>
      </c>
      <c r="G33" s="23">
        <v>400</v>
      </c>
      <c r="H33" s="22">
        <f>(H$3)*221</f>
        <v>265.2</v>
      </c>
      <c r="I33" s="23">
        <v>400</v>
      </c>
      <c r="J33" s="22">
        <f>(J$3)*312</f>
        <v>374.4</v>
      </c>
      <c r="K33" s="23">
        <v>400</v>
      </c>
      <c r="L33" s="22">
        <f>(L$3)*520</f>
        <v>624</v>
      </c>
      <c r="M33" s="23">
        <v>400</v>
      </c>
      <c r="N33" s="22">
        <f>(N$3)*1300</f>
        <v>1560</v>
      </c>
      <c r="O33" s="23">
        <v>400</v>
      </c>
      <c r="P33" s="22">
        <f>(P$3)*2600</f>
        <v>3120</v>
      </c>
      <c r="Q33" s="23">
        <v>400</v>
      </c>
      <c r="R33" s="22">
        <f>(R$3)*5200</f>
        <v>6240</v>
      </c>
      <c r="S33" s="23">
        <v>400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 x14ac:dyDescent="0.25">
      <c r="A34" s="17"/>
      <c r="B34" s="22">
        <f>($B$3)*2.35</f>
        <v>2.82</v>
      </c>
      <c r="C34" s="23">
        <v>450</v>
      </c>
      <c r="D34" s="22">
        <f>(D$3)*11.75</f>
        <v>14.1</v>
      </c>
      <c r="E34" s="23">
        <v>450</v>
      </c>
      <c r="F34" s="22">
        <f>(F$3)*58.75</f>
        <v>70.5</v>
      </c>
      <c r="G34" s="23">
        <v>450</v>
      </c>
      <c r="H34" s="22">
        <f>(H$3)*199.75</f>
        <v>239.7</v>
      </c>
      <c r="I34" s="23">
        <v>450</v>
      </c>
      <c r="J34" s="22">
        <f>(J$3)*282</f>
        <v>338.4</v>
      </c>
      <c r="K34" s="23">
        <v>450</v>
      </c>
      <c r="L34" s="22">
        <f>(L$3)*470</f>
        <v>564</v>
      </c>
      <c r="M34" s="23">
        <v>450</v>
      </c>
      <c r="N34" s="22">
        <f>(N$3)*1175</f>
        <v>1410</v>
      </c>
      <c r="O34" s="23">
        <v>450</v>
      </c>
      <c r="P34" s="22">
        <f>(P$3)*2350</f>
        <v>2820</v>
      </c>
      <c r="Q34" s="23">
        <v>450</v>
      </c>
      <c r="R34" s="22">
        <f>(R$3)*4700</f>
        <v>5640</v>
      </c>
      <c r="S34" s="23">
        <v>450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 x14ac:dyDescent="0.25">
      <c r="A35" s="17"/>
      <c r="B35" s="22">
        <f>($B$3)*2.1</f>
        <v>2.52</v>
      </c>
      <c r="C35" s="23">
        <v>500</v>
      </c>
      <c r="D35" s="22">
        <f>(D$3)*10.5</f>
        <v>12.6</v>
      </c>
      <c r="E35" s="23">
        <v>500</v>
      </c>
      <c r="F35" s="22">
        <f>(F$3)*52.5</f>
        <v>63</v>
      </c>
      <c r="G35" s="23">
        <v>500</v>
      </c>
      <c r="H35" s="22">
        <f>(H$3)*178.5</f>
        <v>214.2</v>
      </c>
      <c r="I35" s="23">
        <v>500</v>
      </c>
      <c r="J35" s="22">
        <f>(J$3)*252</f>
        <v>302.39999999999998</v>
      </c>
      <c r="K35" s="23">
        <v>500</v>
      </c>
      <c r="L35" s="22">
        <f>(L$3)*420</f>
        <v>504</v>
      </c>
      <c r="M35" s="23">
        <v>500</v>
      </c>
      <c r="N35" s="22">
        <f>(N$3)*1050</f>
        <v>1260</v>
      </c>
      <c r="O35" s="23">
        <v>500</v>
      </c>
      <c r="P35" s="22">
        <f>(P$3)*2100</f>
        <v>2520</v>
      </c>
      <c r="Q35" s="23">
        <v>500</v>
      </c>
      <c r="R35" s="22">
        <f>(R$3)*4200</f>
        <v>5040</v>
      </c>
      <c r="S35" s="23">
        <v>500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 x14ac:dyDescent="0.25">
      <c r="A36" s="17"/>
      <c r="B36" s="22">
        <f>($B$3)*1.9</f>
        <v>2.2799999999999998</v>
      </c>
      <c r="C36" s="23">
        <v>550</v>
      </c>
      <c r="D36" s="22">
        <f>(D$3)*9.5</f>
        <v>11.4</v>
      </c>
      <c r="E36" s="23">
        <v>550</v>
      </c>
      <c r="F36" s="22">
        <f>(F$3)*47.5</f>
        <v>57</v>
      </c>
      <c r="G36" s="23">
        <v>550</v>
      </c>
      <c r="H36" s="22">
        <f>(H$3)*161.5</f>
        <v>193.79999999999998</v>
      </c>
      <c r="I36" s="23">
        <v>550</v>
      </c>
      <c r="J36" s="22">
        <f>(J$3)*228</f>
        <v>273.59999999999997</v>
      </c>
      <c r="K36" s="23">
        <v>550</v>
      </c>
      <c r="L36" s="22">
        <f>(L$3)*380</f>
        <v>456</v>
      </c>
      <c r="M36" s="23">
        <v>550</v>
      </c>
      <c r="N36" s="22">
        <f>(N$3)*950</f>
        <v>1140</v>
      </c>
      <c r="O36" s="23">
        <v>550</v>
      </c>
      <c r="P36" s="22">
        <f>(P$3)*1900</f>
        <v>2280</v>
      </c>
      <c r="Q36" s="23">
        <v>550</v>
      </c>
      <c r="R36" s="22">
        <f>(R$3)*3800</f>
        <v>4560</v>
      </c>
      <c r="S36" s="23">
        <v>550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 x14ac:dyDescent="0.25">
      <c r="A37" s="17"/>
      <c r="B37" s="22">
        <f>($B$3)*1.7</f>
        <v>2.04</v>
      </c>
      <c r="C37" s="23">
        <v>600</v>
      </c>
      <c r="D37" s="22">
        <f>(D$3)*8.5</f>
        <v>10.199999999999999</v>
      </c>
      <c r="E37" s="23">
        <v>600</v>
      </c>
      <c r="F37" s="22">
        <f>(F$3)*42.5</f>
        <v>51</v>
      </c>
      <c r="G37" s="23">
        <v>600</v>
      </c>
      <c r="H37" s="22">
        <f>(H$3)*144.5</f>
        <v>173.4</v>
      </c>
      <c r="I37" s="23">
        <v>600</v>
      </c>
      <c r="J37" s="22">
        <f>(J$3)*204</f>
        <v>244.79999999999998</v>
      </c>
      <c r="K37" s="23">
        <v>600</v>
      </c>
      <c r="L37" s="22">
        <f>(L$3)*340</f>
        <v>408</v>
      </c>
      <c r="M37" s="23">
        <v>600</v>
      </c>
      <c r="N37" s="22">
        <f>(N$3)*850</f>
        <v>1020</v>
      </c>
      <c r="O37" s="23">
        <v>600</v>
      </c>
      <c r="P37" s="22">
        <f>(P$3)*1700</f>
        <v>2040</v>
      </c>
      <c r="Q37" s="23">
        <v>600</v>
      </c>
      <c r="R37" s="22">
        <f>(R$3)*3400</f>
        <v>4080</v>
      </c>
      <c r="S37" s="23">
        <v>600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 x14ac:dyDescent="0.25">
      <c r="A38" s="17"/>
      <c r="B38" s="22">
        <f>($B$3)*1.5</f>
        <v>1.7999999999999998</v>
      </c>
      <c r="C38" s="23">
        <v>650</v>
      </c>
      <c r="D38" s="22">
        <f>(D$3)*7.5</f>
        <v>9</v>
      </c>
      <c r="E38" s="23">
        <v>650</v>
      </c>
      <c r="F38" s="22">
        <f>(F$3)*37.5</f>
        <v>45</v>
      </c>
      <c r="G38" s="23">
        <v>650</v>
      </c>
      <c r="H38" s="22">
        <f>(H$3)*127.5</f>
        <v>153</v>
      </c>
      <c r="I38" s="23">
        <v>650</v>
      </c>
      <c r="J38" s="22">
        <f>(J$3)*180</f>
        <v>216</v>
      </c>
      <c r="K38" s="23">
        <v>650</v>
      </c>
      <c r="L38" s="22">
        <f>(L$3)*300</f>
        <v>360</v>
      </c>
      <c r="M38" s="23">
        <v>650</v>
      </c>
      <c r="N38" s="22">
        <f>(N$3)*750</f>
        <v>900</v>
      </c>
      <c r="O38" s="23">
        <v>650</v>
      </c>
      <c r="P38" s="22">
        <f>(P$3)*1500</f>
        <v>1800</v>
      </c>
      <c r="Q38" s="23">
        <v>650</v>
      </c>
      <c r="R38" s="22">
        <f>(R$3)*3000</f>
        <v>3600</v>
      </c>
      <c r="S38" s="23">
        <v>650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 x14ac:dyDescent="0.25">
      <c r="A39" s="17"/>
      <c r="B39" s="22">
        <f>($B$3)*1.32</f>
        <v>1.5840000000000001</v>
      </c>
      <c r="C39" s="23">
        <v>700</v>
      </c>
      <c r="D39" s="22">
        <f>(D$3)*6.6</f>
        <v>7.919999999999999</v>
      </c>
      <c r="E39" s="23">
        <v>700</v>
      </c>
      <c r="F39" s="22">
        <f>(F$3)*33</f>
        <v>39.6</v>
      </c>
      <c r="G39" s="23">
        <v>700</v>
      </c>
      <c r="H39" s="22">
        <f>(H$3)*112.2</f>
        <v>134.63999999999999</v>
      </c>
      <c r="I39" s="23">
        <v>700</v>
      </c>
      <c r="J39" s="22">
        <f>(J$3)*158.4</f>
        <v>190.08</v>
      </c>
      <c r="K39" s="23">
        <v>700</v>
      </c>
      <c r="L39" s="22">
        <f>(L$3)*264</f>
        <v>316.8</v>
      </c>
      <c r="M39" s="23">
        <v>700</v>
      </c>
      <c r="N39" s="22">
        <f>(N$3)*660</f>
        <v>792</v>
      </c>
      <c r="O39" s="23">
        <v>700</v>
      </c>
      <c r="P39" s="22">
        <f>(P$3)*1320</f>
        <v>1584</v>
      </c>
      <c r="Q39" s="23">
        <v>700</v>
      </c>
      <c r="R39" s="22">
        <f>(R$3)*2640</f>
        <v>3168</v>
      </c>
      <c r="S39" s="23">
        <v>700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x14ac:dyDescent="0.25">
      <c r="A40" s="17"/>
      <c r="B40" s="22">
        <f>($B$3)*1.15</f>
        <v>1.38</v>
      </c>
      <c r="C40" s="23">
        <v>750</v>
      </c>
      <c r="D40" s="22">
        <f>(D$3)*5.75</f>
        <v>6.8999999999999995</v>
      </c>
      <c r="E40" s="23">
        <v>750</v>
      </c>
      <c r="F40" s="22">
        <f>(F$3)*28.75</f>
        <v>34.5</v>
      </c>
      <c r="G40" s="23">
        <v>750</v>
      </c>
      <c r="H40" s="22">
        <f>(H$3)*97.75</f>
        <v>117.3</v>
      </c>
      <c r="I40" s="23">
        <v>750</v>
      </c>
      <c r="J40" s="22">
        <f>(J$3)*138</f>
        <v>165.6</v>
      </c>
      <c r="K40" s="23">
        <v>750</v>
      </c>
      <c r="L40" s="22">
        <f>(L$3)*230</f>
        <v>276</v>
      </c>
      <c r="M40" s="23">
        <v>750</v>
      </c>
      <c r="N40" s="22">
        <f>(N$3)*575</f>
        <v>690</v>
      </c>
      <c r="O40" s="23">
        <v>750</v>
      </c>
      <c r="P40" s="22">
        <f>(P$3)*1150</f>
        <v>1380</v>
      </c>
      <c r="Q40" s="23">
        <v>750</v>
      </c>
      <c r="R40" s="22">
        <f>(R$3)*2300</f>
        <v>2760</v>
      </c>
      <c r="S40" s="23">
        <v>750</v>
      </c>
      <c r="T40" s="50"/>
      <c r="U40" s="85"/>
      <c r="V40" s="50"/>
      <c r="W40" s="85"/>
      <c r="X40" s="17"/>
      <c r="Y40" s="17"/>
      <c r="Z40" s="17"/>
      <c r="AA40" s="17"/>
      <c r="AB40" s="17"/>
    </row>
    <row r="41" spans="1:31" ht="15.75" thickBot="1" x14ac:dyDescent="0.3">
      <c r="A41" s="17"/>
      <c r="B41" s="24">
        <f>($B$3)*1</f>
        <v>1.2</v>
      </c>
      <c r="C41" s="25">
        <v>800</v>
      </c>
      <c r="D41" s="24">
        <f>(D$3)*5</f>
        <v>6</v>
      </c>
      <c r="E41" s="25">
        <v>800</v>
      </c>
      <c r="F41" s="24">
        <f>(F$3)*25</f>
        <v>30</v>
      </c>
      <c r="G41" s="25">
        <v>800</v>
      </c>
      <c r="H41" s="24">
        <f>(H$3)*85</f>
        <v>102</v>
      </c>
      <c r="I41" s="25">
        <v>800</v>
      </c>
      <c r="J41" s="24">
        <f>(J$3)*120</f>
        <v>144</v>
      </c>
      <c r="K41" s="25">
        <v>800</v>
      </c>
      <c r="L41" s="24">
        <f>(L$3)*200</f>
        <v>240</v>
      </c>
      <c r="M41" s="25">
        <v>800</v>
      </c>
      <c r="N41" s="24">
        <f>(N$3)*500</f>
        <v>600</v>
      </c>
      <c r="O41" s="25">
        <v>800</v>
      </c>
      <c r="P41" s="24">
        <f>(P$3)*1000</f>
        <v>1200</v>
      </c>
      <c r="Q41" s="25">
        <v>800</v>
      </c>
      <c r="R41" s="24">
        <f>(R$3)*2000</f>
        <v>2400</v>
      </c>
      <c r="S41" s="25">
        <v>800</v>
      </c>
      <c r="T41" s="51"/>
      <c r="U41" s="94"/>
      <c r="V41" s="51"/>
      <c r="W41" s="94"/>
      <c r="X41" s="17"/>
      <c r="Y41" s="17"/>
      <c r="Z41" s="17"/>
      <c r="AA41" s="17"/>
      <c r="AB41" s="17"/>
    </row>
    <row r="42" spans="1:31" x14ac:dyDescent="0.25">
      <c r="A42" s="17" t="s">
        <v>289</v>
      </c>
      <c r="B42" s="45" cm="1">
        <f t="array" ref="B42">IF(VLOOKUP(Input!$D$15,C$7:C$41,1,TRUE)=Input!$D$15,INDEX(B$7:B$41,MATCH(VLOOKUP(Input!$D$15,C$7:C$41,1,TRUE),C$7:C$41)),INDEX(B$7:B$41,MATCH(VLOOKUP(Input!$D$15,C$7:C$41,1,TRUE),C$7:C$41)+1))</f>
        <v>12</v>
      </c>
      <c r="C42" s="46"/>
      <c r="D42" s="45" cm="1">
        <f t="array" ref="D42">IF(VLOOKUP(Input!$D$15,E$7:E$41,1,TRUE)=Input!$D$15,INDEX(D$7:D$41,MATCH(VLOOKUP(Input!$D$15,E$7:E$41,1,TRUE),E$7:E$41)),INDEX(D$7:D$41,MATCH(VLOOKUP(Input!$D$15,E$7:E$41,1,TRUE),E$7:E$41)+1))</f>
        <v>60</v>
      </c>
      <c r="E42" s="46"/>
      <c r="F42" s="45" cm="1">
        <f t="array" ref="F42">IF(VLOOKUP(Input!$D$15,G$7:G$41,1,TRUE)=Input!$D$15,INDEX(F$7:F$41,MATCH(VLOOKUP(Input!$D$15,G$7:G$41,1,TRUE),G$7:G$41)),INDEX(F$7:F$41,MATCH(VLOOKUP(Input!$D$15,G$7:G$41,1,TRUE),G$7:G$41)+1))</f>
        <v>300</v>
      </c>
      <c r="G42" s="46"/>
      <c r="H42" s="45" cm="1">
        <f t="array" ref="H42">IF(VLOOKUP(Input!$D$15,I$7:I$41,1,TRUE)=Input!$D$15,INDEX(H$7:H$41,MATCH(VLOOKUP(Input!$D$15,I$7:I$41,1,TRUE),I$7:I$41)),INDEX(H$7:H$41,MATCH(VLOOKUP(Input!$D$15,I$7:I$41,1,TRUE),I$7:I$41)+1))</f>
        <v>1020</v>
      </c>
      <c r="I42" s="46"/>
      <c r="J42" s="45" cm="1">
        <f t="array" ref="J42">IF(VLOOKUP(Input!$D$15,K$7:K$41,1,TRUE)=Input!$D$15,INDEX(J$7:J$41,MATCH(VLOOKUP(Input!$D$15,K$7:K$41,1,TRUE),K$7:K$41)),INDEX(J$7:J$41,MATCH(VLOOKUP(Input!$D$15,K$7:K$41,1,TRUE),K$7:K$41)+1))</f>
        <v>1440</v>
      </c>
      <c r="K42" s="46"/>
      <c r="L42" s="45" cm="1">
        <f t="array" ref="L42">IF(VLOOKUP(Input!$D$15,M$7:M$41,1,TRUE)=Input!$D$15,INDEX(L$7:L$41,MATCH(VLOOKUP(Input!$D$15,M$7:M$41,1,TRUE),M$7:M$41)),INDEX(L$7:L$41,MATCH(VLOOKUP(Input!$D$15,M$7:M$41,1,TRUE),M$7:M$41)+1))</f>
        <v>2400</v>
      </c>
      <c r="M42" s="46"/>
      <c r="N42" s="45" cm="1">
        <f t="array" ref="N42">IF(VLOOKUP(Input!$D$15,O$7:O$41,1,TRUE)=Input!$D$15,INDEX(N$7:N$41,MATCH(VLOOKUP(Input!$D$15,O$7:O$41,1,TRUE),O$7:O$41)),INDEX(N$7:N$41,MATCH(VLOOKUP(Input!$D$15,O$7:O$41,1,TRUE),O$7:O$41)+1))</f>
        <v>6000</v>
      </c>
      <c r="O42" s="46"/>
      <c r="P42" s="45" cm="1">
        <f t="array" ref="P42">IF(VLOOKUP(Input!$D$15,Q$7:Q$41,1,TRUE)=Input!$D$15,INDEX(P$7:P$41,MATCH(VLOOKUP(Input!$D$15,Q$7:Q$41,1,TRUE),Q$7:Q$41)),INDEX(P$7:P$41,MATCH(VLOOKUP(Input!$D$15,Q$7:Q$41,1,TRUE),Q$7:Q$41)+1))</f>
        <v>12000</v>
      </c>
      <c r="Q42" s="46"/>
      <c r="R42" s="45" cm="1">
        <f t="array" ref="R42">IF(VLOOKUP(Input!$D$15,S$7:S$41,1,TRUE)=Input!$D$15,INDEX(R$7:R$41,MATCH(VLOOKUP(Input!$D$15,S$7:S$41,1,TRUE),S$7:S$41)),INDEX(R$7:R$41,MATCH(VLOOKUP(Input!$D$15,S$7:S$41,1,TRUE),S$7:S$41)+1))</f>
        <v>24000</v>
      </c>
      <c r="S42" s="17"/>
      <c r="T42" s="45" cm="1">
        <f t="array" ref="T42">IF(VLOOKUP(Input!$D$15,U$7:U$41,1,TRUE)=Input!$D$15,INDEX(T$7:T$41,MATCH(VLOOKUP(Input!$D$15,U$7:U$41,1,TRUE),U$7:U$41)),INDEX(T$7:T$41,MATCH(VLOOKUP(Input!$D$15,U$7:U$41,1,TRUE),U$7:U$41)+1))</f>
        <v>30000</v>
      </c>
      <c r="U42" s="17"/>
      <c r="V42" s="45" cm="1">
        <f t="array" ref="V42">IF(VLOOKUP(Input!$D$15,W$7:W$41,1,TRUE)=Input!$D$15,INDEX(V$7:V$41,MATCH(VLOOKUP(Input!$D$15,W$7:W$41,1,TRUE),W$7:W$41)),INDEX(V$7:V$41,MATCH(VLOOKUP(Input!$D$15,W$7:W$41,1,TRUE),W$7:W$41)+1))</f>
        <v>50000</v>
      </c>
      <c r="W42" s="17"/>
      <c r="X42" s="17"/>
      <c r="Y42" s="17"/>
      <c r="Z42" s="17"/>
      <c r="AA42" s="17"/>
      <c r="AB42" s="17"/>
    </row>
    <row r="43" spans="1:31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5.75" thickBot="1" x14ac:dyDescent="0.3">
      <c r="A44" s="18" t="s">
        <v>35</v>
      </c>
      <c r="B44" s="19" t="str">
        <f>IF($R$42&lt;Input!D12,"N/A",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ZG!$R$6,))))))))))</f>
        <v>ZG5</v>
      </c>
      <c r="C44" s="17"/>
      <c r="D44" t="s">
        <v>147</v>
      </c>
      <c r="E44" s="17" t="str">
        <f>IF($V$42&lt;Input!D12,"N/A",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$42,$R$6,IF(Input!D12&lt;=$T$42,$T$6,IF(Input!D12&lt;=$V$42,$V$6,))))))))))))</f>
        <v>ZG5</v>
      </c>
      <c r="F44" s="47" t="str">
        <f>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ZG!$R$6,)))))))))</f>
        <v>ZG5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 x14ac:dyDescent="0.25">
      <c r="A45" s="17" t="s">
        <v>133</v>
      </c>
      <c r="B45" s="17" t="str">
        <f>Input!$D$27</f>
        <v>zg5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0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146</v>
      </c>
      <c r="N47" s="124" t="s">
        <v>256</v>
      </c>
      <c r="O47" s="17"/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 x14ac:dyDescent="0.3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/>
      <c r="P48" s="17"/>
      <c r="Q48" s="17"/>
      <c r="R48" s="17"/>
      <c r="S48" s="17"/>
      <c r="T48" s="17"/>
      <c r="U48" s="17"/>
      <c r="V48" s="224" t="s">
        <v>290</v>
      </c>
      <c r="W48" s="134"/>
      <c r="X48" s="130" t="s">
        <v>275</v>
      </c>
      <c r="Y48" s="138" t="s">
        <v>284</v>
      </c>
      <c r="Z48" s="130" t="s">
        <v>280</v>
      </c>
      <c r="AA48" s="138" t="s">
        <v>284</v>
      </c>
      <c r="AB48" s="17"/>
      <c r="AC48" s="17"/>
      <c r="AD48" s="17"/>
      <c r="AE48" s="17"/>
    </row>
    <row r="49" spans="1:30" ht="24.95" customHeight="1" x14ac:dyDescent="0.25">
      <c r="A49" s="141" t="s">
        <v>46</v>
      </c>
      <c r="B49" s="142" t="s">
        <v>18</v>
      </c>
      <c r="C49" s="142">
        <v>490</v>
      </c>
      <c r="D49" s="143">
        <v>70</v>
      </c>
      <c r="E49" s="142">
        <v>6.6849999999999996</v>
      </c>
      <c r="F49" s="142">
        <v>1000</v>
      </c>
      <c r="G49" s="142">
        <f>IF($B$44=$B49,Input!$D$12,IF($B$45=B49,Input!$D$12,10))</f>
        <v>10</v>
      </c>
      <c r="H49" s="144">
        <f t="shared" ref="H49:H64" si="2">$E49*$F49*($C49/60)^3*($D49/1000)^5</f>
        <v>6.1196431837754623</v>
      </c>
      <c r="I49" s="145">
        <v>1</v>
      </c>
      <c r="J49" s="146">
        <f t="shared" si="0"/>
        <v>0.11925810767728957</v>
      </c>
      <c r="K49" s="146">
        <f t="shared" si="1"/>
        <v>0.61196431837754628</v>
      </c>
      <c r="L49" s="146">
        <f t="shared" ref="L49:L65" si="3">3.14*$D49/1000*C49/60</f>
        <v>1.7950333333333335</v>
      </c>
      <c r="M49" s="147">
        <v>55</v>
      </c>
      <c r="N49" s="142">
        <v>1.1599999999999999</v>
      </c>
      <c r="O49" s="17"/>
      <c r="P49" s="17"/>
      <c r="Q49" s="17"/>
      <c r="R49" s="17"/>
      <c r="S49" s="17"/>
      <c r="T49" s="17"/>
      <c r="U49" s="17"/>
      <c r="V49" s="224"/>
      <c r="W49" s="131" t="s">
        <v>47</v>
      </c>
      <c r="X49" s="150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487</v>
      </c>
      <c r="Y49" s="49" t="s">
        <v>281</v>
      </c>
      <c r="Z49" s="150">
        <f>$X$49</f>
        <v>487</v>
      </c>
      <c r="AA49" s="153" t="s">
        <v>281</v>
      </c>
      <c r="AB49" s="17"/>
      <c r="AD49" s="83"/>
    </row>
    <row r="50" spans="1:30" ht="24.95" customHeight="1" x14ac:dyDescent="0.25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/>
      <c r="P50" s="17"/>
      <c r="Q50" s="17"/>
      <c r="R50" s="17"/>
      <c r="S50" s="17"/>
      <c r="T50" s="17"/>
      <c r="U50" s="17"/>
      <c r="V50" s="224"/>
      <c r="W50" s="132" t="s">
        <v>8</v>
      </c>
      <c r="X50" s="164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0.50816786043299234</v>
      </c>
      <c r="Y50" s="85" t="s">
        <v>9</v>
      </c>
      <c r="Z50" s="151">
        <f>$X$50/0.264172</f>
        <v>1.9236249883901106</v>
      </c>
      <c r="AA50" s="136" t="s">
        <v>282</v>
      </c>
      <c r="AB50" s="17"/>
      <c r="AD50" s="83"/>
    </row>
    <row r="51" spans="1:30" ht="24.95" customHeight="1" x14ac:dyDescent="0.25">
      <c r="A51" s="141" t="s">
        <v>46</v>
      </c>
      <c r="B51" s="142" t="s">
        <v>19</v>
      </c>
      <c r="C51" s="142">
        <v>490</v>
      </c>
      <c r="D51" s="143">
        <v>96</v>
      </c>
      <c r="E51" s="142">
        <v>6.6849999999999996</v>
      </c>
      <c r="F51" s="142">
        <v>1000</v>
      </c>
      <c r="G51" s="142">
        <f>IF($B$44=$B51,Input!$D$12,IF($B$45=B51,Input!$D$12,50))</f>
        <v>50</v>
      </c>
      <c r="H51" s="144">
        <f t="shared" si="2"/>
        <v>29.688760463523831</v>
      </c>
      <c r="I51" s="145">
        <v>1</v>
      </c>
      <c r="J51" s="146">
        <f t="shared" si="0"/>
        <v>0.57856729319630429</v>
      </c>
      <c r="K51" s="144">
        <f t="shared" si="1"/>
        <v>0.59377520927047667</v>
      </c>
      <c r="L51" s="146">
        <f t="shared" si="3"/>
        <v>2.4617599999999999</v>
      </c>
      <c r="M51" s="147">
        <v>55</v>
      </c>
      <c r="N51" s="142">
        <v>1.1599999999999999</v>
      </c>
      <c r="O51" s="17"/>
      <c r="P51" s="17"/>
      <c r="Q51" s="17"/>
      <c r="R51" s="17"/>
      <c r="S51" s="17"/>
      <c r="T51" s="17"/>
      <c r="U51" s="17"/>
      <c r="V51" s="224"/>
      <c r="W51" s="132" t="s">
        <v>10</v>
      </c>
      <c r="X51" s="155">
        <f>IF($B$45=0,
IF($X$49=$B$44,"N/A",3.14*VLOOKUP($B$44,$B$48:$N$69,3,FALSE)/1000*$X$49/60),
3.14*VLOOKUP($B$45,$B$48:$N$69,3,FALSE)/1000*$X$49/60)</f>
        <v>3.7719773333333335</v>
      </c>
      <c r="Y51" s="136" t="s">
        <v>11</v>
      </c>
      <c r="Z51" s="152">
        <f>$X$51*196.85</f>
        <v>742.51373806666663</v>
      </c>
      <c r="AA51" s="136" t="s">
        <v>283</v>
      </c>
      <c r="AB51" s="17"/>
      <c r="AD51" s="83"/>
    </row>
    <row r="52" spans="1:30" ht="30.75" thickBot="1" x14ac:dyDescent="0.3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/>
      <c r="P52" s="17"/>
      <c r="Q52" s="17"/>
      <c r="R52" s="17"/>
      <c r="S52" s="17"/>
      <c r="T52" s="17"/>
      <c r="U52" s="17"/>
      <c r="V52" s="224"/>
      <c r="W52" s="154" t="s">
        <v>296</v>
      </c>
      <c r="X52" s="158" t="str">
        <f>CONCATENATE(MROUND(Input!$D$12/$X$58*5,0.5)," min")</f>
        <v>1,5 min</v>
      </c>
      <c r="Y52" s="29"/>
      <c r="Z52" s="157" t="str">
        <f>$X$52</f>
        <v>1,5 min</v>
      </c>
      <c r="AA52" s="29"/>
      <c r="AB52" s="17"/>
      <c r="AD52" s="83"/>
    </row>
    <row r="53" spans="1:30" ht="24.95" customHeight="1" x14ac:dyDescent="0.25">
      <c r="A53" s="141" t="s">
        <v>46</v>
      </c>
      <c r="B53" s="142" t="s">
        <v>20</v>
      </c>
      <c r="C53" s="142">
        <v>490</v>
      </c>
      <c r="D53" s="143">
        <v>117</v>
      </c>
      <c r="E53" s="142">
        <v>6.6849999999999996</v>
      </c>
      <c r="F53" s="142">
        <v>1000</v>
      </c>
      <c r="G53" s="142">
        <f>IF($B$44=$B53,Input!$D$12,IF($B$45=B53,Input!$D$12,250))</f>
        <v>250</v>
      </c>
      <c r="H53" s="144">
        <f t="shared" si="2"/>
        <v>79.829830888638114</v>
      </c>
      <c r="I53" s="145">
        <v>2</v>
      </c>
      <c r="J53" s="146">
        <f t="shared" si="0"/>
        <v>1.5557041941951129</v>
      </c>
      <c r="K53" s="144">
        <f t="shared" si="1"/>
        <v>0.31931932355455245</v>
      </c>
      <c r="L53" s="146">
        <f t="shared" si="3"/>
        <v>3.00027</v>
      </c>
      <c r="M53" s="147">
        <v>94</v>
      </c>
      <c r="N53" s="142">
        <v>1.1499999999999999</v>
      </c>
      <c r="O53" s="17"/>
      <c r="P53" s="17"/>
      <c r="Q53" s="17"/>
      <c r="R53" s="17"/>
      <c r="S53" s="17"/>
      <c r="T53" s="17"/>
      <c r="U53" s="17"/>
      <c r="V53" s="224" t="s">
        <v>288</v>
      </c>
      <c r="W53" s="131" t="s">
        <v>291</v>
      </c>
      <c r="X53" s="187">
        <f>IF(Input!$E$27=0,$X$49,Input!$E$27)</f>
        <v>487</v>
      </c>
      <c r="Y53" s="85" t="s">
        <v>281</v>
      </c>
      <c r="Z53" s="188">
        <f>$X$53</f>
        <v>487</v>
      </c>
      <c r="AA53" s="136" t="s">
        <v>281</v>
      </c>
      <c r="AB53" s="17"/>
      <c r="AD53" s="83"/>
    </row>
    <row r="54" spans="1:30" ht="24.95" customHeight="1" x14ac:dyDescent="0.25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1001</v>
      </c>
      <c r="G54" s="3">
        <f>IF($B$44=$B54,Input!$D$12,IF($B$45=B54,Input!$D$12,850))</f>
        <v>500</v>
      </c>
      <c r="H54" s="37">
        <f t="shared" si="2"/>
        <v>258.80851150259781</v>
      </c>
      <c r="I54" s="41">
        <v>6</v>
      </c>
      <c r="J54" s="42">
        <f t="shared" si="0"/>
        <v>5.0435968904863397</v>
      </c>
      <c r="K54" s="102">
        <f t="shared" si="1"/>
        <v>0.51761702300519563</v>
      </c>
      <c r="L54" s="104">
        <f t="shared" si="3"/>
        <v>3.7952133333333338</v>
      </c>
      <c r="M54" s="123">
        <v>94</v>
      </c>
      <c r="N54" s="35">
        <v>1.1000000000000001</v>
      </c>
      <c r="O54" s="17"/>
      <c r="P54" s="17"/>
      <c r="Q54" s="17"/>
      <c r="R54" s="17"/>
      <c r="S54" s="17"/>
      <c r="T54" s="17"/>
      <c r="U54" s="17"/>
      <c r="V54" s="224"/>
      <c r="W54" s="132" t="s">
        <v>8</v>
      </c>
      <c r="X54" s="181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0.50816786043299234</v>
      </c>
      <c r="Y54" s="85" t="s">
        <v>9</v>
      </c>
      <c r="Z54" s="184">
        <f>$X$54/0.264172</f>
        <v>1.9236249883901106</v>
      </c>
      <c r="AA54" s="136" t="s">
        <v>282</v>
      </c>
      <c r="AB54" s="17"/>
      <c r="AD54" s="83"/>
    </row>
    <row r="55" spans="1:30" x14ac:dyDescent="0.25">
      <c r="A55" s="141" t="s">
        <v>46</v>
      </c>
      <c r="B55" s="142" t="s">
        <v>21</v>
      </c>
      <c r="C55" s="142">
        <v>490</v>
      </c>
      <c r="D55" s="143">
        <v>148</v>
      </c>
      <c r="E55" s="142">
        <v>6.6849999999999996</v>
      </c>
      <c r="F55" s="142">
        <v>1000</v>
      </c>
      <c r="G55" s="142">
        <f>IF($B$44=$B55,Input!$D$12,IF($B$45=B55,Input!$D$12,850))</f>
        <v>500</v>
      </c>
      <c r="H55" s="144">
        <f t="shared" si="2"/>
        <v>258.5499615410568</v>
      </c>
      <c r="I55" s="145">
        <v>6</v>
      </c>
      <c r="J55" s="148">
        <f t="shared" si="0"/>
        <v>5.038558332154186</v>
      </c>
      <c r="K55" s="144">
        <f t="shared" si="1"/>
        <v>0.51709992308211361</v>
      </c>
      <c r="L55" s="146">
        <f t="shared" si="3"/>
        <v>3.7952133333333338</v>
      </c>
      <c r="M55" s="147">
        <v>94</v>
      </c>
      <c r="N55" s="142">
        <v>1.1000000000000001</v>
      </c>
      <c r="O55" s="17"/>
      <c r="P55" s="17"/>
      <c r="Q55" s="17"/>
      <c r="R55" s="17"/>
      <c r="S55" s="17"/>
      <c r="T55" s="17"/>
      <c r="U55" s="17"/>
      <c r="V55" s="224"/>
      <c r="W55" s="132" t="s">
        <v>292</v>
      </c>
      <c r="X55" s="182">
        <f>IF($B$45=0,
IF($X$49=$B$44,"N/A",3.14*VLOOKUP($B$44,$B$48:$N$69,3,FALSE)/1000*$X$53/60),
3.14*VLOOKUP($B$45,$B$48:$N$69,3,FALSE)/1000*$X$53/60)</f>
        <v>3.7719773333333335</v>
      </c>
      <c r="Y55" s="136" t="s">
        <v>11</v>
      </c>
      <c r="Z55" s="185">
        <f>$X$55*196.85</f>
        <v>742.51373806666663</v>
      </c>
      <c r="AA55" s="136" t="s">
        <v>283</v>
      </c>
      <c r="AB55" s="17"/>
      <c r="AD55" s="83"/>
    </row>
    <row r="56" spans="1:30" ht="45.75" thickBot="1" x14ac:dyDescent="0.3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/>
      <c r="P56" s="17"/>
      <c r="Q56" s="17"/>
      <c r="R56" s="17"/>
      <c r="S56" s="17"/>
      <c r="T56" s="17"/>
      <c r="U56" s="17"/>
      <c r="V56" s="224"/>
      <c r="W56" s="154" t="s">
        <v>297</v>
      </c>
      <c r="X56" s="183" t="str">
        <f>CONCATENATE(MROUND(Input!$D$12/$X$59*5,0.5)," min")</f>
        <v>1,5 min</v>
      </c>
      <c r="Y56" s="137"/>
      <c r="Z56" s="186" t="str">
        <f>$X$56</f>
        <v>1,5 min</v>
      </c>
      <c r="AA56" s="94"/>
      <c r="AB56" s="17"/>
      <c r="AD56" s="83"/>
    </row>
    <row r="57" spans="1:30" x14ac:dyDescent="0.25">
      <c r="A57" s="141" t="s">
        <v>46</v>
      </c>
      <c r="B57" s="142" t="s">
        <v>22</v>
      </c>
      <c r="C57" s="142">
        <v>490</v>
      </c>
      <c r="D57" s="143">
        <v>160</v>
      </c>
      <c r="E57" s="142">
        <v>6.6849999999999996</v>
      </c>
      <c r="F57" s="142">
        <v>1000</v>
      </c>
      <c r="G57" s="142">
        <f>IF($B$44=$B57,Input!$D$12,IF($B$45=B57,Input!$D$12,1000))</f>
        <v>1000</v>
      </c>
      <c r="H57" s="144">
        <f t="shared" si="2"/>
        <v>381.79990308029613</v>
      </c>
      <c r="I57" s="145">
        <v>8</v>
      </c>
      <c r="J57" s="148">
        <f t="shared" si="0"/>
        <v>7.4404230092117292</v>
      </c>
      <c r="K57" s="144">
        <f t="shared" si="1"/>
        <v>0.38179990308029615</v>
      </c>
      <c r="L57" s="146">
        <f t="shared" si="3"/>
        <v>4.1029333333333344</v>
      </c>
      <c r="M57" s="147">
        <v>104</v>
      </c>
      <c r="N57" s="142">
        <v>1</v>
      </c>
      <c r="O57" s="17"/>
      <c r="P57" s="17"/>
      <c r="Q57" s="17"/>
      <c r="R57" s="17"/>
      <c r="S57" s="17"/>
      <c r="T57" s="17"/>
      <c r="U57" s="17"/>
      <c r="V57" s="17"/>
      <c r="W57" s="159" t="s">
        <v>255</v>
      </c>
      <c r="X57" s="159">
        <v>0.5</v>
      </c>
      <c r="Y57" s="159"/>
      <c r="Z57" s="159"/>
      <c r="AA57" s="159"/>
      <c r="AB57" s="17"/>
      <c r="AD57" s="83"/>
    </row>
    <row r="58" spans="1:30" x14ac:dyDescent="0.25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/>
      <c r="P58" s="17"/>
      <c r="Q58" s="17"/>
      <c r="R58" s="17"/>
      <c r="S58" s="17"/>
      <c r="T58" s="17"/>
      <c r="U58" s="17"/>
      <c r="V58" s="17"/>
      <c r="W58" s="159" t="s">
        <v>294</v>
      </c>
      <c r="X58" s="159">
        <f>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</f>
        <v>1736.6279744000001</v>
      </c>
      <c r="Y58" s="159"/>
      <c r="Z58" s="159"/>
      <c r="AA58" s="159"/>
      <c r="AB58" s="17"/>
      <c r="AD58" s="83"/>
    </row>
    <row r="59" spans="1:30" x14ac:dyDescent="0.25">
      <c r="A59" s="141" t="s">
        <v>46</v>
      </c>
      <c r="B59" s="142" t="s">
        <v>23</v>
      </c>
      <c r="C59" s="142">
        <v>490</v>
      </c>
      <c r="D59" s="143">
        <v>177</v>
      </c>
      <c r="E59" s="142">
        <v>6.6849999999999996</v>
      </c>
      <c r="F59" s="142">
        <v>1000</v>
      </c>
      <c r="G59" s="142">
        <f>IF($B$44=$B59,Input!$D$12,IF($B$45=B59,Input!$D$12,2000))</f>
        <v>2000</v>
      </c>
      <c r="H59" s="144">
        <f t="shared" si="2"/>
        <v>632.56073780547626</v>
      </c>
      <c r="I59" s="145">
        <v>13</v>
      </c>
      <c r="J59" s="148">
        <f t="shared" si="0"/>
        <v>12.327188745519372</v>
      </c>
      <c r="K59" s="144">
        <f t="shared" si="1"/>
        <v>0.31628036890273814</v>
      </c>
      <c r="L59" s="146">
        <f t="shared" si="3"/>
        <v>4.5388699999999993</v>
      </c>
      <c r="M59" s="147">
        <v>129.5</v>
      </c>
      <c r="N59" s="142">
        <v>1</v>
      </c>
      <c r="O59" s="17"/>
      <c r="P59" s="17"/>
      <c r="Q59" s="17"/>
      <c r="R59" s="17"/>
      <c r="S59" s="17"/>
      <c r="T59" s="17"/>
      <c r="U59" s="17"/>
      <c r="V59" s="17"/>
      <c r="W59" s="159" t="s">
        <v>295</v>
      </c>
      <c r="X59" s="159">
        <f>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</f>
        <v>1736.6279744000001</v>
      </c>
      <c r="Y59" s="159"/>
      <c r="Z59" s="159"/>
      <c r="AA59" s="159"/>
      <c r="AB59" s="17"/>
      <c r="AD59" s="83"/>
    </row>
    <row r="60" spans="1:30" x14ac:dyDescent="0.25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 x14ac:dyDescent="0.25">
      <c r="A61" s="141" t="s">
        <v>46</v>
      </c>
      <c r="B61" s="142" t="s">
        <v>24</v>
      </c>
      <c r="C61" s="142">
        <v>343</v>
      </c>
      <c r="D61" s="143">
        <v>236</v>
      </c>
      <c r="E61" s="142">
        <v>6.6849999999999996</v>
      </c>
      <c r="F61" s="142">
        <v>1000</v>
      </c>
      <c r="G61" s="142">
        <f>IF($B$44=$B61,Input!$D$12,IF($B$45=B61,Input!$D$12,5000))</f>
        <v>5000</v>
      </c>
      <c r="H61" s="144">
        <f t="shared" si="2"/>
        <v>914.30276979791427</v>
      </c>
      <c r="I61" s="145">
        <v>26</v>
      </c>
      <c r="J61" s="149">
        <v>25.5</v>
      </c>
      <c r="K61" s="144">
        <f t="shared" si="1"/>
        <v>0.18286055395958287</v>
      </c>
      <c r="L61" s="146">
        <f t="shared" si="3"/>
        <v>4.2362786666666672</v>
      </c>
      <c r="M61" s="147">
        <v>159.5</v>
      </c>
      <c r="N61" s="142">
        <v>1</v>
      </c>
      <c r="O61" s="17"/>
      <c r="P61" s="17"/>
      <c r="Q61" s="17"/>
      <c r="R61" s="17"/>
      <c r="S61" s="17"/>
      <c r="T61" s="17"/>
      <c r="U61" s="17"/>
      <c r="V61" s="17"/>
      <c r="W61" s="85"/>
      <c r="X61" s="225" t="s">
        <v>286</v>
      </c>
      <c r="Y61" s="225"/>
      <c r="Z61" s="17"/>
      <c r="AA61" s="17"/>
      <c r="AB61" s="17"/>
      <c r="AD61" s="83"/>
    </row>
    <row r="62" spans="1:30" ht="15.75" thickBot="1" x14ac:dyDescent="0.3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293</v>
      </c>
      <c r="Y62" s="135" t="s">
        <v>288</v>
      </c>
      <c r="Z62" s="135"/>
      <c r="AA62" s="17"/>
      <c r="AB62" s="17"/>
    </row>
    <row r="63" spans="1:30" x14ac:dyDescent="0.25">
      <c r="A63" s="141" t="s">
        <v>46</v>
      </c>
      <c r="B63" s="142" t="s">
        <v>25</v>
      </c>
      <c r="C63" s="142">
        <v>245</v>
      </c>
      <c r="D63" s="143">
        <v>300</v>
      </c>
      <c r="E63" s="142">
        <v>6.6849999999999996</v>
      </c>
      <c r="F63" s="142">
        <v>1000</v>
      </c>
      <c r="G63" s="142">
        <f>IF($B$44=$B63,Input!$D$12,IF($B$45=B63,Input!$D$12,10000))</f>
        <v>10000</v>
      </c>
      <c r="H63" s="144">
        <f t="shared" si="2"/>
        <v>1105.9925132812496</v>
      </c>
      <c r="I63" s="145">
        <v>50</v>
      </c>
      <c r="J63" s="148">
        <f t="shared" si="0"/>
        <v>43.106622487031238</v>
      </c>
      <c r="K63" s="144">
        <f t="shared" si="1"/>
        <v>0.11059925132812495</v>
      </c>
      <c r="L63" s="146">
        <f t="shared" si="3"/>
        <v>3.8464999999999998</v>
      </c>
      <c r="M63" s="147">
        <v>199.5</v>
      </c>
      <c r="N63" s="142">
        <v>1.1499999999999999</v>
      </c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Input!$D$12/$X$58*$W63</f>
        <v>0</v>
      </c>
      <c r="Y63" s="180">
        <f>Input!$D$12/$X$59*$W63</f>
        <v>0</v>
      </c>
      <c r="Z63" s="88"/>
      <c r="AA63" s="17"/>
      <c r="AB63" s="17"/>
    </row>
    <row r="64" spans="1:30" x14ac:dyDescent="0.25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>
        <f>Input!$D$12/$X$58*$W64</f>
        <v>0.28791428410149189</v>
      </c>
      <c r="Y64" s="180">
        <f>Input!$D$12/$X$59*$W64</f>
        <v>0.28791428410149189</v>
      </c>
      <c r="Z64" s="46"/>
      <c r="AA64" s="17"/>
      <c r="AB64" s="17"/>
    </row>
    <row r="65" spans="1:28" x14ac:dyDescent="0.25">
      <c r="A65" s="141" t="s">
        <v>46</v>
      </c>
      <c r="B65" s="142" t="s">
        <v>26</v>
      </c>
      <c r="C65" s="142">
        <v>245</v>
      </c>
      <c r="D65" s="143">
        <v>350</v>
      </c>
      <c r="E65" s="142">
        <v>6.6849999999999996</v>
      </c>
      <c r="F65" s="142">
        <v>1000</v>
      </c>
      <c r="G65" s="142">
        <f>IF($B$44=$B65,Input!$D$12,IF($B$45=B65,Input!$D$12,20000))</f>
        <v>20000</v>
      </c>
      <c r="H65" s="144">
        <f>$E65*$F65*($C65/60)^3*($D65/1000)^5</f>
        <v>2390.4856186622883</v>
      </c>
      <c r="I65" s="145">
        <v>100</v>
      </c>
      <c r="J65" s="148">
        <f>9549*H65/C65/1000</f>
        <v>93.170396622882407</v>
      </c>
      <c r="K65" s="144">
        <f>H65/G65</f>
        <v>0.11952428093311442</v>
      </c>
      <c r="L65" s="146">
        <f t="shared" si="3"/>
        <v>4.4875833333333333</v>
      </c>
      <c r="M65" s="147">
        <v>229.5</v>
      </c>
      <c r="N65" s="142">
        <v>1.1499999999999999</v>
      </c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>
        <f>Input!$D$12/$X$58*$W65</f>
        <v>0.57582856820298378</v>
      </c>
      <c r="Y65" s="180">
        <f>Input!$D$12/$X$59*$W65</f>
        <v>0.57582856820298378</v>
      </c>
      <c r="Z65" s="17"/>
      <c r="AA65" s="17"/>
      <c r="AB65" s="17"/>
    </row>
    <row r="66" spans="1:28" x14ac:dyDescent="0.25">
      <c r="A66" s="17"/>
      <c r="B66" s="35" t="s">
        <v>135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Input!$D$12/$X$58*$W66</f>
        <v>0.86374285230447567</v>
      </c>
      <c r="Y66" s="180">
        <f>Input!$D$12/$X$59*$W66</f>
        <v>0.86374285230447567</v>
      </c>
      <c r="Z66" s="88"/>
      <c r="AA66" s="17"/>
      <c r="AB66" s="17"/>
    </row>
    <row r="67" spans="1:28" x14ac:dyDescent="0.25">
      <c r="A67" s="141" t="s">
        <v>46</v>
      </c>
      <c r="B67" s="142" t="s">
        <v>135</v>
      </c>
      <c r="C67" s="142">
        <v>245</v>
      </c>
      <c r="D67" s="143">
        <v>400</v>
      </c>
      <c r="E67" s="142">
        <v>6.6849999999999996</v>
      </c>
      <c r="F67" s="142">
        <v>1000</v>
      </c>
      <c r="G67" s="142">
        <f>IF($B$44=$B67,Input!$D$12,IF($B$45=B67,Input!$D$12,35000))</f>
        <v>35000</v>
      </c>
      <c r="H67" s="144">
        <f t="shared" si="4"/>
        <v>4660.643348148149</v>
      </c>
      <c r="I67" s="145"/>
      <c r="J67" s="148">
        <f t="shared" si="5"/>
        <v>181.65095237333335</v>
      </c>
      <c r="K67" s="144">
        <f t="shared" si="6"/>
        <v>0.13316123851851855</v>
      </c>
      <c r="L67" s="146">
        <f t="shared" si="7"/>
        <v>5.1286666666666667</v>
      </c>
      <c r="M67" s="147">
        <v>249.5</v>
      </c>
      <c r="N67" s="142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Input!$D$12/$X$58*$W67</f>
        <v>1.1516571364059676</v>
      </c>
      <c r="Y67" s="180">
        <f>Input!$D$12/$X$59*$W67</f>
        <v>1.1516571364059676</v>
      </c>
      <c r="Z67" s="46"/>
      <c r="AA67" s="17"/>
      <c r="AB67" s="17"/>
    </row>
    <row r="68" spans="1:28" x14ac:dyDescent="0.25">
      <c r="A68" s="17"/>
      <c r="B68" s="35" t="s">
        <v>136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Input!$D$12/$X$58*$W68</f>
        <v>1.4395714205074595</v>
      </c>
      <c r="Y68" s="180">
        <f>Input!$D$12/$X$59*$W68</f>
        <v>1.4395714205074595</v>
      </c>
      <c r="Z68" s="17"/>
      <c r="AA68" s="17"/>
      <c r="AB68" s="17"/>
    </row>
    <row r="69" spans="1:28" x14ac:dyDescent="0.25">
      <c r="A69" s="141" t="s">
        <v>46</v>
      </c>
      <c r="B69" s="142" t="s">
        <v>136</v>
      </c>
      <c r="C69" s="142">
        <v>245</v>
      </c>
      <c r="D69" s="143">
        <v>450</v>
      </c>
      <c r="E69" s="142">
        <v>6.6849999999999996</v>
      </c>
      <c r="F69" s="142">
        <v>1000</v>
      </c>
      <c r="G69" s="142">
        <f>IF($B$44=$B69,Input!$D$12,IF($B$45=B69,Input!$D$12,60000))</f>
        <v>60000</v>
      </c>
      <c r="H69" s="144">
        <f t="shared" si="4"/>
        <v>8398.6306477294911</v>
      </c>
      <c r="I69" s="145"/>
      <c r="J69" s="148">
        <f t="shared" si="5"/>
        <v>327.34091451089353</v>
      </c>
      <c r="K69" s="144">
        <f t="shared" si="6"/>
        <v>0.13997717746215818</v>
      </c>
      <c r="L69" s="146">
        <f t="shared" si="7"/>
        <v>5.7697500000000002</v>
      </c>
      <c r="M69" s="147">
        <v>249.5</v>
      </c>
      <c r="N69" s="142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Input!$D$12/$X$58*$W69</f>
        <v>1.7274857046089513</v>
      </c>
      <c r="Y69" s="180">
        <f>Input!$D$12/$X$59*$W69</f>
        <v>1.7274857046089513</v>
      </c>
      <c r="Z69" s="17"/>
      <c r="AA69" s="17"/>
      <c r="AB69" s="17"/>
    </row>
    <row r="70" spans="1:28" x14ac:dyDescent="0.25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Input!$D$12/$X$58*$W70</f>
        <v>2.0153999887104432</v>
      </c>
      <c r="Y70" s="180">
        <f>Input!$D$12/$X$59*$W70</f>
        <v>2.0153999887104432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Input!$D$12/$X$58*$W71</f>
        <v>2.3033142728119351</v>
      </c>
      <c r="Y71" s="180">
        <f>Input!$D$12/$X$59*$W71</f>
        <v>2.3033142728119351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Input!$D$12/$X$58*$W72</f>
        <v>2.591228556913427</v>
      </c>
      <c r="Y72" s="180">
        <f>Input!$D$12/$X$59*$W72</f>
        <v>2.591228556913427</v>
      </c>
      <c r="Z72" s="17"/>
      <c r="AA72" s="17"/>
      <c r="AB72" s="17"/>
    </row>
    <row r="73" spans="1:28" x14ac:dyDescent="0.25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Input!$D$12/$X$58*$W73</f>
        <v>2.8791428410149189</v>
      </c>
      <c r="Y73" s="180">
        <f>Input!$D$12/$X$59*$W73</f>
        <v>2.8791428410149189</v>
      </c>
      <c r="Z73" s="17"/>
      <c r="AA73" s="17"/>
      <c r="AB73" s="17"/>
    </row>
    <row r="74" spans="1:28" x14ac:dyDescent="0.25">
      <c r="A74" s="17"/>
      <c r="B74" s="17"/>
      <c r="D74" s="17"/>
      <c r="E74" s="16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 x14ac:dyDescent="0.25">
      <c r="A78" s="17"/>
      <c r="B78" s="17"/>
      <c r="C78" s="17"/>
    </row>
    <row r="80" spans="1:28" x14ac:dyDescent="0.25">
      <c r="X80" s="44"/>
      <c r="Z80" s="82"/>
    </row>
    <row r="81" spans="4:32" x14ac:dyDescent="0.25">
      <c r="X81" s="79"/>
      <c r="Z81" s="83"/>
    </row>
    <row r="82" spans="4:32" x14ac:dyDescent="0.25">
      <c r="AD82" t="s">
        <v>257</v>
      </c>
      <c r="AE82">
        <f>$X$57</f>
        <v>0.5</v>
      </c>
      <c r="AF82" t="s">
        <v>266</v>
      </c>
    </row>
    <row r="83" spans="4:32" x14ac:dyDescent="0.25">
      <c r="G83" s="83"/>
      <c r="H83" s="44"/>
      <c r="X83" s="83"/>
      <c r="Z83" s="83"/>
      <c r="AD83" t="s">
        <v>258</v>
      </c>
      <c r="AE83">
        <f>VLOOKUP($B$44,$B$48:$M$69,3,FALSE)</f>
        <v>148</v>
      </c>
      <c r="AF83" t="s">
        <v>265</v>
      </c>
    </row>
    <row r="84" spans="4:32" x14ac:dyDescent="0.25">
      <c r="AD84" t="s">
        <v>259</v>
      </c>
      <c r="AE84">
        <f>$X$49</f>
        <v>487</v>
      </c>
      <c r="AF84" t="s">
        <v>264</v>
      </c>
    </row>
    <row r="85" spans="4:32" x14ac:dyDescent="0.25">
      <c r="AD85" t="s">
        <v>260</v>
      </c>
      <c r="AE85">
        <f>VLOOKUP($B$44,$B$48:$M$69,5,FALSE)</f>
        <v>1001</v>
      </c>
      <c r="AF85" t="s">
        <v>4</v>
      </c>
    </row>
    <row r="86" spans="4:32" x14ac:dyDescent="0.25">
      <c r="X86" s="44"/>
      <c r="Z86" s="82"/>
      <c r="AD86" t="s">
        <v>261</v>
      </c>
      <c r="AE86">
        <f>Input!$D$15</f>
        <v>1</v>
      </c>
      <c r="AF86" t="s">
        <v>3</v>
      </c>
    </row>
    <row r="87" spans="4:32" x14ac:dyDescent="0.25">
      <c r="V87" s="53"/>
      <c r="X87" s="79"/>
      <c r="Z87" s="83"/>
      <c r="AD87" t="s">
        <v>262</v>
      </c>
      <c r="AE87">
        <f>VLOOKUP($B$44,$B$48:$N$69,13,FALSE)</f>
        <v>1.1000000000000001</v>
      </c>
      <c r="AF87" t="s">
        <v>263</v>
      </c>
    </row>
    <row r="88" spans="4:32" x14ac:dyDescent="0.25">
      <c r="E88" s="44"/>
    </row>
    <row r="89" spans="4:32" x14ac:dyDescent="0.25">
      <c r="D89" s="44"/>
      <c r="X89" s="83"/>
      <c r="Z89" s="83"/>
    </row>
    <row r="92" spans="4:32" x14ac:dyDescent="0.25">
      <c r="E92" s="44"/>
    </row>
    <row r="97" spans="3:13" x14ac:dyDescent="0.25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 x14ac:dyDescent="0.25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3:K3"/>
    <mergeCell ref="A1:B1"/>
    <mergeCell ref="B3:C3"/>
    <mergeCell ref="D3:E3"/>
    <mergeCell ref="F3:G3"/>
    <mergeCell ref="H3:I3"/>
    <mergeCell ref="T3:U3"/>
    <mergeCell ref="V3:W3"/>
    <mergeCell ref="L3:M3"/>
    <mergeCell ref="N3:O3"/>
    <mergeCell ref="P3:Q3"/>
    <mergeCell ref="R3:S3"/>
    <mergeCell ref="V48:V52"/>
  </mergeCells>
  <dataValidations disablePrompts="1" count="1">
    <dataValidation type="list" allowBlank="1" showInputMessage="1" showErrorMessage="1" sqref="B3:W3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9" workbookViewId="0">
      <selection activeCell="Z65" sqref="Z65"/>
    </sheetView>
  </sheetViews>
  <sheetFormatPr defaultRowHeight="15" x14ac:dyDescent="0.25"/>
  <cols>
    <col min="1" max="1" width="20.28515625" bestFit="1" customWidth="1"/>
    <col min="2" max="2" width="12.7109375" bestFit="1" customWidth="1"/>
    <col min="4" max="4" width="9.85546875" bestFit="1" customWidth="1"/>
    <col min="11" max="11" width="15" bestFit="1" customWidth="1"/>
    <col min="18" max="19" width="0" hidden="1" customWidth="1"/>
    <col min="20" max="20" width="18.85546875" hidden="1" customWidth="1"/>
    <col min="21" max="21" width="0" hidden="1" customWidth="1"/>
    <col min="23" max="23" width="21.7109375" customWidth="1"/>
    <col min="24" max="26" width="12.7109375" bestFit="1" customWidth="1"/>
  </cols>
  <sheetData>
    <row r="1" spans="1:28" ht="15.75" thickBot="1" x14ac:dyDescent="0.3">
      <c r="A1" s="18"/>
      <c r="B1" s="226"/>
      <c r="C1" s="227"/>
      <c r="D1" s="226"/>
      <c r="E1" s="227"/>
      <c r="F1" s="226"/>
      <c r="G1" s="22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6">
        <f>IF(Input!$D$13="Gentle",1.2,IF(Input!$D$13="Vigorous", 0.8,1))</f>
        <v>1.2</v>
      </c>
      <c r="C2" s="227"/>
      <c r="D2" s="226">
        <f>IF(Input!$D$13="Gentle",1.2,IF(Input!$D$13="Vigorous", 0.8,1))</f>
        <v>1.2</v>
      </c>
      <c r="E2" s="227"/>
      <c r="F2" s="226">
        <f>IF(Input!$D$13="Gentle",1.2,IF(Input!$D$13="Vigorous", 0.8,1))</f>
        <v>1.2</v>
      </c>
      <c r="G2" s="22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($B$2)*50</f>
        <v>60</v>
      </c>
      <c r="C6" s="21">
        <v>1</v>
      </c>
      <c r="D6" s="20">
        <f>($D$2)*850</f>
        <v>1020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($B$2)*45.5</f>
        <v>54.6</v>
      </c>
      <c r="C7" s="23">
        <v>5</v>
      </c>
      <c r="D7" s="22">
        <f>($D$2)*773.5</f>
        <v>928.19999999999993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($B$2)*41.5</f>
        <v>49.8</v>
      </c>
      <c r="C8" s="23">
        <v>10</v>
      </c>
      <c r="D8" s="22">
        <f>($D$2)*705.5</f>
        <v>846.6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($B$2)*38.5</f>
        <v>46.199999999999996</v>
      </c>
      <c r="C9" s="23">
        <v>15</v>
      </c>
      <c r="D9" s="22">
        <f>($D$2)*654.5</f>
        <v>785.4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($B$2)*36</f>
        <v>43.199999999999996</v>
      </c>
      <c r="C10" s="23">
        <v>20</v>
      </c>
      <c r="D10" s="22">
        <f>($D$2)*612</f>
        <v>734.4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($B$2)*34</f>
        <v>40.799999999999997</v>
      </c>
      <c r="C11" s="23">
        <v>25</v>
      </c>
      <c r="D11" s="22">
        <f>($D$2)*578</f>
        <v>693.6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($B$2)*32.75</f>
        <v>39.299999999999997</v>
      </c>
      <c r="C12" s="23">
        <v>30</v>
      </c>
      <c r="D12" s="22">
        <f>($D$2)*556.75</f>
        <v>668.1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($B$2)*31.5</f>
        <v>37.799999999999997</v>
      </c>
      <c r="C13" s="23">
        <v>35</v>
      </c>
      <c r="D13" s="22">
        <f>($D$2)*535.5</f>
        <v>642.6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($B$2)*30.75</f>
        <v>36.9</v>
      </c>
      <c r="C14" s="23">
        <v>40</v>
      </c>
      <c r="D14" s="22">
        <f>($D$2)*522.75</f>
        <v>627.29999999999995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($B$2)*30</f>
        <v>36</v>
      </c>
      <c r="C15" s="23">
        <v>45</v>
      </c>
      <c r="D15" s="22">
        <f>($D$2)*510</f>
        <v>612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($B$2)*29.3</f>
        <v>35.159999999999997</v>
      </c>
      <c r="C16" s="23">
        <v>50</v>
      </c>
      <c r="D16" s="22">
        <f>($D$2)*498.1</f>
        <v>597.72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($B$2)*28.5</f>
        <v>34.199999999999996</v>
      </c>
      <c r="C17" s="23">
        <v>55</v>
      </c>
      <c r="D17" s="22">
        <f>($D$2)*484.5</f>
        <v>581.4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($B$2)*28</f>
        <v>33.6</v>
      </c>
      <c r="C18" s="23">
        <v>60</v>
      </c>
      <c r="D18" s="22">
        <f>($D$2)*476</f>
        <v>571.19999999999993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($B$2)*27.5</f>
        <v>33</v>
      </c>
      <c r="C19" s="23">
        <v>65</v>
      </c>
      <c r="D19" s="22">
        <f>($D$2)*467.5</f>
        <v>561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($B$2)*27</f>
        <v>32.4</v>
      </c>
      <c r="C20" s="23">
        <v>70</v>
      </c>
      <c r="D20" s="22">
        <f>($D$2)*459</f>
        <v>550.79999999999995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($B$2)*26.5</f>
        <v>31.799999999999997</v>
      </c>
      <c r="C21" s="23">
        <v>75</v>
      </c>
      <c r="D21" s="22">
        <f>($D$2)*450.5</f>
        <v>540.6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($B$2)*26</f>
        <v>31.2</v>
      </c>
      <c r="C22" s="23">
        <v>80</v>
      </c>
      <c r="D22" s="22">
        <f>($D$2)*442</f>
        <v>530.4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($B$2)*25.5</f>
        <v>30.599999999999998</v>
      </c>
      <c r="C23" s="23">
        <v>85</v>
      </c>
      <c r="D23" s="22">
        <f>($D$2)*433.5</f>
        <v>520.19999999999993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($B$2)*25</f>
        <v>30</v>
      </c>
      <c r="C24" s="23">
        <v>90</v>
      </c>
      <c r="D24" s="22">
        <f>($D$2)*425</f>
        <v>510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($B$2)*24.5</f>
        <v>29.4</v>
      </c>
      <c r="C25" s="23">
        <v>95</v>
      </c>
      <c r="D25" s="22">
        <f>($D$2)*416.5</f>
        <v>499.79999999999995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($B$2)*24.25</f>
        <v>29.099999999999998</v>
      </c>
      <c r="C26" s="23">
        <v>100</v>
      </c>
      <c r="D26" s="22">
        <f>($D$2)*412.25</f>
        <v>494.7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($B$2)*21.5</f>
        <v>25.8</v>
      </c>
      <c r="C27" s="23">
        <v>150</v>
      </c>
      <c r="D27" s="22">
        <f>($D$2)*365.5</f>
        <v>438.59999999999997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($B$2)*19.5</f>
        <v>23.4</v>
      </c>
      <c r="C28" s="23">
        <v>200</v>
      </c>
      <c r="D28" s="22">
        <f>($D$2)*331.5</f>
        <v>397.8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($B$2)*17.75</f>
        <v>21.3</v>
      </c>
      <c r="C29" s="23">
        <v>250</v>
      </c>
      <c r="D29" s="22">
        <f>($D$2)*301.75</f>
        <v>362.09999999999997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($B$2)*16</f>
        <v>19.2</v>
      </c>
      <c r="C30" s="23">
        <v>300</v>
      </c>
      <c r="D30" s="22">
        <f>($D$2)*272</f>
        <v>326.39999999999998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($B$2)*14.5</f>
        <v>17.399999999999999</v>
      </c>
      <c r="C31" s="23">
        <v>350</v>
      </c>
      <c r="D31" s="22">
        <f>($D$2)*246.5</f>
        <v>295.8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($B$2)*13</f>
        <v>15.6</v>
      </c>
      <c r="C32" s="23">
        <v>400</v>
      </c>
      <c r="D32" s="22">
        <f>($D$2)*221</f>
        <v>265.2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($B$2)*11.75</f>
        <v>14.1</v>
      </c>
      <c r="C33" s="23">
        <v>450</v>
      </c>
      <c r="D33" s="22">
        <f>($D$2)*199.75</f>
        <v>239.7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($B$2)*10.5</f>
        <v>12.6</v>
      </c>
      <c r="C34" s="23">
        <v>500</v>
      </c>
      <c r="D34" s="22">
        <f>($D$2)*178.5</f>
        <v>214.2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($B$2)*9.5</f>
        <v>11.4</v>
      </c>
      <c r="C35" s="23">
        <v>550</v>
      </c>
      <c r="D35" s="22">
        <f>($D$2)*161.5</f>
        <v>193.79999999999998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($B$2)*8.5</f>
        <v>10.199999999999999</v>
      </c>
      <c r="C36" s="23">
        <v>600</v>
      </c>
      <c r="D36" s="22">
        <f>($D$2)*144.5</f>
        <v>173.4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($B$2)*7.5</f>
        <v>9</v>
      </c>
      <c r="C37" s="23">
        <v>650</v>
      </c>
      <c r="D37" s="22">
        <f>($D$2)*127.5</f>
        <v>153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($B$2)*6.6</f>
        <v>7.919999999999999</v>
      </c>
      <c r="C38" s="23">
        <v>700</v>
      </c>
      <c r="D38" s="22">
        <f>($D$2)*112.2</f>
        <v>134.63999999999999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($B$2)*5.75</f>
        <v>6.8999999999999995</v>
      </c>
      <c r="C39" s="23">
        <v>750</v>
      </c>
      <c r="D39" s="22">
        <f>($D$2)*97.75</f>
        <v>117.3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($B$2)*5</f>
        <v>6</v>
      </c>
      <c r="C40" s="25">
        <v>800</v>
      </c>
      <c r="D40" s="24">
        <f>($D$2)*85</f>
        <v>102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289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60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1020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ZGP5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Input!$D$28</f>
        <v>zgp5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146</v>
      </c>
      <c r="N47" s="124" t="s">
        <v>256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35"/>
      <c r="O48" s="35"/>
      <c r="P48" s="102"/>
      <c r="Q48" s="17"/>
      <c r="R48" s="17"/>
      <c r="S48" s="17"/>
      <c r="T48" s="17"/>
      <c r="U48" s="17"/>
      <c r="V48" s="224" t="s">
        <v>290</v>
      </c>
      <c r="W48" s="134"/>
      <c r="X48" s="130" t="s">
        <v>275</v>
      </c>
      <c r="Y48" s="138" t="s">
        <v>284</v>
      </c>
      <c r="Z48" s="130" t="s">
        <v>280</v>
      </c>
      <c r="AA48" s="138" t="s">
        <v>284</v>
      </c>
      <c r="AB48" s="17"/>
    </row>
    <row r="49" spans="1:28" x14ac:dyDescent="0.25">
      <c r="A49" s="141" t="s">
        <v>46</v>
      </c>
      <c r="B49" s="142" t="s">
        <v>79</v>
      </c>
      <c r="C49" s="142">
        <v>490</v>
      </c>
      <c r="D49" s="143">
        <v>96</v>
      </c>
      <c r="E49" s="142">
        <v>6.6849999999999996</v>
      </c>
      <c r="F49" s="142">
        <f>IF(ZG!$B$44=$B49,Input!$D$14,IF($B$45=$B49,Input!$D$14,1000))</f>
        <v>1000</v>
      </c>
      <c r="G49" s="142">
        <v>50</v>
      </c>
      <c r="H49" s="148">
        <f t="shared" ref="H49:H55" si="2">$E49*$F49*($C49/60)^3*($D49/1000)^5</f>
        <v>29.688760463523831</v>
      </c>
      <c r="I49" s="172">
        <v>1</v>
      </c>
      <c r="J49" s="146">
        <f t="shared" si="0"/>
        <v>0.57856729319630429</v>
      </c>
      <c r="K49" s="144">
        <f t="shared" si="1"/>
        <v>0.59377520927047667</v>
      </c>
      <c r="L49" s="146">
        <f t="shared" ref="L49:L55" si="3">3.14*$D49/1000*$C49/60</f>
        <v>2.4617599999999999</v>
      </c>
      <c r="M49" s="142">
        <v>55</v>
      </c>
      <c r="N49" s="142"/>
      <c r="O49" s="17"/>
      <c r="P49" s="17"/>
      <c r="Q49" s="17"/>
      <c r="R49" s="17"/>
      <c r="S49" s="17"/>
      <c r="T49" s="17"/>
      <c r="U49" s="17"/>
      <c r="V49" s="224"/>
      <c r="W49" s="131" t="s">
        <v>47</v>
      </c>
      <c r="X49" s="150">
        <f>IF($B$45=0,
IF($B$44="N/A","N/A",IF(Input!D14&lt;=1000,VLOOKUP($B$44,$B$48:$N$55,2,FALSE),ROUNDDOWN(SQRT((213500000000000000*VLOOKUP($B$44,$B$48:$N$55,9,FALSE))/(9.549*VLOOKUP($B$44,$B$48:$N$55,4,FALSE)*(VLOOKUP($B$44,$B$48:$N$55,5,FALSE)/1000)*(VLOOKUP($B$44,$B$48:$N$55,3,FALSE)^5))),0))),
IF(Input!D14&lt;=1000,VLOOKUP($B$45,$B$48:$N$55,2,FALSE),ROUNDDOWN(SQRT((213500000000000000*VLOOKUP($B$45,$B$48:$N$55,9,FALSE))/(9.549*VLOOKUP($B$45,$B$48:$N$55,4,FALSE)*(VLOOKUP($B$45,$B$48:$N$55,5,FALSE)/1000)*(VLOOKUP($B$45,$B$48:$N$55,3,FALSE)^5))),0)))</f>
        <v>487</v>
      </c>
      <c r="Y49" s="49" t="s">
        <v>281</v>
      </c>
      <c r="Z49" s="150">
        <f>$X$49</f>
        <v>487</v>
      </c>
      <c r="AA49" s="153" t="s">
        <v>281</v>
      </c>
      <c r="AB49" s="17"/>
    </row>
    <row r="50" spans="1:28" x14ac:dyDescent="0.25">
      <c r="B50" s="3" t="s">
        <v>80</v>
      </c>
      <c r="C50" s="35">
        <v>490</v>
      </c>
      <c r="D50" s="36">
        <v>150</v>
      </c>
      <c r="E50" s="3">
        <v>6.6849999999999996</v>
      </c>
      <c r="F50" s="3">
        <f>IF(ZG!$B$44=$B50,Input!$D$14,IF($B$45=$B50,Input!$D$14,1000))</f>
        <v>1001</v>
      </c>
      <c r="G50" s="3">
        <f>IF($B$44=$B50,Input!$D$12,IF($B$45=$B50,Input!$D$12,850))</f>
        <v>500</v>
      </c>
      <c r="H50" s="42">
        <f t="shared" si="2"/>
        <v>276.77462644863266</v>
      </c>
      <c r="I50" s="41">
        <v>6</v>
      </c>
      <c r="J50" s="42">
        <f t="shared" si="0"/>
        <v>5.3937161386897827</v>
      </c>
      <c r="K50" s="102">
        <f t="shared" si="1"/>
        <v>0.55354925289726531</v>
      </c>
      <c r="L50" s="104">
        <f t="shared" si="3"/>
        <v>3.8464999999999998</v>
      </c>
      <c r="M50" s="35">
        <v>94</v>
      </c>
      <c r="N50" s="35"/>
      <c r="O50" s="17"/>
      <c r="P50" s="17"/>
      <c r="Q50" s="17"/>
      <c r="R50" s="17"/>
      <c r="S50" s="17"/>
      <c r="T50" s="17"/>
      <c r="U50" s="17"/>
      <c r="V50" s="224"/>
      <c r="W50" s="132" t="s">
        <v>8</v>
      </c>
      <c r="X50" s="156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0.54344414303828092</v>
      </c>
      <c r="Y50" s="85" t="s">
        <v>9</v>
      </c>
      <c r="Z50" s="151">
        <f>$X$50/0.264172</f>
        <v>2.0571602707261971</v>
      </c>
      <c r="AA50" s="136" t="s">
        <v>282</v>
      </c>
      <c r="AB50" s="17"/>
    </row>
    <row r="51" spans="1:28" x14ac:dyDescent="0.25">
      <c r="A51" s="141" t="s">
        <v>46</v>
      </c>
      <c r="B51" s="142" t="s">
        <v>80</v>
      </c>
      <c r="C51" s="142">
        <v>490</v>
      </c>
      <c r="D51" s="143">
        <v>150</v>
      </c>
      <c r="E51" s="142">
        <v>6.6849999999999996</v>
      </c>
      <c r="F51" s="142">
        <f>IF(ZG!$B$44=$B51,Input!$D$14,IF($B$45=$B51,Input!$D$14,1000))</f>
        <v>1001</v>
      </c>
      <c r="G51" s="142">
        <v>850</v>
      </c>
      <c r="H51" s="148">
        <f t="shared" si="2"/>
        <v>276.77462644863266</v>
      </c>
      <c r="I51" s="145">
        <v>6</v>
      </c>
      <c r="J51" s="148">
        <f t="shared" si="0"/>
        <v>5.3937161386897827</v>
      </c>
      <c r="K51" s="144">
        <f t="shared" si="1"/>
        <v>0.32561720758662666</v>
      </c>
      <c r="L51" s="146">
        <f t="shared" si="3"/>
        <v>3.8464999999999998</v>
      </c>
      <c r="M51" s="142">
        <v>94</v>
      </c>
      <c r="N51" s="142"/>
      <c r="O51" s="17"/>
      <c r="P51" s="17"/>
      <c r="Q51" s="17"/>
      <c r="R51" s="17"/>
      <c r="S51" s="17"/>
      <c r="T51" s="17"/>
      <c r="U51" s="17"/>
      <c r="V51" s="224"/>
      <c r="W51" s="132" t="s">
        <v>10</v>
      </c>
      <c r="X51" s="155">
        <f>IF($B$45=0,
IF($X$49=$B$44,"N/A",3.14*VLOOKUP($B$44,$B$48:$N$55,3,FALSE)/1000*$X$49/60),
3.14*VLOOKUP($B$45,$B$48:$N$55,3,FALSE)/1000*$X$49/60)</f>
        <v>3.8229499999999996</v>
      </c>
      <c r="Y51" s="136" t="s">
        <v>11</v>
      </c>
      <c r="Z51" s="152">
        <f>$X$51*196.85</f>
        <v>752.54770749999989</v>
      </c>
      <c r="AA51" s="136" t="s">
        <v>283</v>
      </c>
      <c r="AB51" s="17"/>
    </row>
    <row r="52" spans="1:28" ht="30.75" thickBot="1" x14ac:dyDescent="0.3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35"/>
      <c r="O52" s="17"/>
      <c r="P52" s="17"/>
      <c r="Q52" s="17"/>
      <c r="R52" s="17"/>
      <c r="S52" s="17"/>
      <c r="T52" s="17"/>
      <c r="U52" s="17"/>
      <c r="V52" s="224"/>
      <c r="W52" s="154" t="s">
        <v>296</v>
      </c>
      <c r="X52" s="158" t="str">
        <f>IF($X$58=0,
"##",
CONCATENATE(MROUND(Input!$D$12/$X$58*5,0.5)," min"))</f>
        <v>##</v>
      </c>
      <c r="Y52" s="29"/>
      <c r="Z52" s="157" t="str">
        <f>$X$52</f>
        <v>##</v>
      </c>
      <c r="AA52" s="29"/>
      <c r="AB52" s="17"/>
    </row>
    <row r="53" spans="1:28" ht="15" customHeight="1" x14ac:dyDescent="0.25">
      <c r="A53" s="141" t="s">
        <v>46</v>
      </c>
      <c r="B53" s="142" t="s">
        <v>119</v>
      </c>
      <c r="C53" s="142">
        <v>490</v>
      </c>
      <c r="D53" s="143">
        <v>177</v>
      </c>
      <c r="E53" s="142">
        <v>6.6849999999999996</v>
      </c>
      <c r="F53" s="142">
        <f>IF(ZG!$B$44=$B53,Input!$D$14,IF($B$45=$B53,Input!$D$14,1000))</f>
        <v>1000</v>
      </c>
      <c r="G53" s="142">
        <v>2000</v>
      </c>
      <c r="H53" s="148">
        <f t="shared" si="2"/>
        <v>632.56073780547626</v>
      </c>
      <c r="I53" s="145">
        <v>13</v>
      </c>
      <c r="J53" s="148">
        <f t="shared" si="0"/>
        <v>12.327188745519372</v>
      </c>
      <c r="K53" s="144">
        <f t="shared" si="1"/>
        <v>0.31628036890273814</v>
      </c>
      <c r="L53" s="146">
        <f t="shared" si="3"/>
        <v>4.5388699999999993</v>
      </c>
      <c r="M53" s="142">
        <v>129.5</v>
      </c>
      <c r="N53" s="142"/>
      <c r="O53" s="17"/>
      <c r="P53" s="17"/>
      <c r="Q53" s="17"/>
      <c r="R53" s="17"/>
      <c r="S53" s="17"/>
      <c r="T53" s="17"/>
      <c r="U53" s="17"/>
      <c r="V53" s="224" t="s">
        <v>288</v>
      </c>
      <c r="W53" s="131" t="s">
        <v>291</v>
      </c>
      <c r="X53" s="187">
        <f>IF(Input!$E$28=0,$X$49,Input!$E$28)</f>
        <v>487</v>
      </c>
      <c r="Y53" s="85" t="s">
        <v>281</v>
      </c>
      <c r="Z53" s="188">
        <f>$X$53</f>
        <v>487</v>
      </c>
      <c r="AA53" s="136" t="s">
        <v>281</v>
      </c>
      <c r="AB53" s="17"/>
    </row>
    <row r="54" spans="1:28" x14ac:dyDescent="0.25">
      <c r="B54" s="3" t="s">
        <v>81</v>
      </c>
      <c r="C54" s="3">
        <v>343</v>
      </c>
      <c r="D54" s="36">
        <v>236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IF($B$44=$B54,Input!$D$12,IF($B$45=$B54,Input!$D$12,5000))</f>
        <v>5000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0.18286055395958287</v>
      </c>
      <c r="L54" s="104">
        <f t="shared" si="3"/>
        <v>4.2362786666666672</v>
      </c>
      <c r="M54" s="35">
        <v>159.5</v>
      </c>
      <c r="N54" s="35"/>
      <c r="O54" s="17"/>
      <c r="P54" s="17"/>
      <c r="Q54" s="17"/>
      <c r="R54" s="17"/>
      <c r="S54" s="17"/>
      <c r="T54" s="17"/>
      <c r="U54" s="17"/>
      <c r="V54" s="224"/>
      <c r="W54" s="132" t="s">
        <v>8</v>
      </c>
      <c r="X54" s="181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0.54344414303828092</v>
      </c>
      <c r="Y54" s="85" t="s">
        <v>9</v>
      </c>
      <c r="Z54" s="184">
        <f>$X$54/0.264172</f>
        <v>2.0571602707261971</v>
      </c>
      <c r="AA54" s="136" t="s">
        <v>282</v>
      </c>
      <c r="AB54" s="17"/>
    </row>
    <row r="55" spans="1:28" x14ac:dyDescent="0.25">
      <c r="A55" s="141" t="s">
        <v>46</v>
      </c>
      <c r="B55" s="142" t="s">
        <v>81</v>
      </c>
      <c r="C55" s="142">
        <v>343</v>
      </c>
      <c r="D55" s="143">
        <v>236</v>
      </c>
      <c r="E55" s="142">
        <v>6.6849999999999996</v>
      </c>
      <c r="F55" s="142">
        <f>IF(ZG!$B$44=$B55,Input!$D$14,IF($B$45=$B55,Input!$D$14,1000))</f>
        <v>1000</v>
      </c>
      <c r="G55" s="142">
        <v>5000</v>
      </c>
      <c r="H55" s="148">
        <f t="shared" si="2"/>
        <v>914.30276979791427</v>
      </c>
      <c r="I55" s="145">
        <v>26</v>
      </c>
      <c r="J55" s="149">
        <f t="shared" si="0"/>
        <v>25.453869238484792</v>
      </c>
      <c r="K55" s="144">
        <f t="shared" si="1"/>
        <v>0.18286055395958287</v>
      </c>
      <c r="L55" s="146">
        <f t="shared" si="3"/>
        <v>4.2362786666666672</v>
      </c>
      <c r="M55" s="142">
        <v>159.5</v>
      </c>
      <c r="N55" s="142"/>
      <c r="O55" s="17"/>
      <c r="P55" s="17"/>
      <c r="Q55" s="17"/>
      <c r="R55" s="17"/>
      <c r="S55" s="17"/>
      <c r="T55" s="17"/>
      <c r="U55" s="17"/>
      <c r="V55" s="224"/>
      <c r="W55" s="132" t="s">
        <v>292</v>
      </c>
      <c r="X55" s="182">
        <f>IF($B$45=0,
IF($X$49=$B$44,"N/A",3.14*VLOOKUP($B$44,$B$48:$N$55,3,FALSE)/1000*$X$53/60),
3.14*VLOOKUP($B$45,$B$48:$N$55,3,FALSE)/1000*$X$53/60)</f>
        <v>3.8229499999999996</v>
      </c>
      <c r="Y55" s="136" t="s">
        <v>11</v>
      </c>
      <c r="Z55" s="185">
        <f>$X$55*196.85</f>
        <v>752.54770749999989</v>
      </c>
      <c r="AA55" s="136" t="s">
        <v>283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24"/>
      <c r="W56" s="154" t="s">
        <v>297</v>
      </c>
      <c r="X56" s="183" t="str">
        <f>IF($X$59=0,
"##",
CONCATENATE(MROUND(Input!$D$12/$X$59*5,0.5)," min"))</f>
        <v>##</v>
      </c>
      <c r="Y56" s="137"/>
      <c r="Z56" s="186" t="str">
        <f>$X$56</f>
        <v>##</v>
      </c>
      <c r="AA56" s="94"/>
      <c r="AB56" s="17"/>
    </row>
    <row r="57" spans="1:28" x14ac:dyDescent="0.25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255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294</v>
      </c>
      <c r="X58" s="159">
        <f>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</f>
        <v>0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295</v>
      </c>
      <c r="X59" s="159">
        <f>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</f>
        <v>0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25" t="s">
        <v>286</v>
      </c>
      <c r="Y61" s="225"/>
      <c r="Z61" s="17"/>
      <c r="AA61" s="17"/>
      <c r="AB61" s="17"/>
    </row>
    <row r="62" spans="1:28" ht="15.75" thickBot="1" x14ac:dyDescent="0.3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293</v>
      </c>
      <c r="Y62" s="135" t="s">
        <v>288</v>
      </c>
      <c r="Z62" s="135"/>
      <c r="AA62" s="17"/>
      <c r="AB62" s="17"/>
    </row>
    <row r="63" spans="1:28" ht="15.75" thickBot="1" x14ac:dyDescent="0.3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 t="str">
        <f>IF($X$58=0,
"##",
Input!$D$12/$X$58*$W63)</f>
        <v>##</v>
      </c>
      <c r="Y63" s="189" t="str">
        <f>IF($X$59=0,
"##",
Input!$D$12/$X$59*$W63)</f>
        <v>##</v>
      </c>
      <c r="Z63" s="88"/>
      <c r="AA63" s="17"/>
      <c r="AB63" s="17"/>
    </row>
    <row r="64" spans="1:28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284</v>
      </c>
      <c r="S64" s="17"/>
      <c r="T64" s="17"/>
      <c r="U64" s="17"/>
      <c r="V64" s="17"/>
      <c r="W64" s="161">
        <v>1</v>
      </c>
      <c r="X64" s="162" t="str">
        <f>IF($X$58=0,
"##",
Input!$D$12/$X$58*$W64)</f>
        <v>##</v>
      </c>
      <c r="Y64" s="189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281</v>
      </c>
      <c r="S65" s="17"/>
      <c r="T65" s="17"/>
      <c r="U65" s="17"/>
      <c r="V65" s="17"/>
      <c r="W65" s="161">
        <v>2</v>
      </c>
      <c r="X65" s="162" t="str">
        <f>IF($X$58=0,
"##",
Input!$D$12/$X$58*$W65)</f>
        <v>##</v>
      </c>
      <c r="Y65" s="189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282</v>
      </c>
      <c r="S66" s="17"/>
      <c r="T66" s="17"/>
      <c r="U66" s="17"/>
      <c r="V66" s="17"/>
      <c r="W66" s="161">
        <v>3</v>
      </c>
      <c r="X66" s="162" t="str">
        <f>IF($X$58=0,
"##",
Input!$D$12/$X$58*$W66)</f>
        <v>##</v>
      </c>
      <c r="Y66" s="189" t="str">
        <f>IF($X$59=0,
"##",
Input!$D$12/$X$59*$W66)</f>
        <v>##</v>
      </c>
      <c r="Z66" s="88"/>
      <c r="AA66" s="17"/>
      <c r="AB66" s="17"/>
    </row>
    <row r="67" spans="1:28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283</v>
      </c>
      <c r="S67" s="17"/>
      <c r="T67" s="17"/>
      <c r="U67" s="17"/>
      <c r="V67" s="17"/>
      <c r="W67" s="161">
        <v>4</v>
      </c>
      <c r="X67" s="162" t="str">
        <f>IF($X$58=0,
"##",
Input!$D$12/$X$58*$W67)</f>
        <v>##</v>
      </c>
      <c r="Y67" s="189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281</v>
      </c>
      <c r="S68" s="17"/>
      <c r="T68" s="17"/>
      <c r="U68" s="17"/>
      <c r="V68" s="17"/>
      <c r="W68" s="161">
        <v>5</v>
      </c>
      <c r="X68" s="162" t="str">
        <f>IF($X$58=0,
"##",
Input!$D$12/$X$58*$W68)</f>
        <v>##</v>
      </c>
      <c r="Y68" s="189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5"/>
      <c r="R69" s="85" t="s">
        <v>282</v>
      </c>
      <c r="S69" s="17"/>
      <c r="T69" s="17"/>
      <c r="U69" s="17"/>
      <c r="V69" s="17"/>
      <c r="W69" s="161">
        <v>6</v>
      </c>
      <c r="X69" s="162" t="str">
        <f>IF($X$58=0,
"##",
Input!$D$12/$X$58*$W69)</f>
        <v>##</v>
      </c>
      <c r="Y69" s="189" t="str">
        <f>IF($X$59=0,
"##",
Input!$D$12/$X$59*$W69)</f>
        <v>##</v>
      </c>
      <c r="Z69" s="17"/>
      <c r="AA69" s="17"/>
      <c r="AB69" s="17"/>
    </row>
    <row r="70" spans="1:28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283</v>
      </c>
      <c r="S70" s="17"/>
      <c r="T70" s="17"/>
      <c r="U70" s="17"/>
      <c r="V70" s="17"/>
      <c r="W70" s="161">
        <v>7</v>
      </c>
      <c r="X70" s="162" t="str">
        <f>IF($X$58=0,
"##",
Input!$D$12/$X$58*$W70)</f>
        <v>##</v>
      </c>
      <c r="Y70" s="189" t="str">
        <f>IF($X$59=0,
"##",
Input!$D$12/$X$59*$W70)</f>
        <v>##</v>
      </c>
      <c r="Z70" s="17"/>
      <c r="AA70" s="17"/>
      <c r="AB70" s="17"/>
    </row>
    <row r="71" spans="1:28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1">
        <v>8</v>
      </c>
      <c r="X71" s="162" t="str">
        <f>IF($X$58=0,
"##",
Input!$D$12/$X$58*$W71)</f>
        <v>##</v>
      </c>
      <c r="Y71" s="189" t="str">
        <f>IF($X$59=0,
"##",
Input!$D$12/$X$59*$W71)</f>
        <v>##</v>
      </c>
      <c r="Z71" s="17"/>
      <c r="AA71" s="17"/>
      <c r="AB71" s="17"/>
    </row>
    <row r="72" spans="1:28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1">
        <v>9</v>
      </c>
      <c r="X72" s="162" t="str">
        <f>IF($X$58=0,
"##",
Input!$D$12/$X$58*$W72)</f>
        <v>##</v>
      </c>
      <c r="Y72" s="189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281</v>
      </c>
      <c r="T73" s="17"/>
      <c r="U73" s="17"/>
      <c r="V73" s="17"/>
      <c r="W73" s="161">
        <v>10</v>
      </c>
      <c r="X73" s="162" t="str">
        <f>IF($X$58=0,
"##",
Input!$D$12/$X$58*$W73)</f>
        <v>##</v>
      </c>
      <c r="Y73" s="189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282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5.75" thickBot="1" x14ac:dyDescent="0.3">
      <c r="O75" s="83"/>
      <c r="Q75" s="82"/>
      <c r="R75" s="29" t="s">
        <v>283</v>
      </c>
    </row>
    <row r="76" spans="1:28" x14ac:dyDescent="0.25">
      <c r="R76" s="27" t="s">
        <v>281</v>
      </c>
    </row>
    <row r="77" spans="1:28" x14ac:dyDescent="0.25">
      <c r="O77" s="58"/>
      <c r="Q77" s="58"/>
      <c r="R77" s="27" t="s">
        <v>282</v>
      </c>
    </row>
    <row r="78" spans="1:28" ht="15.75" thickBot="1" x14ac:dyDescent="0.3">
      <c r="O78" s="83"/>
      <c r="Q78" s="82"/>
      <c r="R78" s="29" t="s">
        <v>283</v>
      </c>
    </row>
    <row r="80" spans="1:28" ht="15.75" thickBot="1" x14ac:dyDescent="0.3">
      <c r="R80" s="59"/>
    </row>
    <row r="81" spans="15:18" ht="15.75" thickBot="1" x14ac:dyDescent="0.3">
      <c r="R81" s="173"/>
    </row>
    <row r="82" spans="15:18" x14ac:dyDescent="0.25">
      <c r="O82" s="166"/>
      <c r="Q82" s="82"/>
      <c r="R82" s="27" t="s">
        <v>285</v>
      </c>
    </row>
    <row r="83" spans="15:18" x14ac:dyDescent="0.25">
      <c r="O83" s="79"/>
      <c r="Q83" s="83"/>
      <c r="R83" s="27"/>
    </row>
    <row r="84" spans="15:18" x14ac:dyDescent="0.25">
      <c r="R84" s="27"/>
    </row>
    <row r="85" spans="15:18" ht="15.75" thickBot="1" x14ac:dyDescent="0.3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J47" workbookViewId="0">
      <selection activeCell="Y63" activeCellId="2" sqref="X53:X56 Z53:Z56 Y63:Y73"/>
    </sheetView>
  </sheetViews>
  <sheetFormatPr defaultRowHeight="15" x14ac:dyDescent="0.25"/>
  <cols>
    <col min="1" max="1" width="20.28515625" bestFit="1" customWidth="1"/>
    <col min="2" max="2" width="12.5703125" bestFit="1" customWidth="1"/>
    <col min="12" max="12" width="15" bestFit="1" customWidth="1"/>
    <col min="17" max="17" width="0" hidden="1" customWidth="1"/>
    <col min="18" max="18" width="18.85546875" hidden="1" customWidth="1"/>
    <col min="19" max="20" width="0" hidden="1" customWidth="1"/>
    <col min="23" max="23" width="19.140625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6">
        <f>IF(Input!$D$13="Gentle",1.2,IF(Input!$D$13="Vigorous", 0.8,1))</f>
        <v>1.2</v>
      </c>
      <c r="C2" s="227"/>
      <c r="D2" s="226">
        <f>IF(Input!$D$13="Gentle",1.2,IF(Input!$D$13="Vigorous", 0.8,1))</f>
        <v>1.2</v>
      </c>
      <c r="E2" s="227"/>
      <c r="F2" s="226">
        <f>IF(Input!$D$13="Gentle",1.2,IF(Input!$D$13="Vigorous", 0.8,1))</f>
        <v>1.2</v>
      </c>
      <c r="G2" s="22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(B$2)*300</f>
        <v>360</v>
      </c>
      <c r="C6" s="21">
        <v>1</v>
      </c>
      <c r="D6" s="20">
        <f>(D$2)*3000</f>
        <v>3600</v>
      </c>
      <c r="E6" s="21">
        <v>1</v>
      </c>
      <c r="F6" s="20">
        <f>(F$2)*10000</f>
        <v>12000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(B$2)*273</f>
        <v>327.59999999999997</v>
      </c>
      <c r="C7" s="23">
        <v>5</v>
      </c>
      <c r="D7" s="22">
        <f>(D$2)*2730</f>
        <v>3276</v>
      </c>
      <c r="E7" s="23">
        <v>5</v>
      </c>
      <c r="F7" s="22">
        <f>(F$2)*9100</f>
        <v>10920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(B$2)*249</f>
        <v>298.8</v>
      </c>
      <c r="C8" s="23">
        <v>10</v>
      </c>
      <c r="D8" s="22">
        <f>(D$2)*2490</f>
        <v>2988</v>
      </c>
      <c r="E8" s="23">
        <v>10</v>
      </c>
      <c r="F8" s="22">
        <f>(F$2)*8300</f>
        <v>9960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(B$2)*231</f>
        <v>277.2</v>
      </c>
      <c r="C9" s="23">
        <v>15</v>
      </c>
      <c r="D9" s="22">
        <f>(D$2)*2310</f>
        <v>2772</v>
      </c>
      <c r="E9" s="23">
        <v>15</v>
      </c>
      <c r="F9" s="22">
        <f>(F$2)*7700</f>
        <v>9240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(B$2)*216</f>
        <v>259.2</v>
      </c>
      <c r="C10" s="23">
        <v>20</v>
      </c>
      <c r="D10" s="22">
        <f>(D$2)*2160</f>
        <v>2592</v>
      </c>
      <c r="E10" s="23">
        <v>20</v>
      </c>
      <c r="F10" s="22">
        <f>(F$2)*7200</f>
        <v>8640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(B$2)*204</f>
        <v>244.79999999999998</v>
      </c>
      <c r="C11" s="23">
        <v>25</v>
      </c>
      <c r="D11" s="22">
        <f>(D$2)*2040</f>
        <v>2448</v>
      </c>
      <c r="E11" s="23">
        <v>25</v>
      </c>
      <c r="F11" s="22">
        <f>(F$2)*6800</f>
        <v>8160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(B$2)*196.5</f>
        <v>235.79999999999998</v>
      </c>
      <c r="C12" s="23">
        <v>30</v>
      </c>
      <c r="D12" s="22">
        <f>(D$2)*1965</f>
        <v>2358</v>
      </c>
      <c r="E12" s="23">
        <v>30</v>
      </c>
      <c r="F12" s="22">
        <f>(F$2)*6550</f>
        <v>7860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(B$2)*189</f>
        <v>226.79999999999998</v>
      </c>
      <c r="C13" s="23">
        <v>35</v>
      </c>
      <c r="D13" s="22">
        <f>(D$2)*1890</f>
        <v>2268</v>
      </c>
      <c r="E13" s="23">
        <v>35</v>
      </c>
      <c r="F13" s="22">
        <f>(F$2)*6300</f>
        <v>7560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(B$2)*184.5</f>
        <v>221.4</v>
      </c>
      <c r="C14" s="23">
        <v>40</v>
      </c>
      <c r="D14" s="22">
        <f>(D$2)*1845</f>
        <v>2214</v>
      </c>
      <c r="E14" s="23">
        <v>40</v>
      </c>
      <c r="F14" s="22">
        <f>(F$2)*6150</f>
        <v>7380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(B$2)*180</f>
        <v>216</v>
      </c>
      <c r="C15" s="23">
        <v>45</v>
      </c>
      <c r="D15" s="22">
        <f>(D$2)*1800</f>
        <v>2160</v>
      </c>
      <c r="E15" s="23">
        <v>45</v>
      </c>
      <c r="F15" s="22">
        <f>(F$2)*6000</f>
        <v>7200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(B$2)*175.8</f>
        <v>210.96</v>
      </c>
      <c r="C16" s="23">
        <v>50</v>
      </c>
      <c r="D16" s="22">
        <f>(D$2)*1758</f>
        <v>2109.6</v>
      </c>
      <c r="E16" s="23">
        <v>50</v>
      </c>
      <c r="F16" s="22">
        <f>(F$2)*5860</f>
        <v>7032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(B$2)*171</f>
        <v>205.2</v>
      </c>
      <c r="C17" s="23">
        <v>55</v>
      </c>
      <c r="D17" s="22">
        <f>(D$2)*1710</f>
        <v>2052</v>
      </c>
      <c r="E17" s="23">
        <v>55</v>
      </c>
      <c r="F17" s="22">
        <f>(F$2)*5700</f>
        <v>6840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(B$2)*168</f>
        <v>201.6</v>
      </c>
      <c r="C18" s="23">
        <v>60</v>
      </c>
      <c r="D18" s="22">
        <f>(D$2)*1680</f>
        <v>2016</v>
      </c>
      <c r="E18" s="23">
        <v>60</v>
      </c>
      <c r="F18" s="22">
        <f>(F$2)*5600</f>
        <v>6720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(B$2)*165</f>
        <v>198</v>
      </c>
      <c r="C19" s="23">
        <v>65</v>
      </c>
      <c r="D19" s="22">
        <f>(D$2)*1650</f>
        <v>1980</v>
      </c>
      <c r="E19" s="23">
        <v>65</v>
      </c>
      <c r="F19" s="22">
        <f>(F$2)*5500</f>
        <v>6600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(B$2)*162</f>
        <v>194.4</v>
      </c>
      <c r="C20" s="23">
        <v>70</v>
      </c>
      <c r="D20" s="22">
        <f>(D$2)*1620</f>
        <v>1944</v>
      </c>
      <c r="E20" s="23">
        <v>70</v>
      </c>
      <c r="F20" s="22">
        <f>(F$2)*5400</f>
        <v>6480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(B$2)*159</f>
        <v>190.79999999999998</v>
      </c>
      <c r="C21" s="23">
        <v>75</v>
      </c>
      <c r="D21" s="22">
        <f>(D$2)*1590</f>
        <v>1908</v>
      </c>
      <c r="E21" s="23">
        <v>75</v>
      </c>
      <c r="F21" s="22">
        <f>(F$2)*5300</f>
        <v>6360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(B$2)*156</f>
        <v>187.2</v>
      </c>
      <c r="C22" s="23">
        <v>80</v>
      </c>
      <c r="D22" s="22">
        <f>(D$2)*1560</f>
        <v>1872</v>
      </c>
      <c r="E22" s="23">
        <v>80</v>
      </c>
      <c r="F22" s="22">
        <f>(F$2)*5200</f>
        <v>6240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(B$2)*153</f>
        <v>183.6</v>
      </c>
      <c r="C23" s="23">
        <v>85</v>
      </c>
      <c r="D23" s="22">
        <f>(D$2)*1530</f>
        <v>1836</v>
      </c>
      <c r="E23" s="23">
        <v>85</v>
      </c>
      <c r="F23" s="22">
        <f>(F$2)*5100</f>
        <v>6120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(B$2)*150</f>
        <v>180</v>
      </c>
      <c r="C24" s="23">
        <v>90</v>
      </c>
      <c r="D24" s="22">
        <f>(D$2)*1500</f>
        <v>1800</v>
      </c>
      <c r="E24" s="23">
        <v>90</v>
      </c>
      <c r="F24" s="22">
        <f>(F$2)*5000</f>
        <v>6000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(B$2)*147</f>
        <v>176.4</v>
      </c>
      <c r="C25" s="23">
        <v>95</v>
      </c>
      <c r="D25" s="22">
        <f>(D$2)*1470</f>
        <v>1764</v>
      </c>
      <c r="E25" s="23">
        <v>95</v>
      </c>
      <c r="F25" s="22">
        <f>(F$2)*4900</f>
        <v>5880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(B$2)*145.5</f>
        <v>174.6</v>
      </c>
      <c r="C26" s="23">
        <v>100</v>
      </c>
      <c r="D26" s="22">
        <f>(D$2)*1455</f>
        <v>1746</v>
      </c>
      <c r="E26" s="23">
        <v>100</v>
      </c>
      <c r="F26" s="22">
        <f>(F$2)*4850</f>
        <v>5820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(B$2)*129</f>
        <v>154.79999999999998</v>
      </c>
      <c r="C27" s="23">
        <v>150</v>
      </c>
      <c r="D27" s="22">
        <f>(D$2)*1290</f>
        <v>1548</v>
      </c>
      <c r="E27" s="23">
        <v>150</v>
      </c>
      <c r="F27" s="22">
        <f>(F$2)*4300</f>
        <v>5160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(B$2)*117</f>
        <v>140.4</v>
      </c>
      <c r="C28" s="23">
        <v>200</v>
      </c>
      <c r="D28" s="22">
        <f>(D$2)*1170</f>
        <v>1404</v>
      </c>
      <c r="E28" s="23">
        <v>200</v>
      </c>
      <c r="F28" s="22">
        <f>(F$2)*3900</f>
        <v>4680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(B$2)*106.5</f>
        <v>127.8</v>
      </c>
      <c r="C29" s="23">
        <v>250</v>
      </c>
      <c r="D29" s="22">
        <f>(D$2)*1065</f>
        <v>1278</v>
      </c>
      <c r="E29" s="23">
        <v>250</v>
      </c>
      <c r="F29" s="22">
        <f>(F$2)*3550</f>
        <v>4260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(B$2)*96</f>
        <v>115.19999999999999</v>
      </c>
      <c r="C30" s="23">
        <v>300</v>
      </c>
      <c r="D30" s="22">
        <f>(D$2)*960</f>
        <v>1152</v>
      </c>
      <c r="E30" s="23">
        <v>300</v>
      </c>
      <c r="F30" s="22">
        <f>(F$2)*3200</f>
        <v>3840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(B$2)*87</f>
        <v>104.39999999999999</v>
      </c>
      <c r="C31" s="23">
        <v>350</v>
      </c>
      <c r="D31" s="22">
        <f>(D$2)*870</f>
        <v>1044</v>
      </c>
      <c r="E31" s="23">
        <v>350</v>
      </c>
      <c r="F31" s="22">
        <f>(F$2)*2900</f>
        <v>3480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(B$2)*78</f>
        <v>93.6</v>
      </c>
      <c r="C32" s="23">
        <v>400</v>
      </c>
      <c r="D32" s="22">
        <f>(D$2)*780</f>
        <v>936</v>
      </c>
      <c r="E32" s="23">
        <v>400</v>
      </c>
      <c r="F32" s="22">
        <f>(F$2)*2600</f>
        <v>3120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(B$2)*70.5</f>
        <v>84.6</v>
      </c>
      <c r="C33" s="23">
        <v>450</v>
      </c>
      <c r="D33" s="22">
        <f>(D$2)*705</f>
        <v>846</v>
      </c>
      <c r="E33" s="23">
        <v>450</v>
      </c>
      <c r="F33" s="22">
        <f>(F$2)*2350</f>
        <v>2820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(B$2)*63</f>
        <v>75.599999999999994</v>
      </c>
      <c r="C34" s="23">
        <v>500</v>
      </c>
      <c r="D34" s="22">
        <f>(D$2)*630</f>
        <v>756</v>
      </c>
      <c r="E34" s="23">
        <v>500</v>
      </c>
      <c r="F34" s="22">
        <f>(F$2)*2100</f>
        <v>2520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(B$2)*57</f>
        <v>68.399999999999991</v>
      </c>
      <c r="C35" s="23">
        <v>550</v>
      </c>
      <c r="D35" s="22">
        <f>(D$2)*570</f>
        <v>684</v>
      </c>
      <c r="E35" s="23">
        <v>550</v>
      </c>
      <c r="F35" s="22">
        <f>(F$2)*1900</f>
        <v>2280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(B$2)*51</f>
        <v>61.199999999999996</v>
      </c>
      <c r="C36" s="23">
        <v>600</v>
      </c>
      <c r="D36" s="22">
        <f>(D$2)*510</f>
        <v>612</v>
      </c>
      <c r="E36" s="23">
        <v>600</v>
      </c>
      <c r="F36" s="22">
        <f>(F$2)*1700</f>
        <v>2040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(B$2)*45</f>
        <v>54</v>
      </c>
      <c r="C37" s="23">
        <v>650</v>
      </c>
      <c r="D37" s="22">
        <f>(D$2)*450</f>
        <v>540</v>
      </c>
      <c r="E37" s="23">
        <v>650</v>
      </c>
      <c r="F37" s="22">
        <f>(F$2)*1500</f>
        <v>1800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(B$2)*39.6</f>
        <v>47.52</v>
      </c>
      <c r="C38" s="23">
        <v>700</v>
      </c>
      <c r="D38" s="22">
        <f>(D$2)*396</f>
        <v>475.2</v>
      </c>
      <c r="E38" s="23">
        <v>700</v>
      </c>
      <c r="F38" s="22">
        <f>(F$2)*1320</f>
        <v>1584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(B$2)*34.5</f>
        <v>41.4</v>
      </c>
      <c r="C39" s="23">
        <v>750</v>
      </c>
      <c r="D39" s="22">
        <f>(D$2)*345</f>
        <v>414</v>
      </c>
      <c r="E39" s="23">
        <v>750</v>
      </c>
      <c r="F39" s="22">
        <f>(F$2)*1150</f>
        <v>1380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(B$2)*30</f>
        <v>36</v>
      </c>
      <c r="C40" s="25">
        <v>800</v>
      </c>
      <c r="D40" s="24">
        <f>(D$2)*300</f>
        <v>360</v>
      </c>
      <c r="E40" s="25">
        <v>800</v>
      </c>
      <c r="F40" s="24">
        <f>(F$2)*1000</f>
        <v>1200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289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360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3600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12000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Input!$D$29</f>
        <v>HP5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146</v>
      </c>
      <c r="N47" s="124" t="s">
        <v>256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35"/>
      <c r="O48" s="17"/>
      <c r="P48" s="17"/>
      <c r="Q48" s="17"/>
      <c r="U48" s="17"/>
      <c r="V48" s="224" t="s">
        <v>290</v>
      </c>
      <c r="W48" s="134"/>
      <c r="X48" s="130" t="s">
        <v>275</v>
      </c>
      <c r="Y48" s="138" t="s">
        <v>284</v>
      </c>
      <c r="Z48" s="130" t="s">
        <v>280</v>
      </c>
      <c r="AA48" s="138" t="s">
        <v>284</v>
      </c>
      <c r="AB48" s="17"/>
    </row>
    <row r="49" spans="1:28" x14ac:dyDescent="0.25">
      <c r="A49" s="141" t="s">
        <v>46</v>
      </c>
      <c r="B49" s="142" t="s">
        <v>27</v>
      </c>
      <c r="C49" s="142">
        <v>1700</v>
      </c>
      <c r="D49" s="143">
        <v>66</v>
      </c>
      <c r="E49" s="142">
        <v>5.9</v>
      </c>
      <c r="F49" s="142">
        <f>1000</f>
        <v>1000</v>
      </c>
      <c r="G49" s="142">
        <v>50</v>
      </c>
      <c r="H49" s="148">
        <f t="shared" ref="H49:H53" si="2">$E49*$F49*($C49/60)^3*($D49/1000)^5</f>
        <v>168.06013278120005</v>
      </c>
      <c r="I49" s="172">
        <v>1.1000000000000001</v>
      </c>
      <c r="J49" s="146">
        <f t="shared" si="0"/>
        <v>0.94400365172216438</v>
      </c>
      <c r="K49" s="144">
        <f t="shared" si="1"/>
        <v>3.3612026556240009</v>
      </c>
      <c r="L49" s="146">
        <f t="shared" ref="L49:L53" si="3">3.14*$D49/1000*$C$48/60</f>
        <v>5.8717999999999995</v>
      </c>
      <c r="M49" s="141">
        <v>55</v>
      </c>
      <c r="N49" s="142"/>
      <c r="O49" s="17"/>
      <c r="P49" s="17"/>
      <c r="Q49" s="17"/>
      <c r="U49" s="17"/>
      <c r="V49" s="224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1690</v>
      </c>
      <c r="Y49" s="49" t="s">
        <v>281</v>
      </c>
      <c r="Z49" s="150">
        <f>$X$49</f>
        <v>1690</v>
      </c>
      <c r="AA49" s="153" t="s">
        <v>281</v>
      </c>
      <c r="AB49" s="17"/>
    </row>
    <row r="50" spans="1:28" x14ac:dyDescent="0.25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IF($B$44=$B50,Input!$D$14,1000)</f>
        <v>1001</v>
      </c>
      <c r="G50" s="3">
        <f>IF($B$44=$B50,Input!$D$12,850)</f>
        <v>500</v>
      </c>
      <c r="H50" s="42">
        <f t="shared" si="2"/>
        <v>871.01804786378159</v>
      </c>
      <c r="I50" s="41">
        <v>7.8</v>
      </c>
      <c r="J50" s="42">
        <f t="shared" si="0"/>
        <v>4.8925596112066181</v>
      </c>
      <c r="K50" s="102">
        <f t="shared" si="1"/>
        <v>1.7420360957275631</v>
      </c>
      <c r="L50" s="104">
        <f t="shared" si="3"/>
        <v>9.163566666666668</v>
      </c>
      <c r="M50" s="17">
        <v>94</v>
      </c>
      <c r="N50" s="35"/>
      <c r="O50" s="17"/>
      <c r="P50" s="17"/>
      <c r="Q50" s="17"/>
      <c r="U50" s="17"/>
      <c r="V50" s="224"/>
      <c r="W50" s="132" t="s">
        <v>8</v>
      </c>
      <c r="X50" s="156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1.7114747618934798</v>
      </c>
      <c r="Y50" s="85" t="s">
        <v>9</v>
      </c>
      <c r="Z50" s="151">
        <f>$X$50/0.264172</f>
        <v>6.4786380157377756</v>
      </c>
      <c r="AA50" s="136" t="s">
        <v>282</v>
      </c>
      <c r="AB50" s="17"/>
    </row>
    <row r="51" spans="1:28" x14ac:dyDescent="0.25">
      <c r="A51" s="141" t="s">
        <v>46</v>
      </c>
      <c r="B51" s="142" t="s">
        <v>28</v>
      </c>
      <c r="C51" s="142">
        <v>1700</v>
      </c>
      <c r="D51" s="143">
        <v>103</v>
      </c>
      <c r="E51" s="142">
        <v>3.3</v>
      </c>
      <c r="F51" s="142">
        <f>1000</f>
        <v>1000</v>
      </c>
      <c r="G51" s="142">
        <v>850</v>
      </c>
      <c r="H51" s="148">
        <f t="shared" si="2"/>
        <v>870.14789996381785</v>
      </c>
      <c r="I51" s="145">
        <v>7.8</v>
      </c>
      <c r="J51" s="148">
        <f t="shared" si="0"/>
        <v>4.8876719392673511</v>
      </c>
      <c r="K51" s="144">
        <f t="shared" si="1"/>
        <v>1.0237034117221386</v>
      </c>
      <c r="L51" s="146">
        <f t="shared" si="3"/>
        <v>9.163566666666668</v>
      </c>
      <c r="M51" s="141">
        <v>94</v>
      </c>
      <c r="N51" s="142"/>
      <c r="O51" s="17"/>
      <c r="P51" s="17"/>
      <c r="Q51" s="17"/>
      <c r="U51" s="17"/>
      <c r="V51" s="224"/>
      <c r="W51" s="132" t="s">
        <v>10</v>
      </c>
      <c r="X51" s="155">
        <f>IF($B$45=0,
IF($X$49=$B$44,"N/A",3.14*VLOOKUP($B$44,$B$48:$N$53,3,FALSE)/1000*$X$49/60),
3.14*VLOOKUP($B$45,$B$48:$N$53,3,FALSE)/1000*$X$49/60)</f>
        <v>9.1096633333333354</v>
      </c>
      <c r="Y51" s="136" t="s">
        <v>11</v>
      </c>
      <c r="Z51" s="152">
        <f>$X$51*196.85</f>
        <v>1793.237227166667</v>
      </c>
      <c r="AA51" s="136" t="s">
        <v>283</v>
      </c>
      <c r="AB51" s="17"/>
    </row>
    <row r="52" spans="1:28" ht="45.75" thickBot="1" x14ac:dyDescent="0.3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35"/>
      <c r="O52" s="17"/>
      <c r="P52" s="17"/>
      <c r="Q52" s="17"/>
      <c r="U52" s="17"/>
      <c r="V52" s="224"/>
      <c r="W52" s="154" t="s">
        <v>296</v>
      </c>
      <c r="X52" s="158" t="str">
        <f>IF($X$58=0,
"##",
CONCATENATE(MROUND(Input!$D$12/$X$58*5,0.5)," min"))</f>
        <v>##</v>
      </c>
      <c r="Y52" s="29"/>
      <c r="Z52" s="157" t="str">
        <f>$X$52</f>
        <v>##</v>
      </c>
      <c r="AA52" s="29"/>
      <c r="AB52" s="17"/>
    </row>
    <row r="53" spans="1:28" x14ac:dyDescent="0.25">
      <c r="A53" s="141" t="s">
        <v>46</v>
      </c>
      <c r="B53" s="167" t="s">
        <v>29</v>
      </c>
      <c r="C53" s="167">
        <v>1700</v>
      </c>
      <c r="D53" s="168">
        <v>136</v>
      </c>
      <c r="E53" s="141">
        <v>5.2</v>
      </c>
      <c r="F53" s="167">
        <f>1000</f>
        <v>1000</v>
      </c>
      <c r="G53" s="167">
        <v>2000</v>
      </c>
      <c r="H53" s="148">
        <f t="shared" si="2"/>
        <v>5502.8908476795277</v>
      </c>
      <c r="I53" s="169">
        <v>26</v>
      </c>
      <c r="J53" s="170">
        <f t="shared" si="0"/>
        <v>30.910061590877536</v>
      </c>
      <c r="K53" s="171">
        <f t="shared" si="1"/>
        <v>2.7514454238397636</v>
      </c>
      <c r="L53" s="146">
        <f t="shared" si="3"/>
        <v>12.099466666666668</v>
      </c>
      <c r="M53" s="141">
        <v>159.5</v>
      </c>
      <c r="N53" s="142"/>
      <c r="O53" s="17"/>
      <c r="P53" s="17"/>
      <c r="Q53" s="17"/>
      <c r="U53" s="17"/>
      <c r="V53" s="224" t="s">
        <v>288</v>
      </c>
      <c r="W53" s="131" t="s">
        <v>291</v>
      </c>
      <c r="X53" s="187">
        <f>IF(Input!$E$29=0,$X$49,Input!$E$29)</f>
        <v>1690</v>
      </c>
      <c r="Y53" s="85" t="s">
        <v>281</v>
      </c>
      <c r="Z53" s="188">
        <f>$X$53</f>
        <v>1690</v>
      </c>
      <c r="AA53" s="136" t="s">
        <v>281</v>
      </c>
      <c r="AB53" s="17"/>
    </row>
    <row r="54" spans="1:28" x14ac:dyDescent="0.25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24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1.7114747618934798</v>
      </c>
      <c r="Y54" s="85" t="s">
        <v>9</v>
      </c>
      <c r="Z54" s="184">
        <f>$X$54/0.264172</f>
        <v>6.4786380157377756</v>
      </c>
      <c r="AA54" s="136" t="s">
        <v>282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24"/>
      <c r="W55" s="132" t="s">
        <v>292</v>
      </c>
      <c r="X55" s="182">
        <f>IF($B$45=0,
IF($X$49=$B$44,"N/A",3.14*VLOOKUP($B$44,$B$48:$N$53,3,FALSE)/1000*$X$53/60),
3.14*VLOOKUP($B$45,$B$48:$N$53,3,FALSE)/1000*$X$53/60)</f>
        <v>9.1096633333333354</v>
      </c>
      <c r="Y55" s="136" t="s">
        <v>11</v>
      </c>
      <c r="Z55" s="185">
        <f>$X$55*196.85</f>
        <v>1793.237227166667</v>
      </c>
      <c r="AA55" s="136" t="s">
        <v>283</v>
      </c>
      <c r="AB55" s="17"/>
    </row>
    <row r="56" spans="1:28" ht="45.75" thickBot="1" x14ac:dyDescent="0.3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24"/>
      <c r="W56" s="154" t="s">
        <v>297</v>
      </c>
      <c r="X56" s="183" t="str">
        <f>IF($X$59=0,
"##",
CONCATENATE(MROUND(Input!$D$12/$X$59*5,0.5)," min"))</f>
        <v>##</v>
      </c>
      <c r="Y56" s="137"/>
      <c r="Z56" s="186" t="str">
        <f>$X$56</f>
        <v>##</v>
      </c>
      <c r="AA56" s="94"/>
      <c r="AB56" s="17"/>
    </row>
    <row r="57" spans="1:28" x14ac:dyDescent="0.25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255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294</v>
      </c>
      <c r="X58" s="159">
        <f>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</f>
        <v>0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295</v>
      </c>
      <c r="X59" s="159">
        <f>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</f>
        <v>0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25" t="s">
        <v>286</v>
      </c>
      <c r="Y61" s="225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293</v>
      </c>
      <c r="Y62" s="135" t="s">
        <v>288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 t="str">
        <f>IF($X$58=0,
"##",
Input!$D$12/$X$58*$W63)</f>
        <v>##</v>
      </c>
      <c r="Y63" s="189" t="str">
        <f>IF($X$59=0,
"##",
Input!$D$12/$X$59*$W63)</f>
        <v>##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 t="str">
        <f>IF($X$58=0,
"##",
Input!$D$12/$X$58*$W64)</f>
        <v>##</v>
      </c>
      <c r="Y64" s="189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 t="str">
        <f>IF($X$58=0,
"##",
Input!$D$12/$X$58*$W65)</f>
        <v>##</v>
      </c>
      <c r="Y65" s="189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 t="str">
        <f>IF($X$58=0,
"##",
Input!$D$12/$X$58*$W66)</f>
        <v>##</v>
      </c>
      <c r="Y66" s="189" t="str">
        <f>IF($X$59=0,
"##",
Input!$D$12/$X$59*$W66)</f>
        <v>##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 t="str">
        <f>IF($X$58=0,
"##",
Input!$D$12/$X$58*$W67)</f>
        <v>##</v>
      </c>
      <c r="Y67" s="189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 t="str">
        <f>IF($X$58=0,
"##",
Input!$D$12/$X$58*$W68)</f>
        <v>##</v>
      </c>
      <c r="Y68" s="189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 t="str">
        <f>IF($X$58=0,
"##",
Input!$D$12/$X$58*$W69)</f>
        <v>##</v>
      </c>
      <c r="Y69" s="189" t="str">
        <f>IF($X$59=0,
"##",
Input!$D$12/$X$59*$W69)</f>
        <v>##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 t="str">
        <f>IF($X$58=0,
"##",
Input!$D$12/$X$58*$W70)</f>
        <v>##</v>
      </c>
      <c r="Y70" s="189" t="str">
        <f>IF($X$59=0,
"##",
Input!$D$12/$X$59*$W70)</f>
        <v>##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 t="str">
        <f>IF($X$58=0,
"##",
Input!$D$12/$X$58*$W71)</f>
        <v>##</v>
      </c>
      <c r="Y71" s="189" t="str">
        <f>IF($X$59=0,
"##",
Input!$D$12/$X$59*$W71)</f>
        <v>##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 t="str">
        <f>IF($X$58=0,
"##",
Input!$D$12/$X$58*$W72)</f>
        <v>##</v>
      </c>
      <c r="Y72" s="189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 t="str">
        <f>IF($X$58=0,
"##",
Input!$D$12/$X$58*$W73)</f>
        <v>##</v>
      </c>
      <c r="Y73" s="189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6" spans="1:28" x14ac:dyDescent="0.25">
      <c r="J76" s="58"/>
      <c r="L76" s="58"/>
    </row>
    <row r="77" spans="1:28" x14ac:dyDescent="0.25">
      <c r="J77" s="83"/>
      <c r="L77" s="82"/>
    </row>
    <row r="81" spans="10:12" x14ac:dyDescent="0.25">
      <c r="J81" s="166"/>
      <c r="L81" s="82"/>
    </row>
    <row r="82" spans="10:12" x14ac:dyDescent="0.25">
      <c r="J82" s="79"/>
      <c r="L82" s="83"/>
    </row>
    <row r="84" spans="10:12" x14ac:dyDescent="0.25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A47" workbookViewId="0">
      <selection activeCell="Z53" activeCellId="2" sqref="Y63:Y73 X53:X56 Z53:Z56"/>
    </sheetView>
  </sheetViews>
  <sheetFormatPr defaultRowHeight="15" x14ac:dyDescent="0.25"/>
  <cols>
    <col min="1" max="1" width="20.28515625" bestFit="1" customWidth="1"/>
    <col min="12" max="12" width="15" bestFit="1" customWidth="1"/>
    <col min="17" max="17" width="0" hidden="1" customWidth="1"/>
    <col min="18" max="18" width="18.85546875" hidden="1" customWidth="1"/>
    <col min="19" max="21" width="0" hidden="1" customWidth="1"/>
    <col min="23" max="23" width="18.5703125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6">
        <f>IF(Input!$D$13="Gentle",1.2,IF(Input!$D$13="Vigorous", 0.8,1))</f>
        <v>1.2</v>
      </c>
      <c r="C2" s="227"/>
      <c r="D2" s="226">
        <f>IF(Input!$D$13="Gentle",1.2,IF(Input!$D$13="Vigorous", 0.8,1))</f>
        <v>1.2</v>
      </c>
      <c r="E2" s="227"/>
      <c r="F2" s="226">
        <f>IF(Input!$D$13="Gentle",1.2,IF(Input!$D$13="Vigorous", 0.8,1))</f>
        <v>1.2</v>
      </c>
      <c r="G2" s="22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(B$2)*120</f>
        <v>144</v>
      </c>
      <c r="C6" s="49">
        <v>1</v>
      </c>
      <c r="D6" s="20">
        <f>(D$2)*800</f>
        <v>960</v>
      </c>
      <c r="E6" s="49">
        <v>1</v>
      </c>
      <c r="F6" s="20">
        <f>(F$2)*1500</f>
        <v>1800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(B$2)*109.2</f>
        <v>131.04</v>
      </c>
      <c r="C7" s="85">
        <v>5</v>
      </c>
      <c r="D7" s="22">
        <f>(D$2)*728</f>
        <v>873.6</v>
      </c>
      <c r="E7" s="85">
        <v>5</v>
      </c>
      <c r="F7" s="22">
        <f>(F$2)*1365</f>
        <v>1638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(B$2)*99.6</f>
        <v>119.51999999999998</v>
      </c>
      <c r="C8" s="85">
        <v>10</v>
      </c>
      <c r="D8" s="22">
        <f>(D$2)*664</f>
        <v>796.8</v>
      </c>
      <c r="E8" s="85">
        <v>10</v>
      </c>
      <c r="F8" s="22">
        <f>(F$2)*1245</f>
        <v>1494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(B$2)*92.4</f>
        <v>110.88000000000001</v>
      </c>
      <c r="C9" s="85">
        <v>15</v>
      </c>
      <c r="D9" s="22">
        <f>(D$2)*616</f>
        <v>739.19999999999993</v>
      </c>
      <c r="E9" s="85">
        <v>15</v>
      </c>
      <c r="F9" s="22">
        <f>(F$2)*1155</f>
        <v>1386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(B$2)*86.4</f>
        <v>103.68</v>
      </c>
      <c r="C10" s="85">
        <v>20</v>
      </c>
      <c r="D10" s="22">
        <f>(D$2)*576</f>
        <v>691.19999999999993</v>
      </c>
      <c r="E10" s="85">
        <v>20</v>
      </c>
      <c r="F10" s="22">
        <f>(F$2)*1080</f>
        <v>1296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(B$2)*81.6</f>
        <v>97.919999999999987</v>
      </c>
      <c r="C11" s="85">
        <v>25</v>
      </c>
      <c r="D11" s="22">
        <f>(D$2)*544</f>
        <v>652.79999999999995</v>
      </c>
      <c r="E11" s="85">
        <v>25</v>
      </c>
      <c r="F11" s="22">
        <f>(F$2)*1020</f>
        <v>1224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(B$2)*78.6</f>
        <v>94.32</v>
      </c>
      <c r="C12" s="85">
        <v>30</v>
      </c>
      <c r="D12" s="22">
        <f>(D$2)*524</f>
        <v>628.79999999999995</v>
      </c>
      <c r="E12" s="85">
        <v>30</v>
      </c>
      <c r="F12" s="22">
        <f>(F$2)*982.5</f>
        <v>1179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(B$2)*75.6</f>
        <v>90.719999999999985</v>
      </c>
      <c r="C13" s="85">
        <v>35</v>
      </c>
      <c r="D13" s="22">
        <f>(D$2)*504</f>
        <v>604.79999999999995</v>
      </c>
      <c r="E13" s="85">
        <v>35</v>
      </c>
      <c r="F13" s="22">
        <f>(F$2)*945</f>
        <v>1134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(B$2)*73.8</f>
        <v>88.559999999999988</v>
      </c>
      <c r="C14" s="85">
        <v>40</v>
      </c>
      <c r="D14" s="22">
        <f>(D$2)*492</f>
        <v>590.4</v>
      </c>
      <c r="E14" s="85">
        <v>40</v>
      </c>
      <c r="F14" s="22">
        <f>(F$2)*922.5</f>
        <v>1107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(B$2)*72</f>
        <v>86.399999999999991</v>
      </c>
      <c r="C15" s="85">
        <v>45</v>
      </c>
      <c r="D15" s="22">
        <f>(D$2)*480</f>
        <v>576</v>
      </c>
      <c r="E15" s="85">
        <v>45</v>
      </c>
      <c r="F15" s="22">
        <f>(F$2)*900</f>
        <v>1080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(B$2)*70.32</f>
        <v>84.383999999999986</v>
      </c>
      <c r="C16" s="85">
        <v>50</v>
      </c>
      <c r="D16" s="22">
        <f>(D$2)*468.8</f>
        <v>562.55999999999995</v>
      </c>
      <c r="E16" s="85">
        <v>50</v>
      </c>
      <c r="F16" s="22">
        <f>(F$2)*879</f>
        <v>1054.8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(B$2)*68.4</f>
        <v>82.08</v>
      </c>
      <c r="C17" s="85">
        <v>55</v>
      </c>
      <c r="D17" s="22">
        <f>(D$2)*456</f>
        <v>547.19999999999993</v>
      </c>
      <c r="E17" s="85">
        <v>55</v>
      </c>
      <c r="F17" s="22">
        <f>(F$2)*855</f>
        <v>1026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(B$2)*67.2</f>
        <v>80.64</v>
      </c>
      <c r="C18" s="85">
        <v>60</v>
      </c>
      <c r="D18" s="22">
        <f>(D$2)*448</f>
        <v>537.6</v>
      </c>
      <c r="E18" s="85">
        <v>60</v>
      </c>
      <c r="F18" s="22">
        <f>(F$2)*840</f>
        <v>1008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(B$2)*66</f>
        <v>79.2</v>
      </c>
      <c r="C19" s="85">
        <v>65</v>
      </c>
      <c r="D19" s="22">
        <f>(D$2)*440</f>
        <v>528</v>
      </c>
      <c r="E19" s="85">
        <v>65</v>
      </c>
      <c r="F19" s="22">
        <f>(F$2)*825</f>
        <v>990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(B$2)*64.8</f>
        <v>77.759999999999991</v>
      </c>
      <c r="C20" s="85">
        <v>70</v>
      </c>
      <c r="D20" s="22">
        <f>(D$2)*432</f>
        <v>518.4</v>
      </c>
      <c r="E20" s="85">
        <v>70</v>
      </c>
      <c r="F20" s="22">
        <f>(F$2)*810</f>
        <v>972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(B$2)*63.6</f>
        <v>76.319999999999993</v>
      </c>
      <c r="C21" s="85">
        <v>75</v>
      </c>
      <c r="D21" s="22">
        <f>(D$2)*424</f>
        <v>508.79999999999995</v>
      </c>
      <c r="E21" s="85">
        <v>75</v>
      </c>
      <c r="F21" s="22">
        <f>(F$2)*795</f>
        <v>954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(B$2)*62.4</f>
        <v>74.88</v>
      </c>
      <c r="C22" s="85">
        <v>80</v>
      </c>
      <c r="D22" s="22">
        <f>(D$2)*416</f>
        <v>499.2</v>
      </c>
      <c r="E22" s="85">
        <v>80</v>
      </c>
      <c r="F22" s="22">
        <f>(F$2)*780</f>
        <v>936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(B$2)*61.2</f>
        <v>73.44</v>
      </c>
      <c r="C23" s="85">
        <v>85</v>
      </c>
      <c r="D23" s="22">
        <f>(D$2)*408</f>
        <v>489.59999999999997</v>
      </c>
      <c r="E23" s="85">
        <v>85</v>
      </c>
      <c r="F23" s="22">
        <f>(F$2)*765</f>
        <v>918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(B$2)*60</f>
        <v>72</v>
      </c>
      <c r="C24" s="85">
        <v>90</v>
      </c>
      <c r="D24" s="22">
        <f>(D$2)*400</f>
        <v>480</v>
      </c>
      <c r="E24" s="85">
        <v>90</v>
      </c>
      <c r="F24" s="22">
        <f>(F$2)*750</f>
        <v>900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(B$2)*58.8</f>
        <v>70.559999999999988</v>
      </c>
      <c r="C25" s="85">
        <v>95</v>
      </c>
      <c r="D25" s="22">
        <f>(D$2)*392</f>
        <v>470.4</v>
      </c>
      <c r="E25" s="85">
        <v>95</v>
      </c>
      <c r="F25" s="22">
        <f>(F$2)*735</f>
        <v>882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(B$2)*58.2</f>
        <v>69.84</v>
      </c>
      <c r="C26" s="85">
        <v>100</v>
      </c>
      <c r="D26" s="22">
        <f>(D$2)*388</f>
        <v>465.59999999999997</v>
      </c>
      <c r="E26" s="85">
        <v>100</v>
      </c>
      <c r="F26" s="22">
        <f>(F$2)*727.5</f>
        <v>873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(B$2)*51.6</f>
        <v>61.92</v>
      </c>
      <c r="C27" s="85">
        <v>150</v>
      </c>
      <c r="D27" s="22">
        <f>(D$2)*344</f>
        <v>412.8</v>
      </c>
      <c r="E27" s="85">
        <v>150</v>
      </c>
      <c r="F27" s="22">
        <f>(F$2)*645</f>
        <v>774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(B$2)*46.8</f>
        <v>56.16</v>
      </c>
      <c r="C28" s="85">
        <v>200</v>
      </c>
      <c r="D28" s="22">
        <f>(D$2)*312</f>
        <v>374.4</v>
      </c>
      <c r="E28" s="85">
        <v>200</v>
      </c>
      <c r="F28" s="22">
        <f>(F$2)*585</f>
        <v>702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(B$2)*42.6</f>
        <v>51.12</v>
      </c>
      <c r="C29" s="85">
        <v>250</v>
      </c>
      <c r="D29" s="22">
        <f>(D$2)*284</f>
        <v>340.8</v>
      </c>
      <c r="E29" s="85">
        <v>250</v>
      </c>
      <c r="F29" s="22">
        <f>(F$2)*532.5</f>
        <v>639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(B$2)*38.4</f>
        <v>46.08</v>
      </c>
      <c r="C30" s="85">
        <v>300</v>
      </c>
      <c r="D30" s="22">
        <f>(D$2)*256</f>
        <v>307.2</v>
      </c>
      <c r="E30" s="85">
        <v>300</v>
      </c>
      <c r="F30" s="22">
        <f>(F$2)*480</f>
        <v>576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(B$2)*34.8</f>
        <v>41.76</v>
      </c>
      <c r="C31" s="85">
        <v>350</v>
      </c>
      <c r="D31" s="22">
        <f>(D$2)*232</f>
        <v>278.39999999999998</v>
      </c>
      <c r="E31" s="85">
        <v>350</v>
      </c>
      <c r="F31" s="22">
        <f>(F$2)*435</f>
        <v>522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(B$2)*31.2</f>
        <v>37.44</v>
      </c>
      <c r="C32" s="85">
        <v>400</v>
      </c>
      <c r="D32" s="22">
        <f>(D$2)*208</f>
        <v>249.6</v>
      </c>
      <c r="E32" s="85">
        <v>400</v>
      </c>
      <c r="F32" s="22">
        <f>(F$2)*390</f>
        <v>468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(B$2)*28.2</f>
        <v>33.839999999999996</v>
      </c>
      <c r="C33" s="85">
        <v>450</v>
      </c>
      <c r="D33" s="22">
        <f>(D$2)*188</f>
        <v>225.6</v>
      </c>
      <c r="E33" s="85">
        <v>450</v>
      </c>
      <c r="F33" s="22">
        <f>(F$2)*352.5</f>
        <v>423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(B$2)*25.2</f>
        <v>30.24</v>
      </c>
      <c r="C34" s="85">
        <v>500</v>
      </c>
      <c r="D34" s="22">
        <f>(D$2)*168</f>
        <v>201.6</v>
      </c>
      <c r="E34" s="85">
        <v>500</v>
      </c>
      <c r="F34" s="22">
        <f>(F$2)*315</f>
        <v>378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(B$2)*22.8</f>
        <v>27.36</v>
      </c>
      <c r="C35" s="85">
        <v>550</v>
      </c>
      <c r="D35" s="22">
        <f>(D$2)*152</f>
        <v>182.4</v>
      </c>
      <c r="E35" s="85">
        <v>550</v>
      </c>
      <c r="F35" s="22">
        <f>(F$2)*285</f>
        <v>342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(B$2)*20.4</f>
        <v>24.479999999999997</v>
      </c>
      <c r="C36" s="85">
        <v>600</v>
      </c>
      <c r="D36" s="22">
        <f>(D$2)*136</f>
        <v>163.19999999999999</v>
      </c>
      <c r="E36" s="85">
        <v>600</v>
      </c>
      <c r="F36" s="22">
        <f>(F$2)*255</f>
        <v>306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(B$2)*18</f>
        <v>21.599999999999998</v>
      </c>
      <c r="C37" s="85">
        <v>650</v>
      </c>
      <c r="D37" s="22">
        <f>(D$2)*120</f>
        <v>144</v>
      </c>
      <c r="E37" s="85">
        <v>650</v>
      </c>
      <c r="F37" s="22">
        <f>(F$2)*225</f>
        <v>270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(B$2)*15.84</f>
        <v>19.007999999999999</v>
      </c>
      <c r="C38" s="85">
        <v>700</v>
      </c>
      <c r="D38" s="22">
        <f>(D$2)*105.6</f>
        <v>126.71999999999998</v>
      </c>
      <c r="E38" s="85">
        <v>700</v>
      </c>
      <c r="F38" s="22">
        <f>(F$2)*198</f>
        <v>237.6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(B$2)*13.8</f>
        <v>16.559999999999999</v>
      </c>
      <c r="C39" s="85">
        <v>750</v>
      </c>
      <c r="D39" s="22">
        <f>(D$2)*92</f>
        <v>110.39999999999999</v>
      </c>
      <c r="E39" s="85">
        <v>750</v>
      </c>
      <c r="F39" s="22">
        <f>(F$2)*172.5</f>
        <v>207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(B$2)*12</f>
        <v>14.399999999999999</v>
      </c>
      <c r="C40" s="94">
        <v>800</v>
      </c>
      <c r="D40" s="24">
        <f>(D$2)*80</f>
        <v>96</v>
      </c>
      <c r="E40" s="94">
        <v>800</v>
      </c>
      <c r="F40" s="24">
        <f>(F$2)*150</f>
        <v>180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289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144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960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1800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HS5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Input!$D$30</f>
        <v>HS5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146</v>
      </c>
      <c r="N47" s="124" t="s">
        <v>256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35"/>
      <c r="O48" s="17"/>
      <c r="P48" s="17"/>
      <c r="V48" s="224" t="s">
        <v>290</v>
      </c>
      <c r="W48" s="134"/>
      <c r="X48" s="130" t="s">
        <v>275</v>
      </c>
      <c r="Y48" s="138" t="s">
        <v>284</v>
      </c>
      <c r="Z48" s="130" t="s">
        <v>280</v>
      </c>
      <c r="AA48" s="138" t="s">
        <v>284</v>
      </c>
      <c r="AB48" s="17"/>
    </row>
    <row r="49" spans="1:28" x14ac:dyDescent="0.25">
      <c r="A49" s="141" t="s">
        <v>46</v>
      </c>
      <c r="B49" s="174" t="s">
        <v>30</v>
      </c>
      <c r="C49" s="142">
        <v>3900</v>
      </c>
      <c r="D49" s="175">
        <v>66</v>
      </c>
      <c r="E49" s="142">
        <v>0.8</v>
      </c>
      <c r="F49" s="142">
        <f>1000</f>
        <v>1000</v>
      </c>
      <c r="G49" s="142">
        <v>50</v>
      </c>
      <c r="H49" s="148">
        <f t="shared" ref="H49:H53" si="2">$E49*$F49*($C49/60)^3*($D49/1000)^5</f>
        <v>275.1374669472001</v>
      </c>
      <c r="I49" s="172">
        <v>1.1000000000000001</v>
      </c>
      <c r="J49" s="146">
        <f t="shared" si="0"/>
        <v>0.67366350560995225</v>
      </c>
      <c r="K49" s="144">
        <f t="shared" si="1"/>
        <v>5.5027493389440023</v>
      </c>
      <c r="L49" s="146">
        <f t="shared" ref="L49:L53" si="3">3.14*$D49/1000*$C$48/60</f>
        <v>13.470599999999999</v>
      </c>
      <c r="M49" s="141">
        <v>80</v>
      </c>
      <c r="N49" s="142"/>
      <c r="O49" s="17"/>
      <c r="P49" s="17"/>
      <c r="V49" s="224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3877</v>
      </c>
      <c r="Y49" s="49" t="s">
        <v>281</v>
      </c>
      <c r="Z49" s="150">
        <f>$X$49</f>
        <v>3877</v>
      </c>
      <c r="AA49" s="153" t="s">
        <v>281</v>
      </c>
      <c r="AB49" s="17"/>
    </row>
    <row r="50" spans="1:28" x14ac:dyDescent="0.25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IF($B$44=$B50,Input!$D$14,1000)</f>
        <v>1001</v>
      </c>
      <c r="G50" s="3">
        <f>IF($B$44=$B50,Input!$D$12,850)</f>
        <v>500</v>
      </c>
      <c r="H50" s="42">
        <f t="shared" si="2"/>
        <v>1754.2466146283198</v>
      </c>
      <c r="I50" s="41">
        <v>7.8</v>
      </c>
      <c r="J50" s="42">
        <f t="shared" si="0"/>
        <v>4.2952053648938016</v>
      </c>
      <c r="K50" s="102">
        <f t="shared" si="1"/>
        <v>3.5084932292566395</v>
      </c>
      <c r="L50" s="104">
        <f t="shared" si="3"/>
        <v>21.430499999999999</v>
      </c>
      <c r="M50" s="17">
        <v>114</v>
      </c>
      <c r="N50" s="35"/>
      <c r="O50" s="17"/>
      <c r="P50" s="17"/>
      <c r="V50" s="224"/>
      <c r="W50" s="132" t="s">
        <v>8</v>
      </c>
      <c r="X50" s="156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3.4467852414303795</v>
      </c>
      <c r="Y50" s="85" t="s">
        <v>9</v>
      </c>
      <c r="Z50" s="151">
        <f>$X$50/0.264172</f>
        <v>13.047504055805987</v>
      </c>
      <c r="AA50" s="136" t="s">
        <v>282</v>
      </c>
      <c r="AB50" s="17"/>
    </row>
    <row r="51" spans="1:28" x14ac:dyDescent="0.25">
      <c r="A51" s="141" t="s">
        <v>46</v>
      </c>
      <c r="B51" s="174" t="s">
        <v>31</v>
      </c>
      <c r="C51" s="142">
        <v>3900</v>
      </c>
      <c r="D51" s="175">
        <v>105</v>
      </c>
      <c r="E51" s="142">
        <v>0.5</v>
      </c>
      <c r="F51" s="142">
        <f>1000</f>
        <v>1000</v>
      </c>
      <c r="G51" s="142">
        <v>850</v>
      </c>
      <c r="H51" s="148">
        <f t="shared" si="2"/>
        <v>1752.4941205078119</v>
      </c>
      <c r="I51" s="145">
        <v>7.8</v>
      </c>
      <c r="J51" s="148">
        <f t="shared" si="0"/>
        <v>4.2909144504433581</v>
      </c>
      <c r="K51" s="144">
        <f t="shared" si="1"/>
        <v>2.0617577888327197</v>
      </c>
      <c r="L51" s="146">
        <f t="shared" si="3"/>
        <v>21.430499999999999</v>
      </c>
      <c r="M51" s="141">
        <v>114</v>
      </c>
      <c r="N51" s="142"/>
      <c r="O51" s="17"/>
      <c r="P51" s="17"/>
      <c r="V51" s="224"/>
      <c r="W51" s="132" t="s">
        <v>10</v>
      </c>
      <c r="X51" s="155">
        <f>IF($B$45=0,
IF($X$49=$B$44,"N/A",3.14*VLOOKUP($B$44,$B$48:$N$53,3,FALSE)/1000*$X$49/60),
3.14*VLOOKUP($B$45,$B$48:$N$53,3,FALSE)/1000*$X$49/60)</f>
        <v>21.304114999999999</v>
      </c>
      <c r="Y51" s="136" t="s">
        <v>11</v>
      </c>
      <c r="Z51" s="152">
        <f>$X$51*196.85</f>
        <v>4193.7150377500002</v>
      </c>
      <c r="AA51" s="136" t="s">
        <v>283</v>
      </c>
      <c r="AB51" s="17"/>
    </row>
    <row r="52" spans="1:28" ht="45.75" thickBot="1" x14ac:dyDescent="0.3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35"/>
      <c r="O52" s="17"/>
      <c r="P52" s="17"/>
      <c r="V52" s="224"/>
      <c r="W52" s="154" t="s">
        <v>296</v>
      </c>
      <c r="X52" s="158" t="str">
        <f>IF($X$58=0,
"##",
CONCATENATE(MROUND(Input!$D$12/$X$58*5,0.5)," min"))</f>
        <v>##</v>
      </c>
      <c r="Y52" s="29"/>
      <c r="Z52" s="157" t="str">
        <f>$X$52</f>
        <v>##</v>
      </c>
      <c r="AA52" s="29"/>
      <c r="AB52" s="17"/>
    </row>
    <row r="53" spans="1:28" x14ac:dyDescent="0.25">
      <c r="A53" s="141" t="s">
        <v>46</v>
      </c>
      <c r="B53" s="174" t="s">
        <v>32</v>
      </c>
      <c r="C53" s="167">
        <v>3500</v>
      </c>
      <c r="D53" s="175">
        <v>139</v>
      </c>
      <c r="E53" s="141">
        <v>0.7</v>
      </c>
      <c r="F53" s="167">
        <f>1000</f>
        <v>1000</v>
      </c>
      <c r="G53" s="167">
        <v>2000</v>
      </c>
      <c r="H53" s="148">
        <f t="shared" si="2"/>
        <v>7209.7868126330495</v>
      </c>
      <c r="I53" s="169">
        <v>26</v>
      </c>
      <c r="J53" s="170">
        <f t="shared" si="0"/>
        <v>19.670358363952285</v>
      </c>
      <c r="K53" s="171">
        <f t="shared" si="1"/>
        <v>3.6048934063165246</v>
      </c>
      <c r="L53" s="146">
        <f t="shared" si="3"/>
        <v>28.369899999999998</v>
      </c>
      <c r="M53" s="141">
        <v>160</v>
      </c>
      <c r="N53" s="142"/>
      <c r="O53" s="17"/>
      <c r="P53" s="17"/>
      <c r="V53" s="224" t="s">
        <v>288</v>
      </c>
      <c r="W53" s="131" t="s">
        <v>291</v>
      </c>
      <c r="X53" s="187">
        <f>IF(Input!$E$30=0,$X$49,Input!$E$30)</f>
        <v>3877</v>
      </c>
      <c r="Y53" s="85" t="s">
        <v>281</v>
      </c>
      <c r="Z53" s="188">
        <f>$X$53</f>
        <v>3877</v>
      </c>
      <c r="AA53" s="136" t="s">
        <v>281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24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3.4467852414303795</v>
      </c>
      <c r="Y54" s="85" t="s">
        <v>9</v>
      </c>
      <c r="Z54" s="184">
        <f>$X$54/0.264172</f>
        <v>13.047504055805987</v>
      </c>
      <c r="AA54" s="136" t="s">
        <v>282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24"/>
      <c r="W55" s="132" t="s">
        <v>292</v>
      </c>
      <c r="X55" s="182">
        <f>IF($B$45=0,
IF($X$49=$B$44,"N/A",3.14*VLOOKUP($B$44,$B$48:$N$53,3,FALSE)/1000*$X$53/60),
3.14*VLOOKUP($B$45,$B$48:$N$53,3,FALSE)/1000*$X$53/60)</f>
        <v>21.304114999999999</v>
      </c>
      <c r="Y55" s="136" t="s">
        <v>11</v>
      </c>
      <c r="Z55" s="185">
        <f>$X$55*196.85</f>
        <v>4193.7150377500002</v>
      </c>
      <c r="AA55" s="136" t="s">
        <v>283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24"/>
      <c r="W56" s="154" t="s">
        <v>297</v>
      </c>
      <c r="X56" s="183" t="str">
        <f>IF($X$59=0,
"##",
CONCATENATE(MROUND(Input!$D$12/$X$59*5,0.5)," min"))</f>
        <v>##</v>
      </c>
      <c r="Y56" s="137"/>
      <c r="Z56" s="186" t="str">
        <f>$X$56</f>
        <v>##</v>
      </c>
      <c r="AA56" s="94"/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255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294</v>
      </c>
      <c r="X58" s="159">
        <f>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</f>
        <v>0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295</v>
      </c>
      <c r="X59" s="159">
        <f>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</f>
        <v>0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85"/>
      <c r="X61" s="225" t="s">
        <v>286</v>
      </c>
      <c r="Y61" s="225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293</v>
      </c>
      <c r="Y62" s="135" t="s">
        <v>288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5"/>
      <c r="M63" s="17"/>
      <c r="N63" s="17"/>
      <c r="O63" s="17"/>
      <c r="P63" s="17"/>
      <c r="V63" s="17"/>
      <c r="W63" s="161">
        <v>0</v>
      </c>
      <c r="X63" s="162" t="str">
        <f>IF($X$58=0,
"##",
Input!$D$12/$X$58*$W63)</f>
        <v>##</v>
      </c>
      <c r="Y63" s="189" t="str">
        <f>IF($X$59=0,
"##",
Input!$D$12/$X$59*$W63)</f>
        <v>##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W64" s="161">
        <v>1</v>
      </c>
      <c r="X64" s="162" t="str">
        <f>IF($X$58=0,
"##",
Input!$D$12/$X$58*$W64)</f>
        <v>##</v>
      </c>
      <c r="Y64" s="189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 t="str">
        <f>IF($X$58=0,
"##",
Input!$D$12/$X$58*$W65)</f>
        <v>##</v>
      </c>
      <c r="Y65" s="189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61">
        <v>3</v>
      </c>
      <c r="X66" s="162" t="str">
        <f>IF($X$58=0,
"##",
Input!$D$12/$X$58*$W66)</f>
        <v>##</v>
      </c>
      <c r="Y66" s="189" t="str">
        <f>IF($X$59=0,
"##",
Input!$D$12/$X$59*$W66)</f>
        <v>##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1">
        <v>4</v>
      </c>
      <c r="X67" s="162" t="str">
        <f>IF($X$58=0,
"##",
Input!$D$12/$X$58*$W67)</f>
        <v>##</v>
      </c>
      <c r="Y67" s="189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1">
        <v>5</v>
      </c>
      <c r="X68" s="162" t="str">
        <f>IF($X$58=0,
"##",
Input!$D$12/$X$58*$W68)</f>
        <v>##</v>
      </c>
      <c r="Y68" s="189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1">
        <v>6</v>
      </c>
      <c r="X69" s="162" t="str">
        <f>IF($X$58=0,
"##",
Input!$D$12/$X$58*$W69)</f>
        <v>##</v>
      </c>
      <c r="Y69" s="189" t="str">
        <f>IF($X$59=0,
"##",
Input!$D$12/$X$59*$W69)</f>
        <v>##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 t="str">
        <f>IF($X$58=0,
"##",
Input!$D$12/$X$58*$W70)</f>
        <v>##</v>
      </c>
      <c r="Y70" s="189" t="str">
        <f>IF($X$59=0,
"##",
Input!$D$12/$X$59*$W70)</f>
        <v>##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1">
        <v>8</v>
      </c>
      <c r="X71" s="162" t="str">
        <f>IF($X$58=0,
"##",
Input!$D$12/$X$58*$W71)</f>
        <v>##</v>
      </c>
      <c r="Y71" s="189" t="str">
        <f>IF($X$59=0,
"##",
Input!$D$12/$X$59*$W71)</f>
        <v>##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1">
        <v>9</v>
      </c>
      <c r="X72" s="162" t="str">
        <f>IF($X$58=0,
"##",
Input!$D$12/$X$58*$W72)</f>
        <v>##</v>
      </c>
      <c r="Y72" s="189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 t="str">
        <f>IF($X$58=0,
"##",
Input!$D$12/$X$58*$W73)</f>
        <v>##</v>
      </c>
      <c r="Y73" s="189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I75" s="17"/>
      <c r="J75" s="17"/>
      <c r="K75" s="17"/>
      <c r="L75" s="17"/>
      <c r="M75" s="17"/>
    </row>
    <row r="76" spans="1:28" x14ac:dyDescent="0.25">
      <c r="J76" s="166"/>
      <c r="L76" s="82"/>
    </row>
    <row r="77" spans="1:28" x14ac:dyDescent="0.25">
      <c r="J77" s="79"/>
      <c r="L77" s="83"/>
    </row>
    <row r="79" spans="1:28" x14ac:dyDescent="0.25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B44" workbookViewId="0">
      <selection activeCell="L59" sqref="L59"/>
    </sheetView>
  </sheetViews>
  <sheetFormatPr defaultRowHeight="15" x14ac:dyDescent="0.25"/>
  <cols>
    <col min="1" max="1" width="20.28515625" bestFit="1" customWidth="1"/>
    <col min="12" max="12" width="15" bestFit="1" customWidth="1"/>
    <col min="14" max="14" width="13.5703125" customWidth="1"/>
    <col min="17" max="17" width="0" hidden="1" customWidth="1"/>
    <col min="18" max="18" width="18.85546875" hidden="1" customWidth="1"/>
    <col min="19" max="21" width="0" hidden="1" customWidth="1"/>
    <col min="23" max="23" width="20.140625" customWidth="1"/>
    <col min="25" max="25" width="10.85546875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26">
        <f>IF(Input!$D$13="Gentle",1.2,IF(Input!$D$13="Vigorous", 0.8,1))</f>
        <v>1.2</v>
      </c>
      <c r="C2" s="227"/>
      <c r="D2" s="226">
        <f>IF(Input!$D$13="Gentle",1.2,IF(Input!$D$13="Vigorous", 0.8,1))</f>
        <v>1.2</v>
      </c>
      <c r="E2" s="22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2">
        <f>(B$2)*250</f>
        <v>300</v>
      </c>
      <c r="C6" s="85">
        <v>1</v>
      </c>
      <c r="D6" s="50">
        <f>(D$2)*3000</f>
        <v>3600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(B$2)*227.5</f>
        <v>273</v>
      </c>
      <c r="C7" s="85">
        <v>5</v>
      </c>
      <c r="D7" s="50">
        <f>(D$2)*2730</f>
        <v>3276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(B$2)*207.5</f>
        <v>249</v>
      </c>
      <c r="C8" s="85">
        <v>10</v>
      </c>
      <c r="D8" s="50">
        <f>(D$2)*2490</f>
        <v>2988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(B$2)*192.5</f>
        <v>231</v>
      </c>
      <c r="C9" s="85">
        <v>15</v>
      </c>
      <c r="D9" s="50">
        <f>(D$2)*2310</f>
        <v>2772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(B$2)*180</f>
        <v>216</v>
      </c>
      <c r="C10" s="85">
        <v>20</v>
      </c>
      <c r="D10" s="50">
        <f>(D$2)*2160</f>
        <v>2592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(B$2)*170</f>
        <v>204</v>
      </c>
      <c r="C11" s="85">
        <v>25</v>
      </c>
      <c r="D11" s="50">
        <f>(D$2)*2040</f>
        <v>2448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(B$2)*163.75</f>
        <v>196.5</v>
      </c>
      <c r="C12" s="85">
        <v>30</v>
      </c>
      <c r="D12" s="50">
        <f>(D$2)*1965</f>
        <v>2358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(B$2)*157.5</f>
        <v>189</v>
      </c>
      <c r="C13" s="85">
        <v>35</v>
      </c>
      <c r="D13" s="50">
        <f>(D$2)*1890</f>
        <v>2268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(B$2)*153.75</f>
        <v>184.5</v>
      </c>
      <c r="C14" s="85">
        <v>40</v>
      </c>
      <c r="D14" s="50">
        <f>(D$2)*1845</f>
        <v>2214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(B$2)*150</f>
        <v>180</v>
      </c>
      <c r="C15" s="85">
        <v>45</v>
      </c>
      <c r="D15" s="50">
        <f>(D$2)*1800</f>
        <v>2160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(B$2)*146.5</f>
        <v>175.79999999999998</v>
      </c>
      <c r="C16" s="85">
        <v>50</v>
      </c>
      <c r="D16" s="50">
        <f>(D$2)*1758</f>
        <v>2109.6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(B$2)*142.5</f>
        <v>171</v>
      </c>
      <c r="C17" s="85">
        <v>55</v>
      </c>
      <c r="D17" s="50">
        <f>(D$2)*1710</f>
        <v>2052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(B$2)*140</f>
        <v>168</v>
      </c>
      <c r="C18" s="85">
        <v>60</v>
      </c>
      <c r="D18" s="50">
        <f>(D$2)*1680</f>
        <v>2016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(B$2)*137.5</f>
        <v>165</v>
      </c>
      <c r="C19" s="85">
        <v>65</v>
      </c>
      <c r="D19" s="50">
        <f>(D$2)*1650</f>
        <v>1980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(B$2)*135</f>
        <v>162</v>
      </c>
      <c r="C20" s="85">
        <v>70</v>
      </c>
      <c r="D20" s="50">
        <f>(D$2)*1620</f>
        <v>1944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(B$2)*132.5</f>
        <v>159</v>
      </c>
      <c r="C21" s="85">
        <v>75</v>
      </c>
      <c r="D21" s="50">
        <f>(D$2)*1590</f>
        <v>1908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(B$2)*130</f>
        <v>156</v>
      </c>
      <c r="C22" s="85">
        <v>80</v>
      </c>
      <c r="D22" s="50">
        <f>(D$2)*1560</f>
        <v>1872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(B$2)*127.5</f>
        <v>153</v>
      </c>
      <c r="C23" s="85">
        <v>85</v>
      </c>
      <c r="D23" s="50">
        <f>(D$2)*1530</f>
        <v>1836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(B$2)*125</f>
        <v>150</v>
      </c>
      <c r="C24" s="85">
        <v>90</v>
      </c>
      <c r="D24" s="50">
        <f>(D$2)*1500</f>
        <v>1800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(B$2)*122.5</f>
        <v>147</v>
      </c>
      <c r="C25" s="85">
        <v>95</v>
      </c>
      <c r="D25" s="50">
        <f>(D$2)*1470</f>
        <v>1764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(B$2)*121.25</f>
        <v>145.5</v>
      </c>
      <c r="C26" s="85">
        <v>100</v>
      </c>
      <c r="D26" s="50">
        <f>(D$2)*1455</f>
        <v>1746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(B$2)*107.5</f>
        <v>129</v>
      </c>
      <c r="C27" s="85">
        <v>150</v>
      </c>
      <c r="D27" s="50">
        <f>(D$2)*1290</f>
        <v>1548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(B$2)*97.5</f>
        <v>117</v>
      </c>
      <c r="C28" s="85">
        <v>200</v>
      </c>
      <c r="D28" s="50">
        <f>(D$2)*1170</f>
        <v>1404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(B$2)*88.75</f>
        <v>106.5</v>
      </c>
      <c r="C29" s="85">
        <v>250</v>
      </c>
      <c r="D29" s="50">
        <f>(D$2)*1065</f>
        <v>1278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(B$2)*80</f>
        <v>96</v>
      </c>
      <c r="C30" s="85">
        <v>300</v>
      </c>
      <c r="D30" s="50">
        <f>(D$2)*960</f>
        <v>1152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(B$2)*72.5</f>
        <v>87</v>
      </c>
      <c r="C31" s="85">
        <v>350</v>
      </c>
      <c r="D31" s="50">
        <f>(D$2)*870</f>
        <v>1044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(B$2)*65</f>
        <v>78</v>
      </c>
      <c r="C32" s="85">
        <v>400</v>
      </c>
      <c r="D32" s="50">
        <f>(D$2)*780</f>
        <v>936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(B$2)*58.75</f>
        <v>70.5</v>
      </c>
      <c r="C33" s="85">
        <v>450</v>
      </c>
      <c r="D33" s="50">
        <f>(D$2)*705</f>
        <v>846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(B$2)*52.5</f>
        <v>63</v>
      </c>
      <c r="C34" s="85">
        <v>500</v>
      </c>
      <c r="D34" s="50">
        <f>(D$2)*630</f>
        <v>756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(B$2)*47.5</f>
        <v>57</v>
      </c>
      <c r="C35" s="85">
        <v>550</v>
      </c>
      <c r="D35" s="50">
        <f>(D$2)*570</f>
        <v>684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(B$2)*42.5</f>
        <v>51</v>
      </c>
      <c r="C36" s="85">
        <v>600</v>
      </c>
      <c r="D36" s="50">
        <f>(D$2)*510</f>
        <v>612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(B$2)*37.5</f>
        <v>45</v>
      </c>
      <c r="C37" s="85">
        <v>650</v>
      </c>
      <c r="D37" s="50">
        <f>(D$2)*450</f>
        <v>540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(B$2)*33</f>
        <v>39.6</v>
      </c>
      <c r="C38" s="85">
        <v>700</v>
      </c>
      <c r="D38" s="50">
        <f>(D$2)*396</f>
        <v>475.2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(B$2)*28.75</f>
        <v>34.5</v>
      </c>
      <c r="C39" s="85">
        <v>750</v>
      </c>
      <c r="D39" s="50">
        <f>(D$2)*345</f>
        <v>414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(B$2)*25</f>
        <v>30</v>
      </c>
      <c r="C40" s="94">
        <v>800</v>
      </c>
      <c r="D40" s="51">
        <f>(D$2)*300</f>
        <v>360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289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3600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Input!$D$31</f>
        <v>ZF100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0.75" thickBot="1" x14ac:dyDescent="0.3">
      <c r="A47" s="17"/>
      <c r="B47" s="178" t="s">
        <v>36</v>
      </c>
      <c r="C47" s="178" t="s">
        <v>37</v>
      </c>
      <c r="D47" s="101" t="s">
        <v>38</v>
      </c>
      <c r="E47" s="178" t="s">
        <v>120</v>
      </c>
      <c r="F47" s="178" t="s">
        <v>39</v>
      </c>
      <c r="G47" s="178" t="s">
        <v>40</v>
      </c>
      <c r="H47" s="178" t="s">
        <v>41</v>
      </c>
      <c r="I47" s="179" t="s">
        <v>42</v>
      </c>
      <c r="J47" s="179" t="s">
        <v>43</v>
      </c>
      <c r="K47" s="178" t="s">
        <v>44</v>
      </c>
      <c r="L47" s="178" t="s">
        <v>45</v>
      </c>
      <c r="M47" s="178" t="s">
        <v>146</v>
      </c>
      <c r="N47" s="124" t="s">
        <v>256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IF($B$44=$B48,Input!$D$14,1000)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24" t="s">
        <v>290</v>
      </c>
      <c r="W48" s="134"/>
      <c r="X48" s="130" t="s">
        <v>275</v>
      </c>
      <c r="Y48" s="138" t="s">
        <v>284</v>
      </c>
      <c r="Z48" s="130" t="s">
        <v>280</v>
      </c>
      <c r="AA48" s="138" t="s">
        <v>284</v>
      </c>
      <c r="AB48" s="17"/>
    </row>
    <row r="49" spans="1:28" x14ac:dyDescent="0.25">
      <c r="A49" s="141" t="s">
        <v>46</v>
      </c>
      <c r="B49" s="142" t="s">
        <v>33</v>
      </c>
      <c r="C49" s="142">
        <v>350</v>
      </c>
      <c r="D49" s="143">
        <v>140</v>
      </c>
      <c r="E49" s="142">
        <v>2.4</v>
      </c>
      <c r="F49" s="142">
        <f>1000</f>
        <v>1000</v>
      </c>
      <c r="G49" s="142">
        <v>250</v>
      </c>
      <c r="H49" s="148">
        <f t="shared" ref="H49:H51" si="2">$E49*$F49*($C49/60)^3*($D49/1000)^5</f>
        <v>25.621337777777779</v>
      </c>
      <c r="I49" s="172">
        <v>1.5</v>
      </c>
      <c r="J49" s="146">
        <f t="shared" si="0"/>
        <v>0.69902329839999999</v>
      </c>
      <c r="K49" s="144">
        <f t="shared" si="1"/>
        <v>0.10248535111111111</v>
      </c>
      <c r="L49" s="146">
        <f t="shared" ref="L49:L51" si="3">3.14*$D49/1000*$C$48/60</f>
        <v>2.5643333333333334</v>
      </c>
      <c r="M49" s="141">
        <v>109.5</v>
      </c>
      <c r="N49" s="142"/>
      <c r="O49" s="17"/>
      <c r="P49" s="17"/>
      <c r="V49" s="224"/>
      <c r="W49" s="131" t="s">
        <v>47</v>
      </c>
      <c r="X49" s="150">
        <f>IF($B$45=0,
IF($B$44="N/A","N/A",IF(Input!D14&lt;=1000,VLOOKUP($B$44,$B$48:$N$51,2,FALSE),ROUNDDOWN(SQRT((213500000000000000*VLOOKUP($B$44,$B$48:$N$51,9,FALSE))/(9.549*VLOOKUP($B$44,$B$48:$N$51,4,FALSE)*(VLOOKUP($B$44,$B$48:$N$51,5,FALSE)/1000)*(VLOOKUP($B$44,$B$48:$N$51,3,FALSE)^5))),0))),
IF(Input!D14&lt;=1000,VLOOKUP($B$45,$B$48:$N$51,2,FALSE),ROUNDDOWN(SQRT((213500000000000000*VLOOKUP($B$45,$B$48:$N$51,9,FALSE))/(9.549*VLOOKUP($B$45,$B$48:$N$51,4,FALSE)*(VLOOKUP($B$45,$B$48:$N$51,5,FALSE)/1000)*(VLOOKUP($B$45,$B$48:$N$51,3,FALSE)^5))),0)))</f>
        <v>347</v>
      </c>
      <c r="Y49" s="49" t="s">
        <v>281</v>
      </c>
      <c r="Z49" s="150">
        <f>$X$49</f>
        <v>347</v>
      </c>
      <c r="AA49" s="153" t="s">
        <v>281</v>
      </c>
      <c r="AB49" s="17"/>
    </row>
    <row r="50" spans="1:28" x14ac:dyDescent="0.25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IF($B$44=$B50,Input!$D$14,1000)</f>
        <v>1001</v>
      </c>
      <c r="G50" s="3">
        <f>IF($B$44=$B50,Input!$D$12,3000)</f>
        <v>500</v>
      </c>
      <c r="H50" s="42">
        <f t="shared" si="2"/>
        <v>225.27891423074072</v>
      </c>
      <c r="I50" s="41">
        <v>10</v>
      </c>
      <c r="J50" s="42">
        <f t="shared" si="0"/>
        <v>6.1462524342552669</v>
      </c>
      <c r="K50" s="102">
        <f t="shared" si="1"/>
        <v>0.45055782846148146</v>
      </c>
      <c r="L50" s="104">
        <f t="shared" si="3"/>
        <v>4.0296666666666674</v>
      </c>
      <c r="M50">
        <v>168</v>
      </c>
      <c r="N50" s="35"/>
      <c r="O50" s="17"/>
      <c r="P50" s="17"/>
      <c r="V50" s="224"/>
      <c r="W50" s="132" t="s">
        <v>8</v>
      </c>
      <c r="X50" s="156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4.9986205058905685E-2</v>
      </c>
      <c r="Y50" s="85" t="s">
        <v>9</v>
      </c>
      <c r="Z50" s="151">
        <f>$X$50/0.264172</f>
        <v>0.18921840716997138</v>
      </c>
      <c r="AA50" s="136" t="s">
        <v>282</v>
      </c>
      <c r="AB50" s="17"/>
    </row>
    <row r="51" spans="1:28" x14ac:dyDescent="0.25">
      <c r="A51" s="141" t="s">
        <v>46</v>
      </c>
      <c r="B51" s="176" t="s">
        <v>34</v>
      </c>
      <c r="C51" s="167">
        <v>350</v>
      </c>
      <c r="D51" s="177">
        <v>220</v>
      </c>
      <c r="E51" s="167">
        <v>2.2000000000000002</v>
      </c>
      <c r="F51" s="167">
        <f>1000</f>
        <v>1000</v>
      </c>
      <c r="G51" s="167">
        <v>3000</v>
      </c>
      <c r="H51" s="148">
        <f t="shared" si="2"/>
        <v>225.0538603703703</v>
      </c>
      <c r="I51" s="169">
        <v>10</v>
      </c>
      <c r="J51" s="170">
        <f t="shared" si="0"/>
        <v>6.1401123219333309</v>
      </c>
      <c r="K51" s="171">
        <f t="shared" si="1"/>
        <v>7.5017953456790104E-2</v>
      </c>
      <c r="L51" s="146">
        <f t="shared" si="3"/>
        <v>4.0296666666666674</v>
      </c>
      <c r="M51" s="141">
        <v>168</v>
      </c>
      <c r="N51" s="142"/>
      <c r="O51" s="17"/>
      <c r="P51" s="17"/>
      <c r="V51" s="224"/>
      <c r="W51" s="132" t="s">
        <v>10</v>
      </c>
      <c r="X51" s="155">
        <f>IF($B$45=0,
IF($X$49=$B$44,"N/A",3.14*VLOOKUP($B$44,$B$48:$N$51,3,FALSE)/1000*$X$49/60),
3.14*VLOOKUP($B$45,$B$48:$N$51,3,FALSE)/1000*$X$49/60)</f>
        <v>2.5423533333333332</v>
      </c>
      <c r="Y51" s="136" t="s">
        <v>11</v>
      </c>
      <c r="Z51" s="152">
        <f>$X$51*196.85</f>
        <v>500.46225366666664</v>
      </c>
      <c r="AA51" s="136" t="s">
        <v>283</v>
      </c>
      <c r="AB51" s="17"/>
    </row>
    <row r="52" spans="1:28" ht="45.75" thickBot="1" x14ac:dyDescent="0.3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24"/>
      <c r="W52" s="154" t="s">
        <v>296</v>
      </c>
      <c r="X52" s="158" t="str">
        <f>IF($X$58=0,
"##",
CONCATENATE(MROUND(Input!$D$12/$X$58*5,0.5)," min"))</f>
        <v>##</v>
      </c>
      <c r="Y52" s="29"/>
      <c r="Z52" s="157" t="str">
        <f>$X$52</f>
        <v>##</v>
      </c>
      <c r="AA52" s="29"/>
      <c r="AB52" s="17"/>
    </row>
    <row r="53" spans="1:28" x14ac:dyDescent="0.25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24" t="s">
        <v>288</v>
      </c>
      <c r="W53" s="131" t="s">
        <v>291</v>
      </c>
      <c r="X53" s="187">
        <f>IF(Input!$E$31=0,$X$49,Input!$E$31)</f>
        <v>347</v>
      </c>
      <c r="Y53" s="85" t="s">
        <v>281</v>
      </c>
      <c r="Z53" s="188">
        <f>$X$53</f>
        <v>347</v>
      </c>
      <c r="AA53" s="136" t="s">
        <v>281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24"/>
      <c r="W54" s="132" t="s">
        <v>8</v>
      </c>
      <c r="X54" s="181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4.9986205058905685E-2</v>
      </c>
      <c r="Y54" s="85" t="s">
        <v>9</v>
      </c>
      <c r="Z54" s="184">
        <f>$X$54/0.264172</f>
        <v>0.18921840716997138</v>
      </c>
      <c r="AA54" s="136" t="s">
        <v>282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24"/>
      <c r="W55" s="132" t="s">
        <v>292</v>
      </c>
      <c r="X55" s="182">
        <f>IF($B$45=0,
IF($X$49=$B$44,"N/A",3.14*VLOOKUP($B$44,$B$48:$N$51,3,FALSE)/1000*$X$53/60),
3.14*VLOOKUP($B$45,$B$48:$N$51,3,FALSE)/1000*$X$53/60)</f>
        <v>2.5423533333333332</v>
      </c>
      <c r="Y55" s="136" t="s">
        <v>11</v>
      </c>
      <c r="Z55" s="185">
        <f>$X$55*196.85</f>
        <v>500.46225366666664</v>
      </c>
      <c r="AA55" s="136" t="s">
        <v>283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24"/>
      <c r="W56" s="154" t="s">
        <v>297</v>
      </c>
      <c r="X56" s="183" t="str">
        <f>IF($X$59=0,
"##",
CONCATENATE(MROUND(Input!$D$12/$X$59*5,0.5)," min"))</f>
        <v>##</v>
      </c>
      <c r="Y56" s="137"/>
      <c r="Z56" s="186" t="str">
        <f>$X$56</f>
        <v>##</v>
      </c>
      <c r="AA56" s="94"/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255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294</v>
      </c>
      <c r="X58" s="159">
        <f>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</f>
        <v>0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295</v>
      </c>
      <c r="X59" s="159">
        <f>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</f>
        <v>0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85"/>
      <c r="X61" s="225" t="s">
        <v>286</v>
      </c>
      <c r="Y61" s="225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293</v>
      </c>
      <c r="Y62" s="135" t="s">
        <v>288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61">
        <v>0</v>
      </c>
      <c r="X63" s="162" t="str">
        <f>IF($X$58=0,
"##",
Input!$D$12/$X$58*$W63)</f>
        <v>##</v>
      </c>
      <c r="Y63" s="189" t="str">
        <f>IF($X$59=0,
"##",
Input!$D$12/$X$59*$W63)</f>
        <v>##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61">
        <v>1</v>
      </c>
      <c r="X64" s="162" t="str">
        <f>IF($X$58=0,
"##",
Input!$D$12/$X$58*$W64)</f>
        <v>##</v>
      </c>
      <c r="Y64" s="189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 t="str">
        <f>IF($X$58=0,
"##",
Input!$D$12/$X$58*$W65)</f>
        <v>##</v>
      </c>
      <c r="Y65" s="189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5"/>
      <c r="L66" s="17"/>
      <c r="M66" s="17"/>
      <c r="N66" s="17"/>
      <c r="O66" s="17"/>
      <c r="P66" s="17"/>
      <c r="V66" s="17"/>
      <c r="W66" s="161">
        <v>3</v>
      </c>
      <c r="X66" s="162" t="str">
        <f>IF($X$58=0,
"##",
Input!$D$12/$X$58*$W66)</f>
        <v>##</v>
      </c>
      <c r="Y66" s="189" t="str">
        <f>IF($X$59=0,
"##",
Input!$D$12/$X$59*$W66)</f>
        <v>##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1">
        <v>4</v>
      </c>
      <c r="X67" s="162" t="str">
        <f>IF($X$58=0,
"##",
Input!$D$12/$X$58*$W67)</f>
        <v>##</v>
      </c>
      <c r="Y67" s="189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1">
        <v>5</v>
      </c>
      <c r="X68" s="162" t="str">
        <f>IF($X$58=0,
"##",
Input!$D$12/$X$58*$W68)</f>
        <v>##</v>
      </c>
      <c r="Y68" s="189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1">
        <v>6</v>
      </c>
      <c r="X69" s="162" t="str">
        <f>IF($X$58=0,
"##",
Input!$D$12/$X$58*$W69)</f>
        <v>##</v>
      </c>
      <c r="Y69" s="189" t="str">
        <f>IF($X$59=0,
"##",
Input!$D$12/$X$59*$W69)</f>
        <v>##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 t="str">
        <f>IF($X$58=0,
"##",
Input!$D$12/$X$58*$W70)</f>
        <v>##</v>
      </c>
      <c r="Y70" s="189" t="str">
        <f>IF($X$59=0,
"##",
Input!$D$12/$X$59*$W70)</f>
        <v>##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1">
        <v>8</v>
      </c>
      <c r="X71" s="162" t="str">
        <f>IF($X$58=0,
"##",
Input!$D$12/$X$58*$W71)</f>
        <v>##</v>
      </c>
      <c r="Y71" s="189" t="str">
        <f>IF($X$59=0,
"##",
Input!$D$12/$X$59*$W71)</f>
        <v>##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1">
        <v>9</v>
      </c>
      <c r="X72" s="162" t="str">
        <f>IF($X$58=0,
"##",
Input!$D$12/$X$58*$W72)</f>
        <v>##</v>
      </c>
      <c r="Y72" s="189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 t="str">
        <f>IF($X$58=0,
"##",
Input!$D$12/$X$58*$W73)</f>
        <v>##</v>
      </c>
      <c r="Y73" s="189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I75" s="83"/>
      <c r="K75" s="82"/>
    </row>
    <row r="79" spans="1:28" x14ac:dyDescent="0.25">
      <c r="I79" s="166"/>
      <c r="K79" s="82"/>
    </row>
    <row r="80" spans="1:28" x14ac:dyDescent="0.25">
      <c r="I80" s="79"/>
      <c r="K80" s="83"/>
    </row>
    <row r="82" spans="9:11" x14ac:dyDescent="0.25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0"/>
  <sheetViews>
    <sheetView workbookViewId="0">
      <selection activeCell="B8" sqref="B8"/>
    </sheetView>
  </sheetViews>
  <sheetFormatPr defaultRowHeight="15" x14ac:dyDescent="0.25"/>
  <cols>
    <col min="1" max="1" width="17" customWidth="1"/>
    <col min="2" max="2" width="20.7109375" bestFit="1" customWidth="1"/>
    <col min="3" max="3" width="13" customWidth="1"/>
    <col min="4" max="4" width="9.5703125" customWidth="1"/>
    <col min="5" max="5" width="107.140625" customWidth="1"/>
    <col min="6" max="6" width="17.5703125" customWidth="1"/>
    <col min="9" max="9" width="9.7109375" customWidth="1"/>
  </cols>
  <sheetData>
    <row r="1" spans="1:21" ht="18.75" x14ac:dyDescent="0.25">
      <c r="A1" s="109" t="s">
        <v>167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18.75" x14ac:dyDescent="0.3">
      <c r="A3" s="4" t="s">
        <v>13</v>
      </c>
      <c r="B3" s="5">
        <f>Input!$D$12</f>
        <v>500</v>
      </c>
      <c r="C3" s="6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8.75" x14ac:dyDescent="0.3">
      <c r="A4" s="8" t="s">
        <v>1</v>
      </c>
      <c r="B4" s="9">
        <f>Input!$D$9</f>
        <v>1003</v>
      </c>
      <c r="C4" s="10" t="s">
        <v>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.75" x14ac:dyDescent="0.3">
      <c r="A5" s="8" t="s">
        <v>15</v>
      </c>
      <c r="B5" s="9">
        <f>IF(Input!$D$10=0,5,Input!$D$10)</f>
        <v>5</v>
      </c>
      <c r="C5" s="1" t="s">
        <v>7</v>
      </c>
      <c r="G5" s="12"/>
      <c r="N5" s="82"/>
      <c r="O5" s="83"/>
      <c r="Q5" s="12"/>
      <c r="R5" s="13"/>
      <c r="S5" s="111"/>
      <c r="U5" s="12"/>
    </row>
    <row r="6" spans="1:21" ht="18.75" x14ac:dyDescent="0.3">
      <c r="A6" s="8"/>
      <c r="B6" s="14"/>
      <c r="C6" s="1"/>
      <c r="G6" s="12"/>
      <c r="N6" s="12"/>
      <c r="O6" s="12"/>
      <c r="Q6" s="12"/>
      <c r="R6" s="13"/>
      <c r="S6" s="12"/>
      <c r="U6" s="12"/>
    </row>
    <row r="7" spans="1:21" ht="45.75" x14ac:dyDescent="0.3">
      <c r="A7" s="96" t="s">
        <v>121</v>
      </c>
      <c r="B7" s="14" t="str">
        <f>IF($B$4&lt;1000,
CONCATENATE(ROUNDUP(0.22167*$B$4,0),"mm"),
CONCATENATE(ROUNDUP(0.133002*$B$4,0), "mm - ",ROUNDUP(0.22167*$B$4,0),"mm"))</f>
        <v>134mm - 223mm</v>
      </c>
      <c r="C7" s="1"/>
      <c r="D7" s="14"/>
      <c r="G7" s="12"/>
      <c r="N7" s="12"/>
      <c r="O7" s="12"/>
      <c r="Q7" s="12"/>
      <c r="R7" s="13"/>
      <c r="S7" s="12"/>
      <c r="U7" s="12"/>
    </row>
    <row r="8" spans="1:21" ht="45.75" x14ac:dyDescent="0.3">
      <c r="A8" s="96" t="s">
        <v>298</v>
      </c>
      <c r="B8" s="14" t="str">
        <f>IF($B$4&lt;1000,
CONCATENATE(ROUNDUP(0.22167*$B$4/25.4,1)," in"),
CONCATENATE(SUBSTITUTE(ROUNDUP(0.133002*$B$4/25.4,1),",",".",1), " in - ",SUBSTITUTE(ROUNDUP(0.22167*$B$4/25.4,1),",",".",1)," in"))</f>
        <v>5.3 in - 8.8 in</v>
      </c>
      <c r="C8" s="1"/>
      <c r="G8" s="12"/>
      <c r="N8" s="12"/>
      <c r="O8" s="12"/>
      <c r="Q8" s="12"/>
      <c r="R8" s="13"/>
      <c r="S8" s="12"/>
      <c r="U8" s="12"/>
    </row>
    <row r="9" spans="1:21" ht="30.75" x14ac:dyDescent="0.3">
      <c r="A9" s="96" t="s">
        <v>160</v>
      </c>
      <c r="B9" s="108">
        <f>(0.1*($B$4/100)^3)</f>
        <v>100.90270269999998</v>
      </c>
      <c r="C9" s="1" t="s">
        <v>12</v>
      </c>
      <c r="G9" s="12"/>
      <c r="N9" s="12"/>
      <c r="O9" s="12"/>
      <c r="Q9" s="12"/>
      <c r="R9" s="13"/>
      <c r="S9" s="12"/>
      <c r="U9" s="12"/>
    </row>
    <row r="10" spans="1:21" ht="30.75" x14ac:dyDescent="0.3">
      <c r="A10" s="96" t="s">
        <v>6</v>
      </c>
      <c r="B10" s="97">
        <f>0.1935*($B$4+2*$B$5)-(0.455*$B$5)</f>
        <v>193.7405</v>
      </c>
      <c r="C10" s="1" t="s">
        <v>7</v>
      </c>
      <c r="G10" s="12"/>
      <c r="N10" s="12"/>
      <c r="O10" s="12"/>
      <c r="Q10" s="12"/>
      <c r="R10" s="13"/>
      <c r="S10" s="12"/>
      <c r="U10" s="12"/>
    </row>
    <row r="11" spans="1:21" ht="18.75" x14ac:dyDescent="0.3">
      <c r="A11" s="96" t="s">
        <v>161</v>
      </c>
      <c r="B11" s="97">
        <f>$B$3-$B$9</f>
        <v>399.09729730000004</v>
      </c>
      <c r="C11" s="1" t="s">
        <v>12</v>
      </c>
      <c r="G11" s="12"/>
      <c r="N11" s="12"/>
      <c r="O11" s="12"/>
      <c r="Q11" s="12"/>
      <c r="R11" s="13"/>
      <c r="S11" s="12"/>
      <c r="U11" s="12"/>
    </row>
    <row r="12" spans="1:21" ht="30.75" x14ac:dyDescent="0.3">
      <c r="A12" s="96" t="s">
        <v>165</v>
      </c>
      <c r="B12" s="97">
        <f>($B$3-(0.1*($B$4/100)^3))/(PI()*(($B$4)/200)^2)*100</f>
        <v>505.11124763226371</v>
      </c>
      <c r="C12" s="1" t="s">
        <v>7</v>
      </c>
      <c r="G12" s="12"/>
      <c r="N12" s="12"/>
      <c r="O12" s="12"/>
      <c r="Q12" s="12"/>
      <c r="R12" s="13"/>
      <c r="S12" s="12"/>
      <c r="U12" s="12"/>
    </row>
    <row r="13" spans="1:21" ht="18.75" x14ac:dyDescent="0.3">
      <c r="A13" s="15" t="s">
        <v>14</v>
      </c>
      <c r="B13" s="95">
        <f>($B$10+$B$12)/$B$4</f>
        <v>0.69676146324253607</v>
      </c>
      <c r="C13" s="2"/>
    </row>
    <row r="16" spans="1:21" ht="15.75" x14ac:dyDescent="0.25">
      <c r="A16" s="110" t="s">
        <v>166</v>
      </c>
      <c r="B16" s="110"/>
      <c r="C16" s="110"/>
      <c r="D16" s="110"/>
      <c r="E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</row>
    <row r="17" spans="1:21" ht="30.75" x14ac:dyDescent="0.3">
      <c r="A17" s="4" t="s">
        <v>158</v>
      </c>
      <c r="B17" s="5">
        <f>Input!$D$11-$B$3</f>
        <v>1500</v>
      </c>
      <c r="C17" s="6" t="s">
        <v>12</v>
      </c>
      <c r="D17" s="7"/>
      <c r="E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8.75" x14ac:dyDescent="0.3">
      <c r="A18" s="8" t="s">
        <v>1</v>
      </c>
      <c r="B18" s="9">
        <f>$B$4</f>
        <v>1003</v>
      </c>
      <c r="C18" s="10" t="s">
        <v>7</v>
      </c>
      <c r="D18" s="11"/>
      <c r="E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.75" x14ac:dyDescent="0.3">
      <c r="A19" s="8" t="s">
        <v>15</v>
      </c>
      <c r="B19" s="9">
        <f>$B$5</f>
        <v>5</v>
      </c>
      <c r="C19" s="1" t="s">
        <v>7</v>
      </c>
      <c r="N19" s="12"/>
      <c r="O19" s="58"/>
      <c r="Q19" s="12"/>
      <c r="R19" s="13"/>
      <c r="S19" s="111"/>
      <c r="U19" s="12"/>
    </row>
    <row r="20" spans="1:21" ht="18.75" x14ac:dyDescent="0.3">
      <c r="A20" s="8"/>
      <c r="B20" s="14"/>
      <c r="C20" s="1"/>
      <c r="G20" s="12"/>
      <c r="N20" s="12"/>
      <c r="O20" s="12"/>
      <c r="Q20" s="12"/>
      <c r="R20" s="13"/>
      <c r="S20" s="12"/>
      <c r="U20" s="12"/>
    </row>
    <row r="21" spans="1:21" ht="18.75" x14ac:dyDescent="0.3">
      <c r="A21" s="96" t="s">
        <v>122</v>
      </c>
      <c r="B21" s="97">
        <f>$B$10</f>
        <v>193.7405</v>
      </c>
      <c r="C21" s="1" t="s">
        <v>7</v>
      </c>
      <c r="G21" s="12"/>
      <c r="N21" s="12"/>
      <c r="O21" s="12"/>
      <c r="Q21" s="12"/>
      <c r="R21" s="13"/>
      <c r="S21" s="12"/>
      <c r="U21" s="12"/>
    </row>
    <row r="22" spans="1:21" ht="30.75" x14ac:dyDescent="0.3">
      <c r="A22" s="96" t="s">
        <v>155</v>
      </c>
      <c r="B22" s="97">
        <f>(Input!$D$11-$B$3)/(PI()*($B$4/200)^2)*100</f>
        <v>1898.4515219076015</v>
      </c>
      <c r="C22" s="1" t="s">
        <v>7</v>
      </c>
      <c r="G22" s="12"/>
      <c r="N22" s="12"/>
      <c r="O22" s="12"/>
      <c r="Q22" s="12"/>
      <c r="R22" s="13"/>
      <c r="S22" s="12"/>
      <c r="U22" s="12"/>
    </row>
    <row r="23" spans="1:21" ht="30.75" x14ac:dyDescent="0.3">
      <c r="A23" s="96" t="s">
        <v>123</v>
      </c>
      <c r="B23" s="97">
        <f>SUM($B$10,$B$12,$B$21,$B$22)</f>
        <v>2791.043769539865</v>
      </c>
      <c r="C23" s="1" t="s">
        <v>7</v>
      </c>
      <c r="G23" s="12"/>
      <c r="N23" s="12"/>
      <c r="O23" s="12"/>
      <c r="Q23" s="12"/>
      <c r="R23" s="13"/>
      <c r="S23" s="12"/>
      <c r="U23" s="12"/>
    </row>
    <row r="24" spans="1:21" ht="18.75" x14ac:dyDescent="0.3">
      <c r="A24" s="15"/>
      <c r="B24" s="16"/>
      <c r="C24" s="2"/>
      <c r="E24" s="12"/>
    </row>
    <row r="26" spans="1:21" ht="15.75" x14ac:dyDescent="0.25">
      <c r="A26" s="110" t="s">
        <v>164</v>
      </c>
      <c r="B26" s="110"/>
      <c r="C26" s="110"/>
      <c r="K26" s="12"/>
    </row>
    <row r="27" spans="1:21" ht="30" x14ac:dyDescent="0.25">
      <c r="A27" s="33" t="s">
        <v>159</v>
      </c>
      <c r="B27" s="42">
        <f>($B$3+$B$17+$B$9)*8</f>
        <v>16807.221621600002</v>
      </c>
      <c r="C27" s="33" t="s">
        <v>163</v>
      </c>
      <c r="F27" s="53"/>
    </row>
    <row r="28" spans="1:21" ht="30" x14ac:dyDescent="0.25">
      <c r="A28" s="33" t="s">
        <v>157</v>
      </c>
      <c r="B28" s="42">
        <f>(PI()*(($B$4+2*$B$5)/200)^2*((($B$23+2*$B$5)-2*(0.1935*($B$4+4*$B$5)-0.455*$B$5))/100)+2*(0.1*(($B$4+2*$B$5)/100)^3))*8</f>
        <v>17199.973873212442</v>
      </c>
      <c r="C28" s="32" t="s">
        <v>163</v>
      </c>
      <c r="F28" s="53"/>
    </row>
    <row r="29" spans="1:21" ht="30" x14ac:dyDescent="0.25">
      <c r="A29" s="33" t="s">
        <v>162</v>
      </c>
      <c r="B29" s="42">
        <f>ROUNDUP($B$28-$B$27,-1)</f>
        <v>400</v>
      </c>
      <c r="C29" s="3" t="s">
        <v>163</v>
      </c>
      <c r="F29" s="53"/>
    </row>
    <row r="30" spans="1:21" x14ac:dyDescent="0.25">
      <c r="F30" s="53"/>
    </row>
    <row r="31" spans="1:21" x14ac:dyDescent="0.25">
      <c r="A31" s="7"/>
      <c r="F31" s="53"/>
      <c r="G31" s="44"/>
      <c r="J31" s="12"/>
      <c r="M31" s="12"/>
    </row>
    <row r="32" spans="1:21" x14ac:dyDescent="0.25">
      <c r="A32" s="7"/>
      <c r="B32" s="12"/>
      <c r="F32" s="53"/>
      <c r="M32" s="83"/>
    </row>
    <row r="34" spans="2:7" x14ac:dyDescent="0.25">
      <c r="F34" s="53"/>
      <c r="G34" s="44"/>
    </row>
    <row r="35" spans="2:7" x14ac:dyDescent="0.25">
      <c r="F35" s="53"/>
    </row>
    <row r="36" spans="2:7" x14ac:dyDescent="0.25">
      <c r="F36" s="53"/>
      <c r="G36" s="44"/>
    </row>
    <row r="40" spans="2:7" x14ac:dyDescent="0.25">
      <c r="B40" s="1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9" workbookViewId="0">
      <selection activeCell="O37" sqref="O37"/>
    </sheetView>
  </sheetViews>
  <sheetFormatPr defaultRowHeight="15" x14ac:dyDescent="0.25"/>
  <cols>
    <col min="1" max="1" width="22.140625" customWidth="1"/>
    <col min="2" max="3" width="14.140625" bestFit="1" customWidth="1"/>
    <col min="5" max="5" width="18.42578125" customWidth="1"/>
    <col min="6" max="6" width="18.85546875" customWidth="1"/>
    <col min="7" max="7" width="12.7109375" bestFit="1" customWidth="1"/>
    <col min="14" max="14" width="12.140625" customWidth="1"/>
    <col min="15" max="15" width="13.5703125" customWidth="1"/>
    <col min="17" max="17" width="15.85546875" customWidth="1"/>
    <col min="18" max="18" width="12.7109375" bestFit="1" customWidth="1"/>
  </cols>
  <sheetData>
    <row r="1" spans="1:18" ht="15.75" thickBot="1" x14ac:dyDescent="0.3"/>
    <row r="2" spans="1:18" ht="15.75" thickBot="1" x14ac:dyDescent="0.3">
      <c r="A2" t="s">
        <v>83</v>
      </c>
      <c r="B2" t="str">
        <f>ZG!$B$44</f>
        <v>ZG5</v>
      </c>
      <c r="M2" s="233" t="s">
        <v>82</v>
      </c>
      <c r="N2" s="234"/>
      <c r="O2" s="234"/>
      <c r="P2" s="234"/>
      <c r="Q2" s="234"/>
      <c r="R2" s="235"/>
    </row>
    <row r="3" spans="1:18" ht="30" x14ac:dyDescent="0.25">
      <c r="A3" s="236" t="s">
        <v>54</v>
      </c>
      <c r="B3" s="237"/>
      <c r="C3" s="237"/>
      <c r="D3" s="237"/>
      <c r="E3" s="237"/>
      <c r="F3" s="238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 x14ac:dyDescent="0.25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 x14ac:dyDescent="0.25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 x14ac:dyDescent="0.25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 x14ac:dyDescent="0.25">
      <c r="A7" s="239" t="s">
        <v>55</v>
      </c>
      <c r="B7" s="192"/>
      <c r="C7" s="192"/>
      <c r="D7" s="192"/>
      <c r="E7" s="192"/>
      <c r="F7" s="240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 x14ac:dyDescent="0.25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 x14ac:dyDescent="0.25">
      <c r="A9" s="26" t="s">
        <v>68</v>
      </c>
      <c r="B9" t="s">
        <v>56</v>
      </c>
      <c r="C9">
        <f>Input!$D$9+(2*$C$8)</f>
        <v>1003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 x14ac:dyDescent="0.25">
      <c r="A10" s="26" t="s">
        <v>69</v>
      </c>
      <c r="B10" t="s">
        <v>50</v>
      </c>
      <c r="C10">
        <f>$C$9</f>
        <v>1003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 x14ac:dyDescent="0.25">
      <c r="A11" s="26" t="s">
        <v>70</v>
      </c>
      <c r="B11" t="s">
        <v>51</v>
      </c>
      <c r="C11">
        <f>0.1*$C$10</f>
        <v>100.30000000000001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 x14ac:dyDescent="0.25">
      <c r="A12" s="26"/>
      <c r="B12" t="s">
        <v>12</v>
      </c>
      <c r="C12" s="58">
        <f>($C$9/2-$C$11)*$C$10/($C$10-$C$11)</f>
        <v>445.77777777777771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0" x14ac:dyDescent="0.25">
      <c r="A13" s="66" t="s">
        <v>93</v>
      </c>
      <c r="B13" t="s">
        <v>57</v>
      </c>
      <c r="C13" s="58">
        <f>$C$10-((($C$10-$C$11)^2)-(($C$9/2-$C$11)^2))^(0.5)</f>
        <v>194.35554784565545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0" x14ac:dyDescent="0.25">
      <c r="A14" s="66" t="s">
        <v>94</v>
      </c>
      <c r="B14" t="s">
        <v>58</v>
      </c>
      <c r="C14" s="58">
        <f>$C$10*(1-(($C$10-$C$13)/($C$10-$C$11)))</f>
        <v>104.50616427295054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45" x14ac:dyDescent="0.25">
      <c r="A15" s="66" t="s">
        <v>95</v>
      </c>
      <c r="B15" t="s">
        <v>59</v>
      </c>
      <c r="C15" s="58">
        <f>$C$13-$C$14</f>
        <v>89.849383572704909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5.75" thickBot="1" x14ac:dyDescent="0.3">
      <c r="A16" s="78"/>
      <c r="B16" s="59" t="s">
        <v>115</v>
      </c>
      <c r="C16" s="60">
        <f>($C$9/2-$C$11)</f>
        <v>401.2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5.75" thickBot="1" x14ac:dyDescent="0.3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5.75" thickBot="1" x14ac:dyDescent="0.3">
      <c r="A18" s="233" t="s">
        <v>61</v>
      </c>
      <c r="B18" s="234"/>
      <c r="C18" s="234"/>
      <c r="D18" s="234"/>
      <c r="E18" s="234"/>
      <c r="F18" s="234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 x14ac:dyDescent="0.25">
      <c r="A19" s="26" t="s">
        <v>73</v>
      </c>
      <c r="B19" s="54" t="s">
        <v>72</v>
      </c>
      <c r="C19" s="62">
        <f>IF($C$9&lt;1000,$C$12/2,$C$12*0.4)</f>
        <v>178.3111111111111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x14ac:dyDescent="0.25">
      <c r="A20" s="66" t="s">
        <v>62</v>
      </c>
      <c r="B20" t="s">
        <v>65</v>
      </c>
      <c r="C20" s="63">
        <f>ASIN($C$19/$C$10)</f>
        <v>0.17872779475577341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0" x14ac:dyDescent="0.25">
      <c r="A21" s="66" t="s">
        <v>63</v>
      </c>
      <c r="B21" t="s">
        <v>66</v>
      </c>
      <c r="C21" s="64">
        <f>$C$10-(($C$10^2)-(VLOOKUP($B$2,$M$4:$R$23,2,FALSE)/2)^2)^0.5</f>
        <v>1.1018015786235082</v>
      </c>
      <c r="G21" s="27"/>
      <c r="M21" s="26" t="s">
        <v>81</v>
      </c>
      <c r="O21" s="40"/>
      <c r="Q21" s="40"/>
      <c r="R21" s="27">
        <v>40</v>
      </c>
    </row>
    <row r="22" spans="1:18" ht="30.75" thickBot="1" x14ac:dyDescent="0.3">
      <c r="A22" s="66" t="s">
        <v>64</v>
      </c>
      <c r="B22" t="s">
        <v>67</v>
      </c>
      <c r="C22" s="65">
        <f>$C$10-(($C$10^2-$C$19^2)^0.5)</f>
        <v>15.977129112845205</v>
      </c>
      <c r="G22" s="27"/>
      <c r="M22" s="26" t="s">
        <v>33</v>
      </c>
      <c r="N22">
        <v>109.5</v>
      </c>
      <c r="O22" s="40"/>
      <c r="Q22" s="40"/>
      <c r="R22" s="27"/>
    </row>
    <row r="23" spans="1:18" ht="15.75" thickBot="1" x14ac:dyDescent="0.3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 x14ac:dyDescent="0.3">
      <c r="A24" s="241" t="s">
        <v>85</v>
      </c>
      <c r="B24" s="229"/>
      <c r="C24" s="229"/>
      <c r="E24" s="230" t="s">
        <v>86</v>
      </c>
      <c r="F24" s="230"/>
      <c r="G24" s="231"/>
      <c r="H24" s="61"/>
      <c r="I24" s="61"/>
      <c r="J24" s="61"/>
      <c r="K24" s="61"/>
    </row>
    <row r="25" spans="1:18" ht="30" x14ac:dyDescent="0.25">
      <c r="A25" s="66" t="s">
        <v>84</v>
      </c>
      <c r="B25" t="s">
        <v>87</v>
      </c>
      <c r="C25" s="67">
        <f>VLOOKUP($B$2,$M$4:$R$23,3,FALSE)</f>
        <v>7.92</v>
      </c>
      <c r="E25" s="53" t="s">
        <v>96</v>
      </c>
      <c r="F25" t="s">
        <v>90</v>
      </c>
      <c r="G25" s="67">
        <f>VLOOKUP($B$2,$M$4:$R$23,5,FALSE)</f>
        <v>122</v>
      </c>
    </row>
    <row r="26" spans="1:18" ht="45" x14ac:dyDescent="0.25">
      <c r="A26" s="26"/>
      <c r="B26" s="53" t="s">
        <v>88</v>
      </c>
      <c r="C26" s="68">
        <f>VLOOKUP($B$2,$M$4:$R$23,4,FALSE)*SIN($C$20)/2</f>
        <v>13.155555555555553</v>
      </c>
      <c r="F26" s="53" t="s">
        <v>91</v>
      </c>
      <c r="G26" s="68">
        <f>VLOOKUP($B$2,$M$4:$R$23,6,FALSE)*SIN($C$20)/2</f>
        <v>2.8444444444444441</v>
      </c>
    </row>
    <row r="27" spans="1:18" ht="15.75" thickBot="1" x14ac:dyDescent="0.3">
      <c r="A27" s="26" t="s">
        <v>85</v>
      </c>
      <c r="B27" s="44" t="s">
        <v>89</v>
      </c>
      <c r="C27" s="65">
        <f>($C$22+$C$21)*COS($C$20)+$C$25+$C$26</f>
        <v>37.882430134594621</v>
      </c>
      <c r="E27" t="s">
        <v>86</v>
      </c>
      <c r="F27" t="s">
        <v>92</v>
      </c>
      <c r="G27" s="71">
        <f>($C$22+$C$21)*COS($C$20)+G25+G26</f>
        <v>141.6513190234835</v>
      </c>
    </row>
    <row r="28" spans="1:18" x14ac:dyDescent="0.25">
      <c r="B28" s="44" t="s">
        <v>117</v>
      </c>
      <c r="C28" s="79">
        <f>$C$10-$C$27</f>
        <v>965.11756986540536</v>
      </c>
      <c r="F28" t="s">
        <v>118</v>
      </c>
      <c r="G28" s="27">
        <f>$C$10-$G$27</f>
        <v>861.34868097651656</v>
      </c>
    </row>
    <row r="29" spans="1:18" ht="27" customHeight="1" thickBot="1" x14ac:dyDescent="0.3">
      <c r="B29" s="229" t="s">
        <v>107</v>
      </c>
      <c r="C29" s="229"/>
      <c r="F29" s="230" t="s">
        <v>86</v>
      </c>
      <c r="G29" s="231"/>
      <c r="H29" s="44"/>
      <c r="I29" s="44"/>
      <c r="J29" s="44"/>
      <c r="K29" s="44"/>
    </row>
    <row r="30" spans="1:18" x14ac:dyDescent="0.25">
      <c r="A30" s="26" t="s">
        <v>97</v>
      </c>
      <c r="B30" t="s">
        <v>98</v>
      </c>
      <c r="C30" s="67">
        <f>-$C$10</f>
        <v>-1003</v>
      </c>
      <c r="F30" t="s">
        <v>98</v>
      </c>
      <c r="G30" s="67">
        <f>-$C$10</f>
        <v>-1003</v>
      </c>
      <c r="L30" s="44"/>
    </row>
    <row r="31" spans="1:18" x14ac:dyDescent="0.25">
      <c r="A31" s="26"/>
      <c r="B31" s="44" t="s">
        <v>99</v>
      </c>
      <c r="C31" s="70">
        <f>-$C$10+IF($C$27&lt;$C$14,$C$27,$C$14)</f>
        <v>-965.11756986540536</v>
      </c>
      <c r="F31" t="s">
        <v>99</v>
      </c>
      <c r="G31" s="70">
        <f>-$C$10+IF($G$27&lt;$C$14,$G$27,$C$14)</f>
        <v>-898.49383572704949</v>
      </c>
      <c r="L31" s="44"/>
    </row>
    <row r="32" spans="1:18" x14ac:dyDescent="0.25">
      <c r="A32" s="26"/>
      <c r="B32" s="44" t="s">
        <v>100</v>
      </c>
      <c r="C32" s="70">
        <f>($C$10^2)*($C$30)-(($C$30)^3)/3</f>
        <v>-672684684.66666675</v>
      </c>
      <c r="F32" t="s">
        <v>100</v>
      </c>
      <c r="G32" s="70">
        <f>($C$10^2)*($G$30)-(($G$30)^3)/3</f>
        <v>-672684684.66666675</v>
      </c>
      <c r="L32" s="44"/>
    </row>
    <row r="33" spans="1:15" x14ac:dyDescent="0.25">
      <c r="A33" s="26"/>
      <c r="B33" t="s">
        <v>101</v>
      </c>
      <c r="C33" s="70">
        <f>($C$10^2)*($C$31)-(($C$31)^3)/3</f>
        <v>-671263422.33872652</v>
      </c>
      <c r="F33" t="s">
        <v>101</v>
      </c>
      <c r="G33" s="70">
        <f>($C$10^2)*($G$31)-(($G$31)^3)/3</f>
        <v>-662110837.70821452</v>
      </c>
      <c r="L33" s="44"/>
    </row>
    <row r="34" spans="1:15" ht="15.75" thickBot="1" x14ac:dyDescent="0.3">
      <c r="A34" s="26"/>
      <c r="B34" t="s">
        <v>13</v>
      </c>
      <c r="C34" s="71">
        <f>($C$33-$C$32)*PI()</f>
        <v>4465027.2882809397</v>
      </c>
      <c r="F34" t="s">
        <v>13</v>
      </c>
      <c r="G34" s="71">
        <f>($G$33-$G$32)*PI()</f>
        <v>33218719.924856286</v>
      </c>
      <c r="L34" s="44"/>
    </row>
    <row r="35" spans="1:15" ht="15.75" thickBot="1" x14ac:dyDescent="0.3">
      <c r="A35" s="26"/>
      <c r="G35" s="27"/>
    </row>
    <row r="36" spans="1:15" x14ac:dyDescent="0.2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104.50616427295054</v>
      </c>
      <c r="L36" s="44"/>
    </row>
    <row r="37" spans="1:15" x14ac:dyDescent="0.2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141.6513190234835</v>
      </c>
      <c r="O37" s="44"/>
    </row>
    <row r="38" spans="1:15" ht="15.75" thickBot="1" x14ac:dyDescent="0.3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25779136.423520088</v>
      </c>
      <c r="L38" s="44"/>
    </row>
    <row r="39" spans="1:15" ht="15.75" thickBot="1" x14ac:dyDescent="0.3">
      <c r="A39" s="26"/>
      <c r="G39" s="27"/>
    </row>
    <row r="40" spans="1:15" x14ac:dyDescent="0.2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 x14ac:dyDescent="0.2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5.75" thickBot="1" x14ac:dyDescent="0.3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5.75" thickBot="1" x14ac:dyDescent="0.3">
      <c r="A43" s="26"/>
      <c r="G43" s="27"/>
    </row>
    <row r="44" spans="1:15" ht="30" x14ac:dyDescent="0.25">
      <c r="A44" s="72" t="s">
        <v>103</v>
      </c>
      <c r="C44" s="67">
        <f>$C$34+$C$38+$C$42</f>
        <v>4465027.2882809397</v>
      </c>
      <c r="F44" s="7" t="s">
        <v>105</v>
      </c>
      <c r="G44" s="67">
        <f>$G$34+$G$38+$G$42</f>
        <v>58997856.348376378</v>
      </c>
    </row>
    <row r="45" spans="1:15" ht="30.75" thickBot="1" x14ac:dyDescent="0.3">
      <c r="A45" s="73" t="s">
        <v>104</v>
      </c>
      <c r="B45" s="59"/>
      <c r="C45" s="76">
        <f>$C$44/10^6</f>
        <v>4.4650272882809396</v>
      </c>
      <c r="D45" s="59"/>
      <c r="E45" s="59"/>
      <c r="F45" s="74" t="s">
        <v>106</v>
      </c>
      <c r="G45" s="76">
        <f>$G$44/10^6</f>
        <v>58.997856348376381</v>
      </c>
    </row>
    <row r="46" spans="1:15" x14ac:dyDescent="0.2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 x14ac:dyDescent="0.25">
      <c r="A47" s="232" t="s">
        <v>108</v>
      </c>
      <c r="B47" s="230"/>
      <c r="C47" s="230"/>
      <c r="D47" s="230"/>
      <c r="E47" s="230"/>
      <c r="F47" s="230"/>
      <c r="G47" s="230"/>
      <c r="H47" s="230"/>
      <c r="I47" s="230"/>
      <c r="J47" s="230"/>
      <c r="K47" s="231"/>
    </row>
    <row r="48" spans="1:15" x14ac:dyDescent="0.25">
      <c r="A48" s="232" t="s">
        <v>109</v>
      </c>
      <c r="B48" s="230"/>
      <c r="C48" s="230"/>
      <c r="D48" s="230"/>
      <c r="E48" s="230"/>
      <c r="G48" s="230" t="s">
        <v>114</v>
      </c>
      <c r="H48" s="230"/>
      <c r="I48" s="230"/>
      <c r="J48" s="230"/>
      <c r="K48" s="231"/>
    </row>
    <row r="49" spans="1:14" x14ac:dyDescent="0.25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 x14ac:dyDescent="0.25">
      <c r="A50" s="26">
        <v>0</v>
      </c>
      <c r="B50" s="82">
        <v>0</v>
      </c>
      <c r="C50" s="58">
        <f>$C$14</f>
        <v>104.50616427295054</v>
      </c>
      <c r="D50" s="83">
        <f>IF($G$28&lt;$C$14,0,((($C$11^2)-((C50-$C$13)^2))^0.5)+$C$16)</f>
        <v>445.77777777777789</v>
      </c>
      <c r="E50">
        <f>((D50^2)+(D50*D51)+(D51^2))*B51/3</f>
        <v>0</v>
      </c>
      <c r="G50">
        <v>0</v>
      </c>
      <c r="H50">
        <v>0</v>
      </c>
      <c r="I50" s="58">
        <f>$C$14</f>
        <v>104.50616427295054</v>
      </c>
      <c r="J50">
        <f>IF($G$28&lt;$C$14,0,((($C$11^2)-((I50-$C$13)^2))^0.5)+$C$16)</f>
        <v>445.77777777777789</v>
      </c>
      <c r="K50" s="27">
        <f>((J50^2)+(J50*J51)+(J51^2))*H51/3</f>
        <v>3691.0119944525982</v>
      </c>
      <c r="M50" s="44"/>
      <c r="N50" s="44"/>
    </row>
    <row r="51" spans="1:14" x14ac:dyDescent="0.25">
      <c r="A51" s="26">
        <v>1</v>
      </c>
      <c r="B51" s="82">
        <f>C51-C50</f>
        <v>0</v>
      </c>
      <c r="C51" s="58">
        <f>($C$37-$C$36)/2000+C50</f>
        <v>104.50616427295054</v>
      </c>
      <c r="D51" s="83">
        <f>IF($G$28&lt;$C$14,0,((($C$11^2)-((C51-$C$13)^2))^0.5)+$C$16)</f>
        <v>445.77777777777789</v>
      </c>
      <c r="E51">
        <f t="shared" ref="E51:E114" si="0">((D51^2)+(D51*D52)+(D52^2))*B52/3</f>
        <v>0</v>
      </c>
      <c r="G51">
        <v>1</v>
      </c>
      <c r="H51" s="13">
        <f>I51-I50</f>
        <v>1.8572577375266519E-2</v>
      </c>
      <c r="I51">
        <f>($G$27-$C$14)/2000+I50</f>
        <v>104.52473685032581</v>
      </c>
      <c r="J51">
        <f t="shared" ref="J51:J114" si="1">IF($G$28&lt;$C$14,0,((($C$11^2)-((I51-$C$13)^2))^0.5)+$C$16)</f>
        <v>445.81519243398333</v>
      </c>
      <c r="K51" s="27">
        <f t="shared" ref="K51:K114" si="2">((J51^2)+(J51*J52)+(J52^2))*H52/3</f>
        <v>3691.6312529006977</v>
      </c>
      <c r="M51" s="44"/>
    </row>
    <row r="52" spans="1:14" x14ac:dyDescent="0.25">
      <c r="A52" s="26">
        <v>2</v>
      </c>
      <c r="B52" s="82">
        <f t="shared" ref="B52:B115" si="3">C52-C51</f>
        <v>0</v>
      </c>
      <c r="C52" s="58">
        <f t="shared" ref="C52:C58" si="4">($C$37-$C$36)/2000+C51</f>
        <v>104.50616427295054</v>
      </c>
      <c r="D52" s="83">
        <f t="shared" ref="D52:D115" si="5">IF($G$28&lt;$C$14,0,((($C$11^2)-((C52-$C$13)^2))^0.5)+$C$16)</f>
        <v>445.77777777777789</v>
      </c>
      <c r="E52">
        <f t="shared" si="0"/>
        <v>0</v>
      </c>
      <c r="G52">
        <v>2</v>
      </c>
      <c r="H52" s="13">
        <f t="shared" ref="H52:H115" si="6">I52-I51</f>
        <v>1.8572577375266519E-2</v>
      </c>
      <c r="I52">
        <f t="shared" ref="I52:I115" si="7">($G$27-$C$14)/2000+I51</f>
        <v>104.54330942770108</v>
      </c>
      <c r="J52">
        <f t="shared" si="1"/>
        <v>445.85256801524991</v>
      </c>
      <c r="K52" s="27">
        <f t="shared" si="2"/>
        <v>3692.2499169468169</v>
      </c>
      <c r="M52" s="44"/>
    </row>
    <row r="53" spans="1:14" x14ac:dyDescent="0.25">
      <c r="A53" s="26">
        <v>3</v>
      </c>
      <c r="B53" s="82">
        <f t="shared" si="3"/>
        <v>0</v>
      </c>
      <c r="C53" s="58">
        <f t="shared" si="4"/>
        <v>104.50616427295054</v>
      </c>
      <c r="D53" s="83">
        <f t="shared" si="5"/>
        <v>445.77777777777789</v>
      </c>
      <c r="E53">
        <f t="shared" si="0"/>
        <v>0</v>
      </c>
      <c r="G53">
        <v>3</v>
      </c>
      <c r="H53" s="13">
        <f t="shared" si="6"/>
        <v>1.8572577375266519E-2</v>
      </c>
      <c r="I53">
        <f t="shared" si="7"/>
        <v>104.56188200507634</v>
      </c>
      <c r="J53">
        <f t="shared" si="1"/>
        <v>445.88990461961646</v>
      </c>
      <c r="K53" s="27">
        <f t="shared" si="2"/>
        <v>3692.8679880487921</v>
      </c>
    </row>
    <row r="54" spans="1:14" x14ac:dyDescent="0.25">
      <c r="A54" s="26">
        <v>4</v>
      </c>
      <c r="B54" s="82">
        <f t="shared" si="3"/>
        <v>0</v>
      </c>
      <c r="C54" s="58">
        <f t="shared" si="4"/>
        <v>104.50616427295054</v>
      </c>
      <c r="D54" s="83">
        <f t="shared" si="5"/>
        <v>445.77777777777789</v>
      </c>
      <c r="E54">
        <f t="shared" si="0"/>
        <v>0</v>
      </c>
      <c r="G54">
        <v>4</v>
      </c>
      <c r="H54" s="13">
        <f t="shared" si="6"/>
        <v>1.8572577375266519E-2</v>
      </c>
      <c r="I54">
        <f t="shared" si="7"/>
        <v>104.58045458245161</v>
      </c>
      <c r="J54">
        <f t="shared" si="1"/>
        <v>445.92720234469238</v>
      </c>
      <c r="K54" s="27">
        <f t="shared" si="2"/>
        <v>3693.4854676580812</v>
      </c>
    </row>
    <row r="55" spans="1:14" x14ac:dyDescent="0.25">
      <c r="A55" s="26">
        <v>5</v>
      </c>
      <c r="B55" s="82">
        <f t="shared" si="3"/>
        <v>0</v>
      </c>
      <c r="C55" s="58">
        <f t="shared" si="4"/>
        <v>104.50616427295054</v>
      </c>
      <c r="D55" s="83">
        <f t="shared" si="5"/>
        <v>445.77777777777789</v>
      </c>
      <c r="E55">
        <f t="shared" si="0"/>
        <v>0</v>
      </c>
      <c r="G55">
        <v>5</v>
      </c>
      <c r="H55" s="13">
        <f t="shared" si="6"/>
        <v>1.8572577375266519E-2</v>
      </c>
      <c r="I55">
        <f t="shared" si="7"/>
        <v>104.59902715982687</v>
      </c>
      <c r="J55">
        <f t="shared" si="1"/>
        <v>445.96446128766019</v>
      </c>
      <c r="K55" s="27">
        <f t="shared" si="2"/>
        <v>3694.1023572198005</v>
      </c>
    </row>
    <row r="56" spans="1:14" x14ac:dyDescent="0.25">
      <c r="A56" s="26">
        <v>6</v>
      </c>
      <c r="B56" s="82">
        <f t="shared" si="3"/>
        <v>0</v>
      </c>
      <c r="C56" s="58">
        <f t="shared" si="4"/>
        <v>104.50616427295054</v>
      </c>
      <c r="D56" s="83">
        <f t="shared" si="5"/>
        <v>445.77777777777789</v>
      </c>
      <c r="E56">
        <f t="shared" si="0"/>
        <v>0</v>
      </c>
      <c r="G56">
        <v>6</v>
      </c>
      <c r="H56" s="13">
        <f t="shared" si="6"/>
        <v>1.8572577375266519E-2</v>
      </c>
      <c r="I56">
        <f t="shared" si="7"/>
        <v>104.61759973720214</v>
      </c>
      <c r="J56">
        <f t="shared" si="1"/>
        <v>446.00168154527842</v>
      </c>
      <c r="K56" s="27">
        <f t="shared" si="2"/>
        <v>3694.7186581727642</v>
      </c>
    </row>
    <row r="57" spans="1:14" x14ac:dyDescent="0.25">
      <c r="A57" s="26">
        <v>7</v>
      </c>
      <c r="B57" s="82">
        <f t="shared" si="3"/>
        <v>0</v>
      </c>
      <c r="C57" s="58">
        <f t="shared" si="4"/>
        <v>104.50616427295054</v>
      </c>
      <c r="D57" s="83">
        <f t="shared" si="5"/>
        <v>445.77777777777789</v>
      </c>
      <c r="E57">
        <f t="shared" si="0"/>
        <v>0</v>
      </c>
      <c r="G57">
        <v>7</v>
      </c>
      <c r="H57" s="13">
        <f t="shared" si="6"/>
        <v>1.8572577375266519E-2</v>
      </c>
      <c r="I57">
        <f t="shared" si="7"/>
        <v>104.63617231457741</v>
      </c>
      <c r="J57">
        <f t="shared" si="1"/>
        <v>446.03886321388393</v>
      </c>
      <c r="K57" s="27">
        <f t="shared" si="2"/>
        <v>3695.3343719495265</v>
      </c>
    </row>
    <row r="58" spans="1:14" x14ac:dyDescent="0.25">
      <c r="A58" s="26">
        <v>8</v>
      </c>
      <c r="B58" s="82">
        <f t="shared" si="3"/>
        <v>0</v>
      </c>
      <c r="C58" s="58">
        <f t="shared" si="4"/>
        <v>104.50616427295054</v>
      </c>
      <c r="D58" s="83">
        <f t="shared" si="5"/>
        <v>445.77777777777789</v>
      </c>
      <c r="E58">
        <f t="shared" si="0"/>
        <v>0</v>
      </c>
      <c r="G58">
        <v>8</v>
      </c>
      <c r="H58" s="13">
        <f t="shared" si="6"/>
        <v>1.8572577375266519E-2</v>
      </c>
      <c r="I58">
        <f t="shared" si="7"/>
        <v>104.65474489195267</v>
      </c>
      <c r="J58">
        <f t="shared" si="1"/>
        <v>446.07600638939465</v>
      </c>
      <c r="K58" s="27">
        <f t="shared" si="2"/>
        <v>3695.9494999764115</v>
      </c>
    </row>
    <row r="59" spans="1:14" x14ac:dyDescent="0.25">
      <c r="A59" s="26">
        <v>9</v>
      </c>
      <c r="B59" s="82">
        <f t="shared" si="3"/>
        <v>0</v>
      </c>
      <c r="C59" s="58">
        <f t="shared" ref="C59:C64" si="8">($C$37-$C$36)/2000+C58</f>
        <v>104.50616427295054</v>
      </c>
      <c r="D59" s="83">
        <f t="shared" si="5"/>
        <v>445.77777777777789</v>
      </c>
      <c r="E59">
        <f t="shared" si="0"/>
        <v>0</v>
      </c>
      <c r="G59">
        <v>9</v>
      </c>
      <c r="H59" s="13">
        <f t="shared" si="6"/>
        <v>1.8572577375266519E-2</v>
      </c>
      <c r="I59">
        <f t="shared" si="7"/>
        <v>104.67331746932794</v>
      </c>
      <c r="J59">
        <f t="shared" si="1"/>
        <v>446.11311116731196</v>
      </c>
      <c r="K59" s="27">
        <f t="shared" si="2"/>
        <v>3696.5640436735594</v>
      </c>
    </row>
    <row r="60" spans="1:14" x14ac:dyDescent="0.25">
      <c r="A60" s="26">
        <v>10</v>
      </c>
      <c r="B60" s="82">
        <f t="shared" si="3"/>
        <v>0</v>
      </c>
      <c r="C60" s="58">
        <f t="shared" si="8"/>
        <v>104.50616427295054</v>
      </c>
      <c r="D60" s="83">
        <f t="shared" si="5"/>
        <v>445.77777777777789</v>
      </c>
      <c r="E60">
        <f t="shared" si="0"/>
        <v>0</v>
      </c>
      <c r="G60">
        <v>10</v>
      </c>
      <c r="H60" s="13">
        <f t="shared" si="6"/>
        <v>1.8572577375266519E-2</v>
      </c>
      <c r="I60">
        <f t="shared" si="7"/>
        <v>104.69189004670321</v>
      </c>
      <c r="J60">
        <f t="shared" si="1"/>
        <v>446.15017764272341</v>
      </c>
      <c r="K60" s="27">
        <f t="shared" si="2"/>
        <v>3697.17800445496</v>
      </c>
    </row>
    <row r="61" spans="1:14" x14ac:dyDescent="0.25">
      <c r="A61" s="26">
        <v>11</v>
      </c>
      <c r="B61" s="82">
        <f t="shared" si="3"/>
        <v>0</v>
      </c>
      <c r="C61" s="58">
        <f t="shared" si="8"/>
        <v>104.50616427295054</v>
      </c>
      <c r="D61" s="83">
        <f t="shared" si="5"/>
        <v>445.77777777777789</v>
      </c>
      <c r="E61">
        <f t="shared" si="0"/>
        <v>0</v>
      </c>
      <c r="G61">
        <v>11</v>
      </c>
      <c r="H61" s="13">
        <f t="shared" si="6"/>
        <v>1.8572577375266519E-2</v>
      </c>
      <c r="I61">
        <f t="shared" si="7"/>
        <v>104.71046262407847</v>
      </c>
      <c r="J61">
        <f t="shared" si="1"/>
        <v>446.18720591030524</v>
      </c>
      <c r="K61" s="27">
        <f t="shared" si="2"/>
        <v>3697.7913837284909</v>
      </c>
    </row>
    <row r="62" spans="1:14" x14ac:dyDescent="0.25">
      <c r="A62" s="26">
        <v>12</v>
      </c>
      <c r="B62" s="82">
        <f t="shared" si="3"/>
        <v>0</v>
      </c>
      <c r="C62" s="58">
        <f t="shared" si="8"/>
        <v>104.50616427295054</v>
      </c>
      <c r="D62" s="83">
        <f t="shared" si="5"/>
        <v>445.77777777777789</v>
      </c>
      <c r="E62">
        <f t="shared" si="0"/>
        <v>0</v>
      </c>
      <c r="G62">
        <v>12</v>
      </c>
      <c r="H62" s="13">
        <f t="shared" si="6"/>
        <v>1.8572577375266519E-2</v>
      </c>
      <c r="I62">
        <f t="shared" si="7"/>
        <v>104.72903520145374</v>
      </c>
      <c r="J62">
        <f t="shared" si="1"/>
        <v>446.2241960643247</v>
      </c>
      <c r="K62" s="27">
        <f t="shared" si="2"/>
        <v>3698.4041828959566</v>
      </c>
    </row>
    <row r="63" spans="1:14" x14ac:dyDescent="0.25">
      <c r="A63" s="26">
        <v>13</v>
      </c>
      <c r="B63" s="82">
        <f t="shared" si="3"/>
        <v>0</v>
      </c>
      <c r="C63" s="58">
        <f t="shared" si="8"/>
        <v>104.50616427295054</v>
      </c>
      <c r="D63" s="83">
        <f t="shared" si="5"/>
        <v>445.77777777777789</v>
      </c>
      <c r="E63">
        <f t="shared" si="0"/>
        <v>0</v>
      </c>
      <c r="G63">
        <v>13</v>
      </c>
      <c r="H63" s="13">
        <f t="shared" si="6"/>
        <v>1.8572577375266519E-2</v>
      </c>
      <c r="I63">
        <f t="shared" si="7"/>
        <v>104.74760777882901</v>
      </c>
      <c r="J63">
        <f t="shared" si="1"/>
        <v>446.26114819864273</v>
      </c>
      <c r="K63" s="27">
        <f t="shared" si="2"/>
        <v>3699.0164033531214</v>
      </c>
    </row>
    <row r="64" spans="1:14" x14ac:dyDescent="0.25">
      <c r="A64" s="26">
        <v>14</v>
      </c>
      <c r="B64" s="82">
        <f t="shared" si="3"/>
        <v>0</v>
      </c>
      <c r="C64" s="58">
        <f t="shared" si="8"/>
        <v>104.50616427295054</v>
      </c>
      <c r="D64" s="83">
        <f t="shared" si="5"/>
        <v>445.77777777777789</v>
      </c>
      <c r="E64">
        <f t="shared" si="0"/>
        <v>0</v>
      </c>
      <c r="G64">
        <v>14</v>
      </c>
      <c r="H64" s="13">
        <f t="shared" si="6"/>
        <v>1.8572577375266519E-2</v>
      </c>
      <c r="I64">
        <f t="shared" si="7"/>
        <v>104.76618035620427</v>
      </c>
      <c r="J64">
        <f t="shared" si="1"/>
        <v>446.29806240671621</v>
      </c>
      <c r="K64" s="27">
        <f t="shared" si="2"/>
        <v>3699.6280464897482</v>
      </c>
    </row>
    <row r="65" spans="1:11" x14ac:dyDescent="0.25">
      <c r="A65" s="26">
        <v>15</v>
      </c>
      <c r="B65" s="82">
        <f t="shared" si="3"/>
        <v>0</v>
      </c>
      <c r="C65" s="58">
        <f t="shared" ref="C65:C79" si="9">($C$37-$C$36)/2000+C64</f>
        <v>104.50616427295054</v>
      </c>
      <c r="D65" s="83">
        <f t="shared" si="5"/>
        <v>445.77777777777789</v>
      </c>
      <c r="E65">
        <f t="shared" si="0"/>
        <v>0</v>
      </c>
      <c r="G65">
        <v>15</v>
      </c>
      <c r="H65" s="13">
        <f t="shared" si="6"/>
        <v>1.8572577375266519E-2</v>
      </c>
      <c r="I65">
        <f t="shared" si="7"/>
        <v>104.78475293357954</v>
      </c>
      <c r="J65">
        <f t="shared" si="1"/>
        <v>446.33493878160061</v>
      </c>
      <c r="K65" s="27">
        <f t="shared" si="2"/>
        <v>3700.2391136896354</v>
      </c>
    </row>
    <row r="66" spans="1:11" x14ac:dyDescent="0.25">
      <c r="A66" s="26">
        <v>16</v>
      </c>
      <c r="B66" s="82">
        <f t="shared" si="3"/>
        <v>0</v>
      </c>
      <c r="C66" s="58">
        <f t="shared" si="9"/>
        <v>104.50616427295054</v>
      </c>
      <c r="D66" s="83">
        <f t="shared" si="5"/>
        <v>445.77777777777789</v>
      </c>
      <c r="E66">
        <f t="shared" si="0"/>
        <v>0</v>
      </c>
      <c r="G66">
        <v>16</v>
      </c>
      <c r="H66" s="13">
        <f t="shared" si="6"/>
        <v>1.8572577375266519E-2</v>
      </c>
      <c r="I66">
        <f t="shared" si="7"/>
        <v>104.80332551095481</v>
      </c>
      <c r="J66">
        <f t="shared" si="1"/>
        <v>446.37177741595235</v>
      </c>
      <c r="K66" s="27">
        <f t="shared" si="2"/>
        <v>3700.849606330652</v>
      </c>
    </row>
    <row r="67" spans="1:11" x14ac:dyDescent="0.25">
      <c r="A67" s="26">
        <v>17</v>
      </c>
      <c r="B67" s="82">
        <f t="shared" si="3"/>
        <v>0</v>
      </c>
      <c r="C67" s="58">
        <f t="shared" si="9"/>
        <v>104.50616427295054</v>
      </c>
      <c r="D67" s="83">
        <f t="shared" si="5"/>
        <v>445.77777777777789</v>
      </c>
      <c r="E67">
        <f t="shared" si="0"/>
        <v>0</v>
      </c>
      <c r="G67">
        <v>17</v>
      </c>
      <c r="H67" s="13">
        <f t="shared" si="6"/>
        <v>1.8572577375266519E-2</v>
      </c>
      <c r="I67">
        <f t="shared" si="7"/>
        <v>104.82189808833007</v>
      </c>
      <c r="J67">
        <f t="shared" si="1"/>
        <v>446.40857840203108</v>
      </c>
      <c r="K67" s="27">
        <f t="shared" si="2"/>
        <v>3701.4595257847718</v>
      </c>
    </row>
    <row r="68" spans="1:11" x14ac:dyDescent="0.25">
      <c r="A68" s="26">
        <v>18</v>
      </c>
      <c r="B68" s="82">
        <f t="shared" si="3"/>
        <v>0</v>
      </c>
      <c r="C68" s="58">
        <f t="shared" si="9"/>
        <v>104.50616427295054</v>
      </c>
      <c r="D68" s="83">
        <f t="shared" si="5"/>
        <v>445.77777777777789</v>
      </c>
      <c r="E68">
        <f t="shared" si="0"/>
        <v>0</v>
      </c>
      <c r="G68">
        <v>18</v>
      </c>
      <c r="H68" s="13">
        <f t="shared" si="6"/>
        <v>1.8572577375266519E-2</v>
      </c>
      <c r="I68">
        <f t="shared" si="7"/>
        <v>104.84047066570534</v>
      </c>
      <c r="J68">
        <f t="shared" si="1"/>
        <v>446.44534183170214</v>
      </c>
      <c r="K68" s="27">
        <f t="shared" si="2"/>
        <v>3702.0688734181108</v>
      </c>
    </row>
    <row r="69" spans="1:11" x14ac:dyDescent="0.25">
      <c r="A69" s="26">
        <v>19</v>
      </c>
      <c r="B69" s="82">
        <f t="shared" si="3"/>
        <v>0</v>
      </c>
      <c r="C69" s="58">
        <f t="shared" si="9"/>
        <v>104.50616427295054</v>
      </c>
      <c r="D69" s="83">
        <f t="shared" si="5"/>
        <v>445.77777777777789</v>
      </c>
      <c r="E69">
        <f t="shared" si="0"/>
        <v>0</v>
      </c>
      <c r="G69">
        <v>19</v>
      </c>
      <c r="H69" s="13">
        <f t="shared" si="6"/>
        <v>1.8572577375266519E-2</v>
      </c>
      <c r="I69">
        <f t="shared" si="7"/>
        <v>104.85904324308061</v>
      </c>
      <c r="J69">
        <f t="shared" si="1"/>
        <v>446.48206779643903</v>
      </c>
      <c r="K69" s="27">
        <f t="shared" si="2"/>
        <v>3702.6776505909615</v>
      </c>
    </row>
    <row r="70" spans="1:11" x14ac:dyDescent="0.25">
      <c r="A70" s="26">
        <v>20</v>
      </c>
      <c r="B70" s="82">
        <f t="shared" si="3"/>
        <v>0</v>
      </c>
      <c r="C70" s="58">
        <f t="shared" si="9"/>
        <v>104.50616427295054</v>
      </c>
      <c r="D70" s="83">
        <f t="shared" si="5"/>
        <v>445.77777777777789</v>
      </c>
      <c r="E70">
        <f t="shared" si="0"/>
        <v>0</v>
      </c>
      <c r="G70">
        <v>20</v>
      </c>
      <c r="H70" s="13">
        <f t="shared" si="6"/>
        <v>1.8572577375266519E-2</v>
      </c>
      <c r="I70">
        <f t="shared" si="7"/>
        <v>104.87761582045587</v>
      </c>
      <c r="J70">
        <f t="shared" si="1"/>
        <v>446.5187563873256</v>
      </c>
      <c r="K70" s="27">
        <f t="shared" si="2"/>
        <v>3703.2858586578295</v>
      </c>
    </row>
    <row r="71" spans="1:11" x14ac:dyDescent="0.25">
      <c r="A71" s="26">
        <v>21</v>
      </c>
      <c r="B71" s="82">
        <f t="shared" si="3"/>
        <v>0</v>
      </c>
      <c r="C71" s="58">
        <f t="shared" si="9"/>
        <v>104.50616427295054</v>
      </c>
      <c r="D71" s="83">
        <f t="shared" si="5"/>
        <v>445.77777777777789</v>
      </c>
      <c r="E71">
        <f t="shared" si="0"/>
        <v>0</v>
      </c>
      <c r="G71">
        <v>21</v>
      </c>
      <c r="H71" s="13">
        <f t="shared" si="6"/>
        <v>1.8572577375266519E-2</v>
      </c>
      <c r="I71">
        <f t="shared" si="7"/>
        <v>104.89618839783114</v>
      </c>
      <c r="J71">
        <f t="shared" si="1"/>
        <v>446.55540769505848</v>
      </c>
      <c r="K71" s="27">
        <f t="shared" si="2"/>
        <v>3703.8934989674649</v>
      </c>
    </row>
    <row r="72" spans="1:11" x14ac:dyDescent="0.25">
      <c r="A72" s="26">
        <v>22</v>
      </c>
      <c r="B72" s="82">
        <f t="shared" si="3"/>
        <v>0</v>
      </c>
      <c r="C72" s="58">
        <f t="shared" si="9"/>
        <v>104.50616427295054</v>
      </c>
      <c r="D72" s="83">
        <f t="shared" si="5"/>
        <v>445.77777777777789</v>
      </c>
      <c r="E72">
        <f t="shared" si="0"/>
        <v>0</v>
      </c>
      <c r="G72">
        <v>22</v>
      </c>
      <c r="H72" s="13">
        <f t="shared" si="6"/>
        <v>1.8572577375266519E-2</v>
      </c>
      <c r="I72">
        <f t="shared" si="7"/>
        <v>104.91476097520641</v>
      </c>
      <c r="J72">
        <f t="shared" si="1"/>
        <v>446.5920218099493</v>
      </c>
      <c r="K72" s="27">
        <f t="shared" si="2"/>
        <v>3704.5005728628971</v>
      </c>
    </row>
    <row r="73" spans="1:11" x14ac:dyDescent="0.25">
      <c r="A73" s="26">
        <v>23</v>
      </c>
      <c r="B73" s="82">
        <f t="shared" si="3"/>
        <v>0</v>
      </c>
      <c r="C73" s="58">
        <f t="shared" si="9"/>
        <v>104.50616427295054</v>
      </c>
      <c r="D73" s="83">
        <f t="shared" si="5"/>
        <v>445.77777777777789</v>
      </c>
      <c r="E73">
        <f t="shared" si="0"/>
        <v>0</v>
      </c>
      <c r="G73">
        <v>23</v>
      </c>
      <c r="H73" s="13">
        <f t="shared" si="6"/>
        <v>1.8572577375266519E-2</v>
      </c>
      <c r="I73">
        <f t="shared" si="7"/>
        <v>104.93333355258167</v>
      </c>
      <c r="J73">
        <f t="shared" si="1"/>
        <v>446.62859882192708</v>
      </c>
      <c r="K73" s="27">
        <f t="shared" si="2"/>
        <v>3705.1070816814718</v>
      </c>
    </row>
    <row r="74" spans="1:11" x14ac:dyDescent="0.25">
      <c r="A74" s="26">
        <v>24</v>
      </c>
      <c r="B74" s="82">
        <f t="shared" si="3"/>
        <v>0</v>
      </c>
      <c r="C74" s="58">
        <f t="shared" si="9"/>
        <v>104.50616427295054</v>
      </c>
      <c r="D74" s="83">
        <f t="shared" si="5"/>
        <v>445.77777777777789</v>
      </c>
      <c r="E74">
        <f t="shared" si="0"/>
        <v>0</v>
      </c>
      <c r="G74">
        <v>24</v>
      </c>
      <c r="H74" s="13">
        <f t="shared" si="6"/>
        <v>1.8572577375266519E-2</v>
      </c>
      <c r="I74">
        <f t="shared" si="7"/>
        <v>104.95190612995694</v>
      </c>
      <c r="J74">
        <f t="shared" si="1"/>
        <v>446.66513882054045</v>
      </c>
      <c r="K74" s="27">
        <f t="shared" si="2"/>
        <v>3705.7130267548832</v>
      </c>
    </row>
    <row r="75" spans="1:11" x14ac:dyDescent="0.25">
      <c r="A75" s="26">
        <v>25</v>
      </c>
      <c r="B75" s="82">
        <f t="shared" si="3"/>
        <v>0</v>
      </c>
      <c r="C75" s="58">
        <f t="shared" si="9"/>
        <v>104.50616427295054</v>
      </c>
      <c r="D75" s="83">
        <f t="shared" si="5"/>
        <v>445.77777777777789</v>
      </c>
      <c r="E75">
        <f t="shared" si="0"/>
        <v>0</v>
      </c>
      <c r="G75">
        <v>25</v>
      </c>
      <c r="H75" s="13">
        <f t="shared" si="6"/>
        <v>1.8572577375266519E-2</v>
      </c>
      <c r="I75">
        <f t="shared" si="7"/>
        <v>104.97047870733221</v>
      </c>
      <c r="J75">
        <f t="shared" si="1"/>
        <v>446.70164189495995</v>
      </c>
      <c r="K75" s="27">
        <f t="shared" si="2"/>
        <v>3706.3184094092053</v>
      </c>
    </row>
    <row r="76" spans="1:11" x14ac:dyDescent="0.25">
      <c r="A76" s="26">
        <v>26</v>
      </c>
      <c r="B76" s="82">
        <f t="shared" si="3"/>
        <v>0</v>
      </c>
      <c r="C76" s="58">
        <f t="shared" si="9"/>
        <v>104.50616427295054</v>
      </c>
      <c r="D76" s="83">
        <f t="shared" si="5"/>
        <v>445.77777777777789</v>
      </c>
      <c r="E76">
        <f t="shared" si="0"/>
        <v>0</v>
      </c>
      <c r="G76">
        <v>26</v>
      </c>
      <c r="H76" s="13">
        <f t="shared" si="6"/>
        <v>1.8572577375266519E-2</v>
      </c>
      <c r="I76">
        <f t="shared" si="7"/>
        <v>104.98905128470747</v>
      </c>
      <c r="J76">
        <f t="shared" si="1"/>
        <v>446.73810813398018</v>
      </c>
      <c r="K76" s="27">
        <f t="shared" si="2"/>
        <v>3706.9232309649301</v>
      </c>
    </row>
    <row r="77" spans="1:11" x14ac:dyDescent="0.25">
      <c r="A77" s="26">
        <v>27</v>
      </c>
      <c r="B77" s="82">
        <f t="shared" si="3"/>
        <v>0</v>
      </c>
      <c r="C77" s="58">
        <f t="shared" si="9"/>
        <v>104.50616427295054</v>
      </c>
      <c r="D77" s="83">
        <f t="shared" si="5"/>
        <v>445.77777777777789</v>
      </c>
      <c r="E77">
        <f t="shared" si="0"/>
        <v>0</v>
      </c>
      <c r="G77">
        <v>27</v>
      </c>
      <c r="H77" s="13">
        <f t="shared" si="6"/>
        <v>1.8572577375266519E-2</v>
      </c>
      <c r="I77">
        <f t="shared" si="7"/>
        <v>105.00762386208274</v>
      </c>
      <c r="J77">
        <f t="shared" si="1"/>
        <v>446.77453762602221</v>
      </c>
      <c r="K77" s="27">
        <f t="shared" si="2"/>
        <v>3707.5274927369933</v>
      </c>
    </row>
    <row r="78" spans="1:11" x14ac:dyDescent="0.25">
      <c r="A78" s="26">
        <v>28</v>
      </c>
      <c r="B78" s="82">
        <f t="shared" si="3"/>
        <v>0</v>
      </c>
      <c r="C78" s="58">
        <f t="shared" si="9"/>
        <v>104.50616427295054</v>
      </c>
      <c r="D78" s="83">
        <f t="shared" si="5"/>
        <v>445.77777777777789</v>
      </c>
      <c r="E78">
        <f t="shared" si="0"/>
        <v>0</v>
      </c>
      <c r="G78">
        <v>28</v>
      </c>
      <c r="H78" s="13">
        <f t="shared" si="6"/>
        <v>1.8572577375266519E-2</v>
      </c>
      <c r="I78">
        <f t="shared" si="7"/>
        <v>105.026196439458</v>
      </c>
      <c r="J78">
        <f t="shared" si="1"/>
        <v>446.81093045913548</v>
      </c>
      <c r="K78" s="27">
        <f t="shared" si="2"/>
        <v>3708.1311960348153</v>
      </c>
    </row>
    <row r="79" spans="1:11" x14ac:dyDescent="0.25">
      <c r="A79" s="26">
        <v>29</v>
      </c>
      <c r="B79" s="82">
        <f t="shared" si="3"/>
        <v>0</v>
      </c>
      <c r="C79" s="58">
        <f t="shared" si="9"/>
        <v>104.50616427295054</v>
      </c>
      <c r="D79" s="83">
        <f t="shared" si="5"/>
        <v>445.77777777777789</v>
      </c>
      <c r="E79">
        <f t="shared" si="0"/>
        <v>0</v>
      </c>
      <c r="G79">
        <v>29</v>
      </c>
      <c r="H79" s="13">
        <f t="shared" si="6"/>
        <v>1.8572577375266519E-2</v>
      </c>
      <c r="I79">
        <f t="shared" si="7"/>
        <v>105.04476901683327</v>
      </c>
      <c r="J79">
        <f t="shared" si="1"/>
        <v>446.84728672100027</v>
      </c>
      <c r="K79" s="27">
        <f t="shared" si="2"/>
        <v>3708.7343421623268</v>
      </c>
    </row>
    <row r="80" spans="1:11" x14ac:dyDescent="0.25">
      <c r="A80" s="26">
        <v>30</v>
      </c>
      <c r="B80" s="82">
        <f t="shared" si="3"/>
        <v>0</v>
      </c>
      <c r="C80" s="58">
        <f t="shared" ref="C80:C143" si="10">($C$37-$C$36)/2000+C79</f>
        <v>104.50616427295054</v>
      </c>
      <c r="D80" s="83">
        <f t="shared" si="5"/>
        <v>445.77777777777789</v>
      </c>
      <c r="E80">
        <f t="shared" si="0"/>
        <v>0</v>
      </c>
      <c r="G80">
        <v>30</v>
      </c>
      <c r="H80" s="13">
        <f t="shared" si="6"/>
        <v>1.8572577375266519E-2</v>
      </c>
      <c r="I80">
        <f t="shared" si="7"/>
        <v>105.06334159420854</v>
      </c>
      <c r="J80">
        <f t="shared" si="1"/>
        <v>446.88360649892985</v>
      </c>
      <c r="K80" s="27">
        <f t="shared" si="2"/>
        <v>3709.336932418008</v>
      </c>
    </row>
    <row r="81" spans="1:11" x14ac:dyDescent="0.25">
      <c r="A81" s="26">
        <v>31</v>
      </c>
      <c r="B81" s="82">
        <f t="shared" si="3"/>
        <v>0</v>
      </c>
      <c r="C81" s="58">
        <f t="shared" si="10"/>
        <v>104.50616427295054</v>
      </c>
      <c r="D81" s="83">
        <f t="shared" si="5"/>
        <v>445.77777777777789</v>
      </c>
      <c r="E81">
        <f t="shared" si="0"/>
        <v>0</v>
      </c>
      <c r="G81">
        <v>31</v>
      </c>
      <c r="H81" s="13">
        <f t="shared" si="6"/>
        <v>1.8572577375266519E-2</v>
      </c>
      <c r="I81">
        <f t="shared" si="7"/>
        <v>105.0819141715838</v>
      </c>
      <c r="J81">
        <f t="shared" si="1"/>
        <v>446.91988987987241</v>
      </c>
      <c r="K81" s="27">
        <f t="shared" si="2"/>
        <v>3709.9389680949121</v>
      </c>
    </row>
    <row r="82" spans="1:11" x14ac:dyDescent="0.25">
      <c r="A82" s="26">
        <v>32</v>
      </c>
      <c r="B82" s="82">
        <f t="shared" si="3"/>
        <v>0</v>
      </c>
      <c r="C82" s="58">
        <f t="shared" si="10"/>
        <v>104.50616427295054</v>
      </c>
      <c r="D82" s="83">
        <f t="shared" si="5"/>
        <v>445.77777777777789</v>
      </c>
      <c r="E82">
        <f t="shared" si="0"/>
        <v>0</v>
      </c>
      <c r="G82">
        <v>32</v>
      </c>
      <c r="H82" s="13">
        <f t="shared" si="6"/>
        <v>1.8572577375266519E-2</v>
      </c>
      <c r="I82">
        <f t="shared" si="7"/>
        <v>105.10048674895907</v>
      </c>
      <c r="J82">
        <f t="shared" si="1"/>
        <v>446.95613695041351</v>
      </c>
      <c r="K82" s="27">
        <f t="shared" si="2"/>
        <v>3710.5404504807052</v>
      </c>
    </row>
    <row r="83" spans="1:11" x14ac:dyDescent="0.25">
      <c r="A83" s="26">
        <v>33</v>
      </c>
      <c r="B83" s="82">
        <f t="shared" si="3"/>
        <v>0</v>
      </c>
      <c r="C83" s="58">
        <f t="shared" si="10"/>
        <v>104.50616427295054</v>
      </c>
      <c r="D83" s="83">
        <f t="shared" si="5"/>
        <v>445.77777777777789</v>
      </c>
      <c r="E83">
        <f t="shared" si="0"/>
        <v>0</v>
      </c>
      <c r="G83">
        <v>33</v>
      </c>
      <c r="H83" s="13">
        <f t="shared" si="6"/>
        <v>1.8572577375266519E-2</v>
      </c>
      <c r="I83">
        <f t="shared" si="7"/>
        <v>105.11905932633434</v>
      </c>
      <c r="J83">
        <f t="shared" si="1"/>
        <v>446.99234779677795</v>
      </c>
      <c r="K83" s="27">
        <f t="shared" si="2"/>
        <v>3711.1413808576922</v>
      </c>
    </row>
    <row r="84" spans="1:11" x14ac:dyDescent="0.25">
      <c r="A84" s="26">
        <v>34</v>
      </c>
      <c r="B84" s="82">
        <f t="shared" si="3"/>
        <v>0</v>
      </c>
      <c r="C84" s="58">
        <f t="shared" si="10"/>
        <v>104.50616427295054</v>
      </c>
      <c r="D84" s="83">
        <f t="shared" si="5"/>
        <v>445.77777777777789</v>
      </c>
      <c r="E84">
        <f t="shared" si="0"/>
        <v>0</v>
      </c>
      <c r="G84">
        <v>34</v>
      </c>
      <c r="H84" s="13">
        <f t="shared" si="6"/>
        <v>1.8572577375266519E-2</v>
      </c>
      <c r="I84">
        <f t="shared" si="7"/>
        <v>105.1376319037096</v>
      </c>
      <c r="J84">
        <f t="shared" si="1"/>
        <v>447.02852250483193</v>
      </c>
      <c r="K84" s="27">
        <f t="shared" si="2"/>
        <v>3711.7417605028509</v>
      </c>
    </row>
    <row r="85" spans="1:11" x14ac:dyDescent="0.25">
      <c r="A85" s="26">
        <v>35</v>
      </c>
      <c r="B85" s="82">
        <f t="shared" si="3"/>
        <v>0</v>
      </c>
      <c r="C85" s="58">
        <f t="shared" si="10"/>
        <v>104.50616427295054</v>
      </c>
      <c r="D85" s="83">
        <f t="shared" si="5"/>
        <v>445.77777777777789</v>
      </c>
      <c r="E85">
        <f t="shared" si="0"/>
        <v>0</v>
      </c>
      <c r="G85">
        <v>35</v>
      </c>
      <c r="H85" s="13">
        <f t="shared" si="6"/>
        <v>1.8572577375266519E-2</v>
      </c>
      <c r="I85">
        <f t="shared" si="7"/>
        <v>105.15620448108487</v>
      </c>
      <c r="J85">
        <f t="shared" si="1"/>
        <v>447.06466116008534</v>
      </c>
      <c r="K85" s="27">
        <f t="shared" si="2"/>
        <v>3712.3415906878618</v>
      </c>
    </row>
    <row r="86" spans="1:11" x14ac:dyDescent="0.25">
      <c r="A86" s="26">
        <v>36</v>
      </c>
      <c r="B86" s="82">
        <f t="shared" si="3"/>
        <v>0</v>
      </c>
      <c r="C86" s="58">
        <f t="shared" si="10"/>
        <v>104.50616427295054</v>
      </c>
      <c r="D86" s="83">
        <f t="shared" si="5"/>
        <v>445.77777777777789</v>
      </c>
      <c r="E86">
        <f t="shared" si="0"/>
        <v>0</v>
      </c>
      <c r="G86">
        <v>36</v>
      </c>
      <c r="H86" s="13">
        <f t="shared" si="6"/>
        <v>1.8572577375266519E-2</v>
      </c>
      <c r="I86">
        <f t="shared" si="7"/>
        <v>105.17477705846014</v>
      </c>
      <c r="J86">
        <f t="shared" si="1"/>
        <v>447.10076384769354</v>
      </c>
      <c r="K86" s="27">
        <f t="shared" si="2"/>
        <v>3712.9408726791407</v>
      </c>
    </row>
    <row r="87" spans="1:11" x14ac:dyDescent="0.25">
      <c r="A87" s="26">
        <v>37</v>
      </c>
      <c r="B87" s="82">
        <f t="shared" si="3"/>
        <v>0</v>
      </c>
      <c r="C87" s="58">
        <f t="shared" si="10"/>
        <v>104.50616427295054</v>
      </c>
      <c r="D87" s="83">
        <f t="shared" si="5"/>
        <v>445.77777777777789</v>
      </c>
      <c r="E87">
        <f t="shared" si="0"/>
        <v>0</v>
      </c>
      <c r="G87">
        <v>37</v>
      </c>
      <c r="H87" s="13">
        <f t="shared" si="6"/>
        <v>1.8572577375266519E-2</v>
      </c>
      <c r="I87">
        <f t="shared" si="7"/>
        <v>105.1933496358354</v>
      </c>
      <c r="J87">
        <f t="shared" si="1"/>
        <v>447.13683065245971</v>
      </c>
      <c r="K87" s="27">
        <f t="shared" si="2"/>
        <v>3713.5396077378678</v>
      </c>
    </row>
    <row r="88" spans="1:11" x14ac:dyDescent="0.25">
      <c r="A88" s="26">
        <v>38</v>
      </c>
      <c r="B88" s="82">
        <f t="shared" si="3"/>
        <v>0</v>
      </c>
      <c r="C88" s="58">
        <f t="shared" si="10"/>
        <v>104.50616427295054</v>
      </c>
      <c r="D88" s="83">
        <f t="shared" si="5"/>
        <v>445.77777777777789</v>
      </c>
      <c r="E88">
        <f t="shared" si="0"/>
        <v>0</v>
      </c>
      <c r="G88">
        <v>38</v>
      </c>
      <c r="H88" s="13">
        <f t="shared" si="6"/>
        <v>1.8572577375266519E-2</v>
      </c>
      <c r="I88">
        <f t="shared" si="7"/>
        <v>105.21192221321067</v>
      </c>
      <c r="J88">
        <f t="shared" si="1"/>
        <v>447.17286165883667</v>
      </c>
      <c r="K88" s="27">
        <f t="shared" si="2"/>
        <v>3714.1377971200181</v>
      </c>
    </row>
    <row r="89" spans="1:11" x14ac:dyDescent="0.25">
      <c r="A89" s="26">
        <v>39</v>
      </c>
      <c r="B89" s="82">
        <f t="shared" si="3"/>
        <v>0</v>
      </c>
      <c r="C89" s="58">
        <f t="shared" si="10"/>
        <v>104.50616427295054</v>
      </c>
      <c r="D89" s="83">
        <f t="shared" si="5"/>
        <v>445.77777777777789</v>
      </c>
      <c r="E89">
        <f t="shared" si="0"/>
        <v>0</v>
      </c>
      <c r="G89">
        <v>39</v>
      </c>
      <c r="H89" s="13">
        <f t="shared" si="6"/>
        <v>1.8572577375266519E-2</v>
      </c>
      <c r="I89">
        <f t="shared" si="7"/>
        <v>105.23049479058594</v>
      </c>
      <c r="J89">
        <f t="shared" si="1"/>
        <v>447.20885695092898</v>
      </c>
      <c r="K89" s="27">
        <f t="shared" si="2"/>
        <v>3714.7354420763927</v>
      </c>
    </row>
    <row r="90" spans="1:11" x14ac:dyDescent="0.25">
      <c r="A90" s="26">
        <v>40</v>
      </c>
      <c r="B90" s="82">
        <f t="shared" si="3"/>
        <v>0</v>
      </c>
      <c r="C90" s="58">
        <f t="shared" si="10"/>
        <v>104.50616427295054</v>
      </c>
      <c r="D90" s="83">
        <f t="shared" si="5"/>
        <v>445.77777777777789</v>
      </c>
      <c r="E90">
        <f t="shared" si="0"/>
        <v>0</v>
      </c>
      <c r="G90">
        <v>40</v>
      </c>
      <c r="H90" s="13">
        <f t="shared" si="6"/>
        <v>1.8572577375266519E-2</v>
      </c>
      <c r="I90">
        <f t="shared" si="7"/>
        <v>105.2490673679612</v>
      </c>
      <c r="J90">
        <f t="shared" si="1"/>
        <v>447.24481661249501</v>
      </c>
      <c r="K90" s="27">
        <f t="shared" si="2"/>
        <v>3715.3325438526449</v>
      </c>
    </row>
    <row r="91" spans="1:11" x14ac:dyDescent="0.25">
      <c r="A91" s="26">
        <v>41</v>
      </c>
      <c r="B91" s="82">
        <f t="shared" si="3"/>
        <v>0</v>
      </c>
      <c r="C91" s="58">
        <f t="shared" si="10"/>
        <v>104.50616427295054</v>
      </c>
      <c r="D91" s="83">
        <f t="shared" si="5"/>
        <v>445.77777777777789</v>
      </c>
      <c r="E91">
        <f t="shared" si="0"/>
        <v>0</v>
      </c>
      <c r="G91">
        <v>41</v>
      </c>
      <c r="H91" s="13">
        <f t="shared" si="6"/>
        <v>1.8572577375266519E-2</v>
      </c>
      <c r="I91">
        <f t="shared" si="7"/>
        <v>105.26763994533647</v>
      </c>
      <c r="J91">
        <f t="shared" si="1"/>
        <v>447.28074072694886</v>
      </c>
      <c r="K91" s="27">
        <f t="shared" si="2"/>
        <v>3715.9291036893173</v>
      </c>
    </row>
    <row r="92" spans="1:11" x14ac:dyDescent="0.25">
      <c r="A92" s="26">
        <v>42</v>
      </c>
      <c r="B92" s="82">
        <f t="shared" si="3"/>
        <v>0</v>
      </c>
      <c r="C92" s="58">
        <f t="shared" si="10"/>
        <v>104.50616427295054</v>
      </c>
      <c r="D92" s="83">
        <f t="shared" si="5"/>
        <v>445.77777777777789</v>
      </c>
      <c r="E92">
        <f t="shared" si="0"/>
        <v>0</v>
      </c>
      <c r="G92">
        <v>42</v>
      </c>
      <c r="H92" s="13">
        <f t="shared" si="6"/>
        <v>1.8572577375266519E-2</v>
      </c>
      <c r="I92">
        <f t="shared" si="7"/>
        <v>105.28621252271174</v>
      </c>
      <c r="J92">
        <f t="shared" si="1"/>
        <v>447.31662937736246</v>
      </c>
      <c r="K92" s="27">
        <f t="shared" si="2"/>
        <v>3716.525122821864</v>
      </c>
    </row>
    <row r="93" spans="1:11" x14ac:dyDescent="0.25">
      <c r="A93" s="26">
        <v>43</v>
      </c>
      <c r="B93" s="82">
        <f t="shared" si="3"/>
        <v>0</v>
      </c>
      <c r="C93" s="58">
        <f t="shared" si="10"/>
        <v>104.50616427295054</v>
      </c>
      <c r="D93" s="83">
        <f t="shared" si="5"/>
        <v>445.77777777777789</v>
      </c>
      <c r="E93">
        <f t="shared" si="0"/>
        <v>0</v>
      </c>
      <c r="G93">
        <v>43</v>
      </c>
      <c r="H93" s="13">
        <f t="shared" si="6"/>
        <v>1.8572577375266519E-2</v>
      </c>
      <c r="I93">
        <f t="shared" si="7"/>
        <v>105.304785100087</v>
      </c>
      <c r="J93">
        <f t="shared" si="1"/>
        <v>447.35248264646748</v>
      </c>
      <c r="K93" s="27">
        <f t="shared" si="2"/>
        <v>3717.1206024806829</v>
      </c>
    </row>
    <row r="94" spans="1:11" x14ac:dyDescent="0.25">
      <c r="A94" s="26">
        <v>44</v>
      </c>
      <c r="B94" s="82">
        <f t="shared" si="3"/>
        <v>0</v>
      </c>
      <c r="C94" s="58">
        <f t="shared" si="10"/>
        <v>104.50616427295054</v>
      </c>
      <c r="D94" s="83">
        <f t="shared" si="5"/>
        <v>445.77777777777789</v>
      </c>
      <c r="E94">
        <f t="shared" si="0"/>
        <v>0</v>
      </c>
      <c r="G94">
        <v>44</v>
      </c>
      <c r="H94" s="13">
        <f t="shared" si="6"/>
        <v>1.8572577375266519E-2</v>
      </c>
      <c r="I94">
        <f t="shared" si="7"/>
        <v>105.32335767746227</v>
      </c>
      <c r="J94">
        <f t="shared" si="1"/>
        <v>447.38830061665709</v>
      </c>
      <c r="K94" s="27">
        <f t="shared" si="2"/>
        <v>3717.7155438911468</v>
      </c>
    </row>
    <row r="95" spans="1:11" x14ac:dyDescent="0.25">
      <c r="A95" s="26">
        <v>45</v>
      </c>
      <c r="B95" s="82">
        <f t="shared" si="3"/>
        <v>0</v>
      </c>
      <c r="C95" s="58">
        <f t="shared" si="10"/>
        <v>104.50616427295054</v>
      </c>
      <c r="D95" s="83">
        <f t="shared" si="5"/>
        <v>445.77777777777789</v>
      </c>
      <c r="E95">
        <f t="shared" si="0"/>
        <v>0</v>
      </c>
      <c r="G95">
        <v>45</v>
      </c>
      <c r="H95" s="13">
        <f t="shared" si="6"/>
        <v>1.8572577375266519E-2</v>
      </c>
      <c r="I95">
        <f t="shared" si="7"/>
        <v>105.34193025483754</v>
      </c>
      <c r="J95">
        <f t="shared" si="1"/>
        <v>447.42408336998835</v>
      </c>
      <c r="K95" s="27">
        <f t="shared" si="2"/>
        <v>3718.3099482736266</v>
      </c>
    </row>
    <row r="96" spans="1:11" x14ac:dyDescent="0.25">
      <c r="A96" s="26">
        <v>46</v>
      </c>
      <c r="B96" s="82">
        <f t="shared" si="3"/>
        <v>0</v>
      </c>
      <c r="C96" s="58">
        <f t="shared" si="10"/>
        <v>104.50616427295054</v>
      </c>
      <c r="D96" s="83">
        <f t="shared" si="5"/>
        <v>445.77777777777789</v>
      </c>
      <c r="E96">
        <f t="shared" si="0"/>
        <v>0</v>
      </c>
      <c r="G96">
        <v>46</v>
      </c>
      <c r="H96" s="13">
        <f t="shared" si="6"/>
        <v>1.8572577375266519E-2</v>
      </c>
      <c r="I96">
        <f t="shared" si="7"/>
        <v>105.3605028322128</v>
      </c>
      <c r="J96">
        <f t="shared" si="1"/>
        <v>447.45983098818368</v>
      </c>
      <c r="K96" s="27">
        <f t="shared" si="2"/>
        <v>3718.9038168435254</v>
      </c>
    </row>
    <row r="97" spans="1:11" x14ac:dyDescent="0.25">
      <c r="A97" s="26">
        <v>47</v>
      </c>
      <c r="B97" s="82">
        <f t="shared" si="3"/>
        <v>0</v>
      </c>
      <c r="C97" s="58">
        <f t="shared" si="10"/>
        <v>104.50616427295054</v>
      </c>
      <c r="D97" s="83">
        <f t="shared" si="5"/>
        <v>445.77777777777789</v>
      </c>
      <c r="E97">
        <f t="shared" si="0"/>
        <v>0</v>
      </c>
      <c r="G97">
        <v>47</v>
      </c>
      <c r="H97" s="13">
        <f t="shared" si="6"/>
        <v>1.8572577375266519E-2</v>
      </c>
      <c r="I97">
        <f t="shared" si="7"/>
        <v>105.37907540958807</v>
      </c>
      <c r="J97">
        <f t="shared" si="1"/>
        <v>447.49554355263302</v>
      </c>
      <c r="K97" s="27">
        <f t="shared" si="2"/>
        <v>3719.4971508113049</v>
      </c>
    </row>
    <row r="98" spans="1:11" x14ac:dyDescent="0.25">
      <c r="A98" s="26">
        <v>48</v>
      </c>
      <c r="B98" s="82">
        <f t="shared" si="3"/>
        <v>0</v>
      </c>
      <c r="C98" s="58">
        <f t="shared" si="10"/>
        <v>104.50616427295054</v>
      </c>
      <c r="D98" s="83">
        <f t="shared" si="5"/>
        <v>445.77777777777789</v>
      </c>
      <c r="E98">
        <f t="shared" si="0"/>
        <v>0</v>
      </c>
      <c r="G98">
        <v>48</v>
      </c>
      <c r="H98" s="13">
        <f t="shared" si="6"/>
        <v>1.8572577375266519E-2</v>
      </c>
      <c r="I98">
        <f t="shared" si="7"/>
        <v>105.39764798696334</v>
      </c>
      <c r="J98">
        <f t="shared" si="1"/>
        <v>447.53122114439577</v>
      </c>
      <c r="K98" s="27">
        <f t="shared" si="2"/>
        <v>3720.0899513825134</v>
      </c>
    </row>
    <row r="99" spans="1:11" x14ac:dyDescent="0.25">
      <c r="A99" s="26">
        <v>49</v>
      </c>
      <c r="B99" s="82">
        <f t="shared" si="3"/>
        <v>0</v>
      </c>
      <c r="C99" s="58">
        <f t="shared" si="10"/>
        <v>104.50616427295054</v>
      </c>
      <c r="D99" s="83">
        <f t="shared" si="5"/>
        <v>445.77777777777789</v>
      </c>
      <c r="E99">
        <f t="shared" si="0"/>
        <v>0</v>
      </c>
      <c r="G99">
        <v>49</v>
      </c>
      <c r="H99" s="13">
        <f t="shared" si="6"/>
        <v>1.8572577375266519E-2</v>
      </c>
      <c r="I99">
        <f t="shared" si="7"/>
        <v>105.4162205643386</v>
      </c>
      <c r="J99">
        <f t="shared" si="1"/>
        <v>447.56686384420243</v>
      </c>
      <c r="K99" s="27">
        <f t="shared" si="2"/>
        <v>3720.6822197578144</v>
      </c>
    </row>
    <row r="100" spans="1:11" x14ac:dyDescent="0.25">
      <c r="A100" s="26">
        <v>50</v>
      </c>
      <c r="B100" s="82">
        <f t="shared" si="3"/>
        <v>0</v>
      </c>
      <c r="C100" s="58">
        <f t="shared" si="10"/>
        <v>104.50616427295054</v>
      </c>
      <c r="D100" s="83">
        <f t="shared" si="5"/>
        <v>445.77777777777789</v>
      </c>
      <c r="E100">
        <f t="shared" si="0"/>
        <v>0</v>
      </c>
      <c r="G100">
        <v>50</v>
      </c>
      <c r="H100" s="13">
        <f t="shared" si="6"/>
        <v>1.8572577375266519E-2</v>
      </c>
      <c r="I100">
        <f t="shared" si="7"/>
        <v>105.43479314171387</v>
      </c>
      <c r="J100">
        <f t="shared" si="1"/>
        <v>447.60247173245682</v>
      </c>
      <c r="K100" s="27">
        <f t="shared" si="2"/>
        <v>3721.2739571330117</v>
      </c>
    </row>
    <row r="101" spans="1:11" x14ac:dyDescent="0.25">
      <c r="A101" s="26">
        <v>51</v>
      </c>
      <c r="B101" s="82">
        <f t="shared" si="3"/>
        <v>0</v>
      </c>
      <c r="C101" s="58">
        <f t="shared" si="10"/>
        <v>104.50616427295054</v>
      </c>
      <c r="D101" s="83">
        <f t="shared" si="5"/>
        <v>445.77777777777789</v>
      </c>
      <c r="E101">
        <f t="shared" si="0"/>
        <v>0</v>
      </c>
      <c r="G101">
        <v>51</v>
      </c>
      <c r="H101" s="13">
        <f t="shared" si="6"/>
        <v>1.8572577375266519E-2</v>
      </c>
      <c r="I101">
        <f t="shared" si="7"/>
        <v>105.45336571908913</v>
      </c>
      <c r="J101">
        <f t="shared" si="1"/>
        <v>447.63804488923745</v>
      </c>
      <c r="K101" s="27">
        <f t="shared" si="2"/>
        <v>3721.865164699082</v>
      </c>
    </row>
    <row r="102" spans="1:11" x14ac:dyDescent="0.25">
      <c r="A102" s="26">
        <v>52</v>
      </c>
      <c r="B102" s="82">
        <f t="shared" si="3"/>
        <v>0</v>
      </c>
      <c r="C102" s="58">
        <f t="shared" si="10"/>
        <v>104.50616427295054</v>
      </c>
      <c r="D102" s="83">
        <f t="shared" si="5"/>
        <v>445.77777777777789</v>
      </c>
      <c r="E102">
        <f t="shared" si="0"/>
        <v>0</v>
      </c>
      <c r="G102">
        <v>52</v>
      </c>
      <c r="H102" s="13">
        <f t="shared" si="6"/>
        <v>1.8572577375266519E-2</v>
      </c>
      <c r="I102">
        <f t="shared" si="7"/>
        <v>105.4719382964644</v>
      </c>
      <c r="J102">
        <f t="shared" si="1"/>
        <v>447.67358339429995</v>
      </c>
      <c r="K102" s="27">
        <f t="shared" si="2"/>
        <v>3722.4558436421994</v>
      </c>
    </row>
    <row r="103" spans="1:11" x14ac:dyDescent="0.25">
      <c r="A103" s="26">
        <v>53</v>
      </c>
      <c r="B103" s="82">
        <f t="shared" si="3"/>
        <v>0</v>
      </c>
      <c r="C103" s="58">
        <f t="shared" si="10"/>
        <v>104.50616427295054</v>
      </c>
      <c r="D103" s="83">
        <f t="shared" si="5"/>
        <v>445.77777777777789</v>
      </c>
      <c r="E103">
        <f t="shared" si="0"/>
        <v>0</v>
      </c>
      <c r="G103">
        <v>53</v>
      </c>
      <c r="H103" s="13">
        <f t="shared" si="6"/>
        <v>1.8572577375266519E-2</v>
      </c>
      <c r="I103">
        <f t="shared" si="7"/>
        <v>105.49051087383967</v>
      </c>
      <c r="J103">
        <f t="shared" si="1"/>
        <v>447.70908732707852</v>
      </c>
      <c r="K103" s="27">
        <f t="shared" si="2"/>
        <v>3723.0459951437592</v>
      </c>
    </row>
    <row r="104" spans="1:11" x14ac:dyDescent="0.25">
      <c r="A104" s="26">
        <v>54</v>
      </c>
      <c r="B104" s="82">
        <f t="shared" si="3"/>
        <v>0</v>
      </c>
      <c r="C104" s="58">
        <f t="shared" si="10"/>
        <v>104.50616427295054</v>
      </c>
      <c r="D104" s="83">
        <f t="shared" si="5"/>
        <v>445.77777777777789</v>
      </c>
      <c r="E104">
        <f t="shared" si="0"/>
        <v>0</v>
      </c>
      <c r="G104">
        <v>54</v>
      </c>
      <c r="H104" s="13">
        <f t="shared" si="6"/>
        <v>1.8572577375266519E-2</v>
      </c>
      <c r="I104">
        <f t="shared" si="7"/>
        <v>105.50908345121493</v>
      </c>
      <c r="J104">
        <f t="shared" si="1"/>
        <v>447.74455676668771</v>
      </c>
      <c r="K104" s="27">
        <f t="shared" si="2"/>
        <v>3723.635620380413</v>
      </c>
    </row>
    <row r="105" spans="1:11" x14ac:dyDescent="0.25">
      <c r="A105" s="26">
        <v>55</v>
      </c>
      <c r="B105" s="82">
        <f t="shared" si="3"/>
        <v>0</v>
      </c>
      <c r="C105" s="58">
        <f t="shared" si="10"/>
        <v>104.50616427295054</v>
      </c>
      <c r="D105" s="83">
        <f t="shared" si="5"/>
        <v>445.77777777777789</v>
      </c>
      <c r="E105">
        <f t="shared" si="0"/>
        <v>0</v>
      </c>
      <c r="G105">
        <v>55</v>
      </c>
      <c r="H105" s="13">
        <f t="shared" si="6"/>
        <v>1.8572577375266519E-2</v>
      </c>
      <c r="I105">
        <f t="shared" si="7"/>
        <v>105.5276560285902</v>
      </c>
      <c r="J105">
        <f t="shared" si="1"/>
        <v>447.77999179192449</v>
      </c>
      <c r="K105" s="27">
        <f t="shared" si="2"/>
        <v>3724.2247205240878</v>
      </c>
    </row>
    <row r="106" spans="1:11" x14ac:dyDescent="0.25">
      <c r="A106" s="26">
        <v>56</v>
      </c>
      <c r="B106" s="82">
        <f t="shared" si="3"/>
        <v>0</v>
      </c>
      <c r="C106" s="58">
        <f t="shared" si="10"/>
        <v>104.50616427295054</v>
      </c>
      <c r="D106" s="83">
        <f t="shared" si="5"/>
        <v>445.77777777777789</v>
      </c>
      <c r="E106">
        <f t="shared" si="0"/>
        <v>0</v>
      </c>
      <c r="G106">
        <v>56</v>
      </c>
      <c r="H106" s="13">
        <f t="shared" si="6"/>
        <v>1.8572577375266519E-2</v>
      </c>
      <c r="I106">
        <f t="shared" si="7"/>
        <v>105.54622860596547</v>
      </c>
      <c r="J106">
        <f t="shared" si="1"/>
        <v>447.8153924812699</v>
      </c>
      <c r="K106" s="27">
        <f t="shared" si="2"/>
        <v>3724.8132967420165</v>
      </c>
    </row>
    <row r="107" spans="1:11" x14ac:dyDescent="0.25">
      <c r="A107" s="26">
        <v>57</v>
      </c>
      <c r="B107" s="82">
        <f t="shared" si="3"/>
        <v>0</v>
      </c>
      <c r="C107" s="58">
        <f t="shared" si="10"/>
        <v>104.50616427295054</v>
      </c>
      <c r="D107" s="83">
        <f t="shared" si="5"/>
        <v>445.77777777777789</v>
      </c>
      <c r="E107">
        <f t="shared" si="0"/>
        <v>0</v>
      </c>
      <c r="G107">
        <v>57</v>
      </c>
      <c r="H107" s="13">
        <f t="shared" si="6"/>
        <v>1.8572577375266519E-2</v>
      </c>
      <c r="I107">
        <f t="shared" si="7"/>
        <v>105.56480118334073</v>
      </c>
      <c r="J107">
        <f t="shared" si="1"/>
        <v>447.85075891289068</v>
      </c>
      <c r="K107" s="27">
        <f t="shared" si="2"/>
        <v>3725.4013501967625</v>
      </c>
    </row>
    <row r="108" spans="1:11" x14ac:dyDescent="0.25">
      <c r="A108" s="26">
        <v>58</v>
      </c>
      <c r="B108" s="82">
        <f t="shared" si="3"/>
        <v>0</v>
      </c>
      <c r="C108" s="58">
        <f t="shared" si="10"/>
        <v>104.50616427295054</v>
      </c>
      <c r="D108" s="83">
        <f t="shared" si="5"/>
        <v>445.77777777777789</v>
      </c>
      <c r="E108">
        <f t="shared" si="0"/>
        <v>0</v>
      </c>
      <c r="G108">
        <v>58</v>
      </c>
      <c r="H108" s="13">
        <f t="shared" si="6"/>
        <v>1.8572577375266519E-2</v>
      </c>
      <c r="I108">
        <f t="shared" si="7"/>
        <v>105.583373760716</v>
      </c>
      <c r="J108">
        <f t="shared" si="1"/>
        <v>447.88609116464136</v>
      </c>
      <c r="K108" s="27">
        <f t="shared" si="2"/>
        <v>3725.9888820462506</v>
      </c>
    </row>
    <row r="109" spans="1:11" x14ac:dyDescent="0.25">
      <c r="A109" s="26">
        <v>59</v>
      </c>
      <c r="B109" s="82">
        <f t="shared" si="3"/>
        <v>0</v>
      </c>
      <c r="C109" s="58">
        <f t="shared" si="10"/>
        <v>104.50616427295054</v>
      </c>
      <c r="D109" s="83">
        <f t="shared" si="5"/>
        <v>445.77777777777789</v>
      </c>
      <c r="E109">
        <f t="shared" si="0"/>
        <v>0</v>
      </c>
      <c r="G109">
        <v>59</v>
      </c>
      <c r="H109" s="13">
        <f t="shared" si="6"/>
        <v>1.8572577375266519E-2</v>
      </c>
      <c r="I109">
        <f t="shared" si="7"/>
        <v>105.60194633809127</v>
      </c>
      <c r="J109">
        <f t="shared" si="1"/>
        <v>447.92138931406578</v>
      </c>
      <c r="K109" s="27">
        <f t="shared" si="2"/>
        <v>3726.5758934437854</v>
      </c>
    </row>
    <row r="110" spans="1:11" x14ac:dyDescent="0.25">
      <c r="A110" s="26">
        <v>60</v>
      </c>
      <c r="B110" s="82">
        <f t="shared" si="3"/>
        <v>0</v>
      </c>
      <c r="C110" s="58">
        <f t="shared" si="10"/>
        <v>104.50616427295054</v>
      </c>
      <c r="D110" s="83">
        <f t="shared" si="5"/>
        <v>445.77777777777789</v>
      </c>
      <c r="E110">
        <f t="shared" si="0"/>
        <v>0</v>
      </c>
      <c r="G110">
        <v>60</v>
      </c>
      <c r="H110" s="13">
        <f t="shared" si="6"/>
        <v>1.8572577375266519E-2</v>
      </c>
      <c r="I110">
        <f t="shared" si="7"/>
        <v>105.62051891546653</v>
      </c>
      <c r="J110">
        <f t="shared" si="1"/>
        <v>447.95665343839886</v>
      </c>
      <c r="K110" s="27">
        <f t="shared" si="2"/>
        <v>3727.1623855380817</v>
      </c>
    </row>
    <row r="111" spans="1:11" x14ac:dyDescent="0.25">
      <c r="A111" s="26">
        <v>61</v>
      </c>
      <c r="B111" s="82">
        <f t="shared" si="3"/>
        <v>0</v>
      </c>
      <c r="C111" s="58">
        <f t="shared" si="10"/>
        <v>104.50616427295054</v>
      </c>
      <c r="D111" s="83">
        <f t="shared" si="5"/>
        <v>445.77777777777789</v>
      </c>
      <c r="E111">
        <f t="shared" si="0"/>
        <v>0</v>
      </c>
      <c r="G111">
        <v>61</v>
      </c>
      <c r="H111" s="13">
        <f t="shared" si="6"/>
        <v>1.8572577375266519E-2</v>
      </c>
      <c r="I111">
        <f t="shared" si="7"/>
        <v>105.6390914928418</v>
      </c>
      <c r="J111">
        <f t="shared" si="1"/>
        <v>447.99188361456834</v>
      </c>
      <c r="K111" s="27">
        <f t="shared" si="2"/>
        <v>3727.7483594732912</v>
      </c>
    </row>
    <row r="112" spans="1:11" x14ac:dyDescent="0.25">
      <c r="A112" s="26">
        <v>62</v>
      </c>
      <c r="B112" s="82">
        <f t="shared" si="3"/>
        <v>0</v>
      </c>
      <c r="C112" s="58">
        <f t="shared" si="10"/>
        <v>104.50616427295054</v>
      </c>
      <c r="D112" s="83">
        <f t="shared" si="5"/>
        <v>445.77777777777789</v>
      </c>
      <c r="E112">
        <f t="shared" si="0"/>
        <v>0</v>
      </c>
      <c r="G112">
        <v>62</v>
      </c>
      <c r="H112" s="13">
        <f t="shared" si="6"/>
        <v>1.8572577375266519E-2</v>
      </c>
      <c r="I112">
        <f t="shared" si="7"/>
        <v>105.65766407021707</v>
      </c>
      <c r="J112">
        <f t="shared" si="1"/>
        <v>448.02707991919658</v>
      </c>
      <c r="K112" s="27">
        <f t="shared" si="2"/>
        <v>3728.3338163890253</v>
      </c>
    </row>
    <row r="113" spans="1:11" x14ac:dyDescent="0.25">
      <c r="A113" s="26">
        <v>63</v>
      </c>
      <c r="B113" s="82">
        <f t="shared" si="3"/>
        <v>0</v>
      </c>
      <c r="C113" s="58">
        <f t="shared" si="10"/>
        <v>104.50616427295054</v>
      </c>
      <c r="D113" s="83">
        <f t="shared" si="5"/>
        <v>445.77777777777789</v>
      </c>
      <c r="E113">
        <f t="shared" si="0"/>
        <v>0</v>
      </c>
      <c r="G113">
        <v>63</v>
      </c>
      <c r="H113" s="13">
        <f t="shared" si="6"/>
        <v>1.8572577375266519E-2</v>
      </c>
      <c r="I113">
        <f t="shared" si="7"/>
        <v>105.67623664759233</v>
      </c>
      <c r="J113">
        <f t="shared" si="1"/>
        <v>448.06224242860213</v>
      </c>
      <c r="K113" s="27">
        <f t="shared" si="2"/>
        <v>3728.9187574203793</v>
      </c>
    </row>
    <row r="114" spans="1:11" x14ac:dyDescent="0.25">
      <c r="A114" s="26">
        <v>64</v>
      </c>
      <c r="B114" s="82">
        <f t="shared" si="3"/>
        <v>0</v>
      </c>
      <c r="C114" s="58">
        <f t="shared" si="10"/>
        <v>104.50616427295054</v>
      </c>
      <c r="D114" s="83">
        <f t="shared" si="5"/>
        <v>445.77777777777789</v>
      </c>
      <c r="E114">
        <f t="shared" si="0"/>
        <v>0</v>
      </c>
      <c r="G114">
        <v>64</v>
      </c>
      <c r="H114" s="13">
        <f t="shared" si="6"/>
        <v>1.8572577375266519E-2</v>
      </c>
      <c r="I114">
        <f t="shared" si="7"/>
        <v>105.6948092249676</v>
      </c>
      <c r="J114">
        <f t="shared" si="1"/>
        <v>448.09737121880147</v>
      </c>
      <c r="K114" s="27">
        <f t="shared" si="2"/>
        <v>3729.5031836979638</v>
      </c>
    </row>
    <row r="115" spans="1:11" x14ac:dyDescent="0.25">
      <c r="A115" s="26">
        <v>65</v>
      </c>
      <c r="B115" s="82">
        <f t="shared" si="3"/>
        <v>0</v>
      </c>
      <c r="C115" s="58">
        <f t="shared" si="10"/>
        <v>104.50616427295054</v>
      </c>
      <c r="D115" s="83">
        <f t="shared" si="5"/>
        <v>445.77777777777789</v>
      </c>
      <c r="E115">
        <f t="shared" ref="E115:E178" si="11">((D115^2)+(D115*D116)+(D116^2))*B116/3</f>
        <v>0</v>
      </c>
      <c r="G115">
        <v>65</v>
      </c>
      <c r="H115" s="13">
        <f t="shared" si="6"/>
        <v>1.8572577375266519E-2</v>
      </c>
      <c r="I115">
        <f t="shared" si="7"/>
        <v>105.71338180234287</v>
      </c>
      <c r="J115">
        <f t="shared" ref="J115:J178" si="12">IF($G$28&lt;$C$14,0,((($C$11^2)-((I115-$C$13)^2))^0.5)+$C$16)</f>
        <v>448.13246636551082</v>
      </c>
      <c r="K115" s="27">
        <f t="shared" ref="K115:K178" si="13">((J115^2)+(J115*J116)+(J116^2))*H116/3</f>
        <v>3730.0870963479224</v>
      </c>
    </row>
    <row r="116" spans="1:11" x14ac:dyDescent="0.25">
      <c r="A116" s="26">
        <v>66</v>
      </c>
      <c r="B116" s="82">
        <f t="shared" ref="B116:B179" si="14">C116-C115</f>
        <v>0</v>
      </c>
      <c r="C116" s="58">
        <f t="shared" si="10"/>
        <v>104.50616427295054</v>
      </c>
      <c r="D116" s="83">
        <f t="shared" ref="D116:D179" si="15">IF($G$28&lt;$C$14,0,((($C$11^2)-((C116-$C$13)^2))^0.5)+$C$16)</f>
        <v>445.77777777777789</v>
      </c>
      <c r="E116">
        <f t="shared" si="11"/>
        <v>0</v>
      </c>
      <c r="G116">
        <v>66</v>
      </c>
      <c r="H116" s="13">
        <f t="shared" ref="H116:H179" si="16">I116-I115</f>
        <v>1.8572577375266519E-2</v>
      </c>
      <c r="I116">
        <f t="shared" ref="I116:I179" si="17">($G$27-$C$14)/2000+I115</f>
        <v>105.73195437971813</v>
      </c>
      <c r="J116">
        <f t="shared" si="12"/>
        <v>448.16752794414748</v>
      </c>
      <c r="K116" s="27">
        <f t="shared" si="13"/>
        <v>3730.6704964919591</v>
      </c>
    </row>
    <row r="117" spans="1:11" x14ac:dyDescent="0.25">
      <c r="A117" s="26">
        <v>67</v>
      </c>
      <c r="B117" s="82">
        <f t="shared" si="14"/>
        <v>0</v>
      </c>
      <c r="C117" s="58">
        <f t="shared" si="10"/>
        <v>104.50616427295054</v>
      </c>
      <c r="D117" s="83">
        <f t="shared" si="15"/>
        <v>445.77777777777789</v>
      </c>
      <c r="E117">
        <f t="shared" si="11"/>
        <v>0</v>
      </c>
      <c r="G117">
        <v>67</v>
      </c>
      <c r="H117" s="13">
        <f t="shared" si="16"/>
        <v>1.8572577375266519E-2</v>
      </c>
      <c r="I117">
        <f t="shared" si="17"/>
        <v>105.7505269570934</v>
      </c>
      <c r="J117">
        <f t="shared" si="12"/>
        <v>448.20255602983184</v>
      </c>
      <c r="K117" s="27">
        <f t="shared" si="13"/>
        <v>3731.2533852473643</v>
      </c>
    </row>
    <row r="118" spans="1:11" x14ac:dyDescent="0.25">
      <c r="A118" s="26">
        <v>68</v>
      </c>
      <c r="B118" s="82">
        <f t="shared" si="14"/>
        <v>0</v>
      </c>
      <c r="C118" s="58">
        <f t="shared" si="10"/>
        <v>104.50616427295054</v>
      </c>
      <c r="D118" s="83">
        <f t="shared" si="15"/>
        <v>445.77777777777789</v>
      </c>
      <c r="E118">
        <f t="shared" si="11"/>
        <v>0</v>
      </c>
      <c r="G118">
        <v>68</v>
      </c>
      <c r="H118" s="13">
        <f t="shared" si="16"/>
        <v>1.8572577375266519E-2</v>
      </c>
      <c r="I118">
        <f t="shared" si="17"/>
        <v>105.76909953446867</v>
      </c>
      <c r="J118">
        <f t="shared" si="12"/>
        <v>448.23755069738894</v>
      </c>
      <c r="K118" s="27">
        <f t="shared" si="13"/>
        <v>3731.8357637270396</v>
      </c>
    </row>
    <row r="119" spans="1:11" x14ac:dyDescent="0.25">
      <c r="A119" s="26">
        <v>69</v>
      </c>
      <c r="B119" s="82">
        <f t="shared" si="14"/>
        <v>0</v>
      </c>
      <c r="C119" s="58">
        <f t="shared" si="10"/>
        <v>104.50616427295054</v>
      </c>
      <c r="D119" s="83">
        <f t="shared" si="15"/>
        <v>445.77777777777789</v>
      </c>
      <c r="E119">
        <f t="shared" si="11"/>
        <v>0</v>
      </c>
      <c r="G119">
        <v>69</v>
      </c>
      <c r="H119" s="13">
        <f t="shared" si="16"/>
        <v>1.8572577375266519E-2</v>
      </c>
      <c r="I119">
        <f t="shared" si="17"/>
        <v>105.78767211184393</v>
      </c>
      <c r="J119">
        <f t="shared" si="12"/>
        <v>448.27251202134983</v>
      </c>
      <c r="K119" s="27">
        <f t="shared" si="13"/>
        <v>3732.4176330395153</v>
      </c>
    </row>
    <row r="120" spans="1:11" x14ac:dyDescent="0.25">
      <c r="A120" s="26">
        <v>70</v>
      </c>
      <c r="B120" s="82">
        <f t="shared" si="14"/>
        <v>0</v>
      </c>
      <c r="C120" s="58">
        <f t="shared" si="10"/>
        <v>104.50616427295054</v>
      </c>
      <c r="D120" s="83">
        <f t="shared" si="15"/>
        <v>445.77777777777789</v>
      </c>
      <c r="E120">
        <f t="shared" si="11"/>
        <v>0</v>
      </c>
      <c r="G120">
        <v>70</v>
      </c>
      <c r="H120" s="13">
        <f t="shared" si="16"/>
        <v>1.8572577375266519E-2</v>
      </c>
      <c r="I120">
        <f t="shared" si="17"/>
        <v>105.8062446892192</v>
      </c>
      <c r="J120">
        <f t="shared" si="12"/>
        <v>448.30744007595348</v>
      </c>
      <c r="K120" s="27">
        <f t="shared" si="13"/>
        <v>3732.9989942889874</v>
      </c>
    </row>
    <row r="121" spans="1:11" x14ac:dyDescent="0.25">
      <c r="A121" s="26">
        <v>71</v>
      </c>
      <c r="B121" s="82">
        <f t="shared" si="14"/>
        <v>0</v>
      </c>
      <c r="C121" s="58">
        <f t="shared" si="10"/>
        <v>104.50616427295054</v>
      </c>
      <c r="D121" s="83">
        <f t="shared" si="15"/>
        <v>445.77777777777789</v>
      </c>
      <c r="E121">
        <f t="shared" si="11"/>
        <v>0</v>
      </c>
      <c r="G121">
        <v>71</v>
      </c>
      <c r="H121" s="13">
        <f t="shared" si="16"/>
        <v>1.8572577375266519E-2</v>
      </c>
      <c r="I121">
        <f t="shared" si="17"/>
        <v>105.82481726659447</v>
      </c>
      <c r="J121">
        <f t="shared" si="12"/>
        <v>448.34233493514841</v>
      </c>
      <c r="K121" s="27">
        <f t="shared" si="13"/>
        <v>3733.5798485753271</v>
      </c>
    </row>
    <row r="122" spans="1:11" x14ac:dyDescent="0.25">
      <c r="A122" s="26">
        <v>72</v>
      </c>
      <c r="B122" s="82">
        <f t="shared" si="14"/>
        <v>0</v>
      </c>
      <c r="C122" s="58">
        <f t="shared" si="10"/>
        <v>104.50616427295054</v>
      </c>
      <c r="D122" s="83">
        <f t="shared" si="15"/>
        <v>445.77777777777789</v>
      </c>
      <c r="E122">
        <f t="shared" si="11"/>
        <v>0</v>
      </c>
      <c r="G122">
        <v>72</v>
      </c>
      <c r="H122" s="13">
        <f t="shared" si="16"/>
        <v>1.8572577375266519E-2</v>
      </c>
      <c r="I122">
        <f t="shared" si="17"/>
        <v>105.84338984396973</v>
      </c>
      <c r="J122">
        <f t="shared" si="12"/>
        <v>448.3771966725941</v>
      </c>
      <c r="K122" s="27">
        <f t="shared" si="13"/>
        <v>3734.1601969941144</v>
      </c>
    </row>
    <row r="123" spans="1:11" x14ac:dyDescent="0.25">
      <c r="A123" s="26">
        <v>73</v>
      </c>
      <c r="B123" s="82">
        <f t="shared" si="14"/>
        <v>0</v>
      </c>
      <c r="C123" s="58">
        <f t="shared" si="10"/>
        <v>104.50616427295054</v>
      </c>
      <c r="D123" s="83">
        <f t="shared" si="15"/>
        <v>445.77777777777789</v>
      </c>
      <c r="E123">
        <f t="shared" si="11"/>
        <v>0</v>
      </c>
      <c r="G123">
        <v>73</v>
      </c>
      <c r="H123" s="13">
        <f t="shared" si="16"/>
        <v>1.8572577375266519E-2</v>
      </c>
      <c r="I123">
        <f t="shared" si="17"/>
        <v>105.861962421345</v>
      </c>
      <c r="J123">
        <f t="shared" si="12"/>
        <v>448.41202536166259</v>
      </c>
      <c r="K123" s="27">
        <f t="shared" si="13"/>
        <v>3734.740040636656</v>
      </c>
    </row>
    <row r="124" spans="1:11" x14ac:dyDescent="0.25">
      <c r="A124" s="26">
        <v>74</v>
      </c>
      <c r="B124" s="82">
        <f t="shared" si="14"/>
        <v>0</v>
      </c>
      <c r="C124" s="58">
        <f t="shared" si="10"/>
        <v>104.50616427295054</v>
      </c>
      <c r="D124" s="83">
        <f t="shared" si="15"/>
        <v>445.77777777777789</v>
      </c>
      <c r="E124">
        <f t="shared" si="11"/>
        <v>0</v>
      </c>
      <c r="G124">
        <v>74</v>
      </c>
      <c r="H124" s="13">
        <f t="shared" si="16"/>
        <v>1.8572577375266519E-2</v>
      </c>
      <c r="I124">
        <f t="shared" si="17"/>
        <v>105.88053499872026</v>
      </c>
      <c r="J124">
        <f t="shared" si="12"/>
        <v>448.44682107544014</v>
      </c>
      <c r="K124" s="27">
        <f t="shared" si="13"/>
        <v>3735.3193805900132</v>
      </c>
    </row>
    <row r="125" spans="1:11" x14ac:dyDescent="0.25">
      <c r="A125" s="26">
        <v>75</v>
      </c>
      <c r="B125" s="82">
        <f t="shared" si="14"/>
        <v>0</v>
      </c>
      <c r="C125" s="58">
        <f t="shared" si="10"/>
        <v>104.50616427295054</v>
      </c>
      <c r="D125" s="83">
        <f t="shared" si="15"/>
        <v>445.77777777777789</v>
      </c>
      <c r="E125">
        <f t="shared" si="11"/>
        <v>0</v>
      </c>
      <c r="G125">
        <v>75</v>
      </c>
      <c r="H125" s="13">
        <f t="shared" si="16"/>
        <v>1.8572577375266519E-2</v>
      </c>
      <c r="I125">
        <f t="shared" si="17"/>
        <v>105.89910757609553</v>
      </c>
      <c r="J125">
        <f t="shared" si="12"/>
        <v>448.48158388672886</v>
      </c>
      <c r="K125" s="27">
        <f t="shared" si="13"/>
        <v>3735.8982179370232</v>
      </c>
    </row>
    <row r="126" spans="1:11" x14ac:dyDescent="0.25">
      <c r="A126" s="26">
        <v>76</v>
      </c>
      <c r="B126" s="82">
        <f t="shared" si="14"/>
        <v>0</v>
      </c>
      <c r="C126" s="58">
        <f t="shared" si="10"/>
        <v>104.50616427295054</v>
      </c>
      <c r="D126" s="83">
        <f t="shared" si="15"/>
        <v>445.77777777777789</v>
      </c>
      <c r="E126">
        <f t="shared" si="11"/>
        <v>0</v>
      </c>
      <c r="G126">
        <v>76</v>
      </c>
      <c r="H126" s="13">
        <f t="shared" si="16"/>
        <v>1.8572577375266519E-2</v>
      </c>
      <c r="I126">
        <f t="shared" si="17"/>
        <v>105.9176801534708</v>
      </c>
      <c r="J126">
        <f t="shared" si="12"/>
        <v>448.51631386804814</v>
      </c>
      <c r="K126" s="27">
        <f t="shared" si="13"/>
        <v>3736.4765537563194</v>
      </c>
    </row>
    <row r="127" spans="1:11" x14ac:dyDescent="0.25">
      <c r="A127" s="26">
        <v>77</v>
      </c>
      <c r="B127" s="82">
        <f t="shared" si="14"/>
        <v>0</v>
      </c>
      <c r="C127" s="58">
        <f t="shared" si="10"/>
        <v>104.50616427295054</v>
      </c>
      <c r="D127" s="83">
        <f t="shared" si="15"/>
        <v>445.77777777777789</v>
      </c>
      <c r="E127">
        <f t="shared" si="11"/>
        <v>0</v>
      </c>
      <c r="G127">
        <v>77</v>
      </c>
      <c r="H127" s="13">
        <f t="shared" si="16"/>
        <v>1.8572577375266519E-2</v>
      </c>
      <c r="I127">
        <f t="shared" si="17"/>
        <v>105.93625273084606</v>
      </c>
      <c r="J127">
        <f t="shared" si="12"/>
        <v>448.5510110916361</v>
      </c>
      <c r="K127" s="27">
        <f t="shared" si="13"/>
        <v>3737.0543891223583</v>
      </c>
    </row>
    <row r="128" spans="1:11" x14ac:dyDescent="0.25">
      <c r="A128" s="26">
        <v>78</v>
      </c>
      <c r="B128" s="82">
        <f t="shared" si="14"/>
        <v>0</v>
      </c>
      <c r="C128" s="58">
        <f t="shared" si="10"/>
        <v>104.50616427295054</v>
      </c>
      <c r="D128" s="83">
        <f t="shared" si="15"/>
        <v>445.77777777777789</v>
      </c>
      <c r="E128">
        <f t="shared" si="11"/>
        <v>0</v>
      </c>
      <c r="G128">
        <v>78</v>
      </c>
      <c r="H128" s="13">
        <f t="shared" si="16"/>
        <v>1.8572577375266519E-2</v>
      </c>
      <c r="I128">
        <f t="shared" si="17"/>
        <v>105.95482530822133</v>
      </c>
      <c r="J128">
        <f t="shared" si="12"/>
        <v>448.58567562945143</v>
      </c>
      <c r="K128" s="27">
        <f t="shared" si="13"/>
        <v>3737.6317251054411</v>
      </c>
    </row>
    <row r="129" spans="1:11" x14ac:dyDescent="0.25">
      <c r="A129" s="26">
        <v>79</v>
      </c>
      <c r="B129" s="82">
        <f t="shared" si="14"/>
        <v>0</v>
      </c>
      <c r="C129" s="58">
        <f t="shared" si="10"/>
        <v>104.50616427295054</v>
      </c>
      <c r="D129" s="83">
        <f t="shared" si="15"/>
        <v>445.77777777777789</v>
      </c>
      <c r="E129">
        <f t="shared" si="11"/>
        <v>0</v>
      </c>
      <c r="G129">
        <v>79</v>
      </c>
      <c r="H129" s="13">
        <f t="shared" si="16"/>
        <v>1.8572577375266519E-2</v>
      </c>
      <c r="I129">
        <f t="shared" si="17"/>
        <v>105.9733978855966</v>
      </c>
      <c r="J129">
        <f t="shared" si="12"/>
        <v>448.6203075531746</v>
      </c>
      <c r="K129" s="27">
        <f t="shared" si="13"/>
        <v>3738.208562771737</v>
      </c>
    </row>
    <row r="130" spans="1:11" x14ac:dyDescent="0.25">
      <c r="A130" s="26">
        <v>80</v>
      </c>
      <c r="B130" s="82">
        <f t="shared" si="14"/>
        <v>0</v>
      </c>
      <c r="C130" s="58">
        <f t="shared" si="10"/>
        <v>104.50616427295054</v>
      </c>
      <c r="D130" s="83">
        <f t="shared" si="15"/>
        <v>445.77777777777789</v>
      </c>
      <c r="E130">
        <f t="shared" si="11"/>
        <v>0</v>
      </c>
      <c r="G130">
        <v>80</v>
      </c>
      <c r="H130" s="13">
        <f t="shared" si="16"/>
        <v>1.8572577375266519E-2</v>
      </c>
      <c r="I130">
        <f t="shared" si="17"/>
        <v>105.99197046297186</v>
      </c>
      <c r="J130">
        <f t="shared" si="12"/>
        <v>448.65490693420958</v>
      </c>
      <c r="K130" s="27">
        <f t="shared" si="13"/>
        <v>3738.7849031833011</v>
      </c>
    </row>
    <row r="131" spans="1:11" x14ac:dyDescent="0.25">
      <c r="A131" s="26">
        <v>81</v>
      </c>
      <c r="B131" s="82">
        <f t="shared" si="14"/>
        <v>0</v>
      </c>
      <c r="C131" s="58">
        <f t="shared" si="10"/>
        <v>104.50616427295054</v>
      </c>
      <c r="D131" s="83">
        <f t="shared" si="15"/>
        <v>445.77777777777789</v>
      </c>
      <c r="E131">
        <f t="shared" si="11"/>
        <v>0</v>
      </c>
      <c r="G131">
        <v>81</v>
      </c>
      <c r="H131" s="13">
        <f t="shared" si="16"/>
        <v>1.8572577375266519E-2</v>
      </c>
      <c r="I131">
        <f t="shared" si="17"/>
        <v>106.01054304034713</v>
      </c>
      <c r="J131">
        <f t="shared" si="12"/>
        <v>448.68947384368511</v>
      </c>
      <c r="K131" s="27">
        <f t="shared" si="13"/>
        <v>3739.3607473981024</v>
      </c>
    </row>
    <row r="132" spans="1:11" x14ac:dyDescent="0.25">
      <c r="A132" s="26">
        <v>82</v>
      </c>
      <c r="B132" s="82">
        <f t="shared" si="14"/>
        <v>0</v>
      </c>
      <c r="C132" s="58">
        <f t="shared" si="10"/>
        <v>104.50616427295054</v>
      </c>
      <c r="D132" s="83">
        <f t="shared" si="15"/>
        <v>445.77777777777789</v>
      </c>
      <c r="E132">
        <f t="shared" si="11"/>
        <v>0</v>
      </c>
      <c r="G132">
        <v>82</v>
      </c>
      <c r="H132" s="13">
        <f t="shared" si="16"/>
        <v>1.8572577375266519E-2</v>
      </c>
      <c r="I132">
        <f t="shared" si="17"/>
        <v>106.0291156177224</v>
      </c>
      <c r="J132">
        <f t="shared" si="12"/>
        <v>448.72400835245645</v>
      </c>
      <c r="K132" s="27">
        <f t="shared" si="13"/>
        <v>3739.9360964700413</v>
      </c>
    </row>
    <row r="133" spans="1:11" x14ac:dyDescent="0.25">
      <c r="A133" s="26">
        <v>83</v>
      </c>
      <c r="B133" s="82">
        <f t="shared" si="14"/>
        <v>0</v>
      </c>
      <c r="C133" s="58">
        <f t="shared" si="10"/>
        <v>104.50616427295054</v>
      </c>
      <c r="D133" s="83">
        <f t="shared" si="15"/>
        <v>445.77777777777789</v>
      </c>
      <c r="E133">
        <f t="shared" si="11"/>
        <v>0</v>
      </c>
      <c r="G133">
        <v>83</v>
      </c>
      <c r="H133" s="13">
        <f t="shared" si="16"/>
        <v>1.8572577375266519E-2</v>
      </c>
      <c r="I133">
        <f t="shared" si="17"/>
        <v>106.04768819509766</v>
      </c>
      <c r="J133">
        <f t="shared" si="12"/>
        <v>448.75851053110671</v>
      </c>
      <c r="K133" s="27">
        <f t="shared" si="13"/>
        <v>3740.5109514489782</v>
      </c>
    </row>
    <row r="134" spans="1:11" x14ac:dyDescent="0.25">
      <c r="A134" s="26">
        <v>84</v>
      </c>
      <c r="B134" s="82">
        <f t="shared" si="14"/>
        <v>0</v>
      </c>
      <c r="C134" s="58">
        <f t="shared" si="10"/>
        <v>104.50616427295054</v>
      </c>
      <c r="D134" s="83">
        <f t="shared" si="15"/>
        <v>445.77777777777789</v>
      </c>
      <c r="E134">
        <f t="shared" si="11"/>
        <v>0</v>
      </c>
      <c r="G134">
        <v>84</v>
      </c>
      <c r="H134" s="13">
        <f t="shared" si="16"/>
        <v>1.8572577375266519E-2</v>
      </c>
      <c r="I134">
        <f t="shared" si="17"/>
        <v>106.06626077247293</v>
      </c>
      <c r="J134">
        <f t="shared" si="12"/>
        <v>448.79298044994835</v>
      </c>
      <c r="K134" s="27">
        <f t="shared" si="13"/>
        <v>3741.0853133807468</v>
      </c>
    </row>
    <row r="135" spans="1:11" x14ac:dyDescent="0.25">
      <c r="A135" s="26">
        <v>85</v>
      </c>
      <c r="B135" s="82">
        <f t="shared" si="14"/>
        <v>0</v>
      </c>
      <c r="C135" s="58">
        <f t="shared" si="10"/>
        <v>104.50616427295054</v>
      </c>
      <c r="D135" s="83">
        <f t="shared" si="15"/>
        <v>445.77777777777789</v>
      </c>
      <c r="E135">
        <f t="shared" si="11"/>
        <v>0</v>
      </c>
      <c r="G135">
        <v>85</v>
      </c>
      <c r="H135" s="13">
        <f t="shared" si="16"/>
        <v>1.8572577375266519E-2</v>
      </c>
      <c r="I135">
        <f t="shared" si="17"/>
        <v>106.0848333498482</v>
      </c>
      <c r="J135">
        <f t="shared" si="12"/>
        <v>448.82741817902462</v>
      </c>
      <c r="K135" s="27">
        <f t="shared" si="13"/>
        <v>3741.6591833071816</v>
      </c>
    </row>
    <row r="136" spans="1:11" x14ac:dyDescent="0.25">
      <c r="A136" s="26">
        <v>86</v>
      </c>
      <c r="B136" s="82">
        <f t="shared" si="14"/>
        <v>0</v>
      </c>
      <c r="C136" s="58">
        <f t="shared" si="10"/>
        <v>104.50616427295054</v>
      </c>
      <c r="D136" s="83">
        <f t="shared" si="15"/>
        <v>445.77777777777789</v>
      </c>
      <c r="E136">
        <f t="shared" si="11"/>
        <v>0</v>
      </c>
      <c r="G136">
        <v>86</v>
      </c>
      <c r="H136" s="13">
        <f t="shared" si="16"/>
        <v>1.8572577375266519E-2</v>
      </c>
      <c r="I136">
        <f t="shared" si="17"/>
        <v>106.10340592722346</v>
      </c>
      <c r="J136">
        <f t="shared" si="12"/>
        <v>448.861823788111</v>
      </c>
      <c r="K136" s="27">
        <f t="shared" si="13"/>
        <v>3742.2325622661356</v>
      </c>
    </row>
    <row r="137" spans="1:11" x14ac:dyDescent="0.25">
      <c r="A137" s="26">
        <v>87</v>
      </c>
      <c r="B137" s="82">
        <f t="shared" si="14"/>
        <v>0</v>
      </c>
      <c r="C137" s="58">
        <f t="shared" si="10"/>
        <v>104.50616427295054</v>
      </c>
      <c r="D137" s="83">
        <f t="shared" si="15"/>
        <v>445.77777777777789</v>
      </c>
      <c r="E137">
        <f t="shared" si="11"/>
        <v>0</v>
      </c>
      <c r="G137">
        <v>87</v>
      </c>
      <c r="H137" s="13">
        <f t="shared" si="16"/>
        <v>1.8572577375266519E-2</v>
      </c>
      <c r="I137">
        <f t="shared" si="17"/>
        <v>106.12197850459873</v>
      </c>
      <c r="J137">
        <f t="shared" si="12"/>
        <v>448.89619734671658</v>
      </c>
      <c r="K137" s="27">
        <f t="shared" si="13"/>
        <v>3742.805451291506</v>
      </c>
    </row>
    <row r="138" spans="1:11" x14ac:dyDescent="0.25">
      <c r="A138" s="26">
        <v>88</v>
      </c>
      <c r="B138" s="82">
        <f t="shared" si="14"/>
        <v>0</v>
      </c>
      <c r="C138" s="58">
        <f t="shared" si="10"/>
        <v>104.50616427295054</v>
      </c>
      <c r="D138" s="83">
        <f t="shared" si="15"/>
        <v>445.77777777777789</v>
      </c>
      <c r="E138">
        <f t="shared" si="11"/>
        <v>0</v>
      </c>
      <c r="G138">
        <v>88</v>
      </c>
      <c r="H138" s="13">
        <f t="shared" si="16"/>
        <v>1.8572577375266519E-2</v>
      </c>
      <c r="I138">
        <f t="shared" si="17"/>
        <v>106.140551081974</v>
      </c>
      <c r="J138">
        <f t="shared" si="12"/>
        <v>448.93053892408579</v>
      </c>
      <c r="K138" s="27">
        <f t="shared" si="13"/>
        <v>3743.3778514132532</v>
      </c>
    </row>
    <row r="139" spans="1:11" x14ac:dyDescent="0.25">
      <c r="A139" s="26">
        <v>89</v>
      </c>
      <c r="B139" s="82">
        <f t="shared" si="14"/>
        <v>0</v>
      </c>
      <c r="C139" s="58">
        <f t="shared" si="10"/>
        <v>104.50616427295054</v>
      </c>
      <c r="D139" s="83">
        <f t="shared" si="15"/>
        <v>445.77777777777789</v>
      </c>
      <c r="E139">
        <f t="shared" si="11"/>
        <v>0</v>
      </c>
      <c r="G139">
        <v>89</v>
      </c>
      <c r="H139" s="13">
        <f t="shared" si="16"/>
        <v>1.8572577375266519E-2</v>
      </c>
      <c r="I139">
        <f t="shared" si="17"/>
        <v>106.15912365934926</v>
      </c>
      <c r="J139">
        <f t="shared" si="12"/>
        <v>448.96484858919939</v>
      </c>
      <c r="K139" s="27">
        <f t="shared" si="13"/>
        <v>3743.9497636574192</v>
      </c>
    </row>
    <row r="140" spans="1:11" x14ac:dyDescent="0.25">
      <c r="A140" s="26">
        <v>90</v>
      </c>
      <c r="B140" s="82">
        <f t="shared" si="14"/>
        <v>0</v>
      </c>
      <c r="C140" s="58">
        <f t="shared" si="10"/>
        <v>104.50616427295054</v>
      </c>
      <c r="D140" s="83">
        <f t="shared" si="15"/>
        <v>445.77777777777789</v>
      </c>
      <c r="E140">
        <f t="shared" si="11"/>
        <v>0</v>
      </c>
      <c r="G140">
        <v>90</v>
      </c>
      <c r="H140" s="13">
        <f t="shared" si="16"/>
        <v>1.8572577375266519E-2</v>
      </c>
      <c r="I140">
        <f t="shared" si="17"/>
        <v>106.17769623672453</v>
      </c>
      <c r="J140">
        <f t="shared" si="12"/>
        <v>448.99912641077617</v>
      </c>
      <c r="K140" s="27">
        <f t="shared" si="13"/>
        <v>3744.5211890461537</v>
      </c>
    </row>
    <row r="141" spans="1:11" x14ac:dyDescent="0.25">
      <c r="A141" s="26">
        <v>91</v>
      </c>
      <c r="B141" s="82">
        <f t="shared" si="14"/>
        <v>0</v>
      </c>
      <c r="C141" s="58">
        <f t="shared" si="10"/>
        <v>104.50616427295054</v>
      </c>
      <c r="D141" s="83">
        <f t="shared" si="15"/>
        <v>445.77777777777789</v>
      </c>
      <c r="E141">
        <f t="shared" si="11"/>
        <v>0</v>
      </c>
      <c r="G141">
        <v>91</v>
      </c>
      <c r="H141" s="13">
        <f t="shared" si="16"/>
        <v>1.8572577375266519E-2</v>
      </c>
      <c r="I141">
        <f t="shared" si="17"/>
        <v>106.1962688140998</v>
      </c>
      <c r="J141">
        <f t="shared" si="12"/>
        <v>449.03337245727414</v>
      </c>
      <c r="K141" s="27">
        <f t="shared" si="13"/>
        <v>3745.0921285977292</v>
      </c>
    </row>
    <row r="142" spans="1:11" x14ac:dyDescent="0.25">
      <c r="A142" s="26">
        <v>92</v>
      </c>
      <c r="B142" s="82">
        <f t="shared" si="14"/>
        <v>0</v>
      </c>
      <c r="C142" s="58">
        <f t="shared" si="10"/>
        <v>104.50616427295054</v>
      </c>
      <c r="D142" s="83">
        <f t="shared" si="15"/>
        <v>445.77777777777789</v>
      </c>
      <c r="E142">
        <f t="shared" si="11"/>
        <v>0</v>
      </c>
      <c r="G142">
        <v>92</v>
      </c>
      <c r="H142" s="13">
        <f t="shared" si="16"/>
        <v>1.8572577375266519E-2</v>
      </c>
      <c r="I142">
        <f t="shared" si="17"/>
        <v>106.21484139147506</v>
      </c>
      <c r="J142">
        <f t="shared" si="12"/>
        <v>449.06758679689216</v>
      </c>
      <c r="K142" s="27">
        <f t="shared" si="13"/>
        <v>3745.6625833265662</v>
      </c>
    </row>
    <row r="143" spans="1:11" x14ac:dyDescent="0.25">
      <c r="A143" s="26">
        <v>93</v>
      </c>
      <c r="B143" s="82">
        <f t="shared" si="14"/>
        <v>0</v>
      </c>
      <c r="C143" s="58">
        <f t="shared" si="10"/>
        <v>104.50616427295054</v>
      </c>
      <c r="D143" s="83">
        <f t="shared" si="15"/>
        <v>445.77777777777789</v>
      </c>
      <c r="E143">
        <f t="shared" si="11"/>
        <v>0</v>
      </c>
      <c r="G143">
        <v>93</v>
      </c>
      <c r="H143" s="13">
        <f t="shared" si="16"/>
        <v>1.8572577375266519E-2</v>
      </c>
      <c r="I143">
        <f t="shared" si="17"/>
        <v>106.23341396885033</v>
      </c>
      <c r="J143">
        <f t="shared" si="12"/>
        <v>449.10176949757113</v>
      </c>
      <c r="K143" s="27">
        <f t="shared" si="13"/>
        <v>3746.2325542432541</v>
      </c>
    </row>
    <row r="144" spans="1:11" x14ac:dyDescent="0.25">
      <c r="A144" s="26">
        <v>94</v>
      </c>
      <c r="B144" s="82">
        <f t="shared" si="14"/>
        <v>0</v>
      </c>
      <c r="C144" s="58">
        <f t="shared" ref="C144:C207" si="18">($C$37-$C$36)/2000+C143</f>
        <v>104.50616427295054</v>
      </c>
      <c r="D144" s="83">
        <f t="shared" si="15"/>
        <v>445.77777777777789</v>
      </c>
      <c r="E144">
        <f t="shared" si="11"/>
        <v>0</v>
      </c>
      <c r="G144">
        <v>94</v>
      </c>
      <c r="H144" s="13">
        <f t="shared" si="16"/>
        <v>1.8572577375266519E-2</v>
      </c>
      <c r="I144">
        <f t="shared" si="17"/>
        <v>106.2519865462256</v>
      </c>
      <c r="J144">
        <f t="shared" si="12"/>
        <v>449.13592062699541</v>
      </c>
      <c r="K144" s="27">
        <f t="shared" si="13"/>
        <v>3746.8020423545645</v>
      </c>
    </row>
    <row r="145" spans="1:11" x14ac:dyDescent="0.25">
      <c r="A145" s="26">
        <v>95</v>
      </c>
      <c r="B145" s="82">
        <f t="shared" si="14"/>
        <v>0</v>
      </c>
      <c r="C145" s="58">
        <f t="shared" si="18"/>
        <v>104.50616427295054</v>
      </c>
      <c r="D145" s="83">
        <f t="shared" si="15"/>
        <v>445.77777777777789</v>
      </c>
      <c r="E145">
        <f t="shared" si="11"/>
        <v>0</v>
      </c>
      <c r="G145">
        <v>95</v>
      </c>
      <c r="H145" s="13">
        <f t="shared" si="16"/>
        <v>1.8572577375266519E-2</v>
      </c>
      <c r="I145">
        <f t="shared" si="17"/>
        <v>106.27055912360086</v>
      </c>
      <c r="J145">
        <f t="shared" si="12"/>
        <v>449.17004025259428</v>
      </c>
      <c r="K145" s="27">
        <f t="shared" si="13"/>
        <v>3747.3710486634827</v>
      </c>
    </row>
    <row r="146" spans="1:11" x14ac:dyDescent="0.25">
      <c r="A146" s="26">
        <v>96</v>
      </c>
      <c r="B146" s="82">
        <f t="shared" si="14"/>
        <v>0</v>
      </c>
      <c r="C146" s="58">
        <f t="shared" si="18"/>
        <v>104.50616427295054</v>
      </c>
      <c r="D146" s="83">
        <f t="shared" si="15"/>
        <v>445.77777777777789</v>
      </c>
      <c r="E146">
        <f t="shared" si="11"/>
        <v>0</v>
      </c>
      <c r="G146">
        <v>96</v>
      </c>
      <c r="H146" s="13">
        <f t="shared" si="16"/>
        <v>1.8572577375266519E-2</v>
      </c>
      <c r="I146">
        <f t="shared" si="17"/>
        <v>106.28913170097613</v>
      </c>
      <c r="J146">
        <f t="shared" si="12"/>
        <v>449.20412844154311</v>
      </c>
      <c r="K146" s="27">
        <f t="shared" si="13"/>
        <v>3747.9395741692147</v>
      </c>
    </row>
    <row r="147" spans="1:11" x14ac:dyDescent="0.25">
      <c r="A147" s="26">
        <v>97</v>
      </c>
      <c r="B147" s="82">
        <f t="shared" si="14"/>
        <v>0</v>
      </c>
      <c r="C147" s="58">
        <f t="shared" si="18"/>
        <v>104.50616427295054</v>
      </c>
      <c r="D147" s="83">
        <f t="shared" si="15"/>
        <v>445.77777777777789</v>
      </c>
      <c r="E147">
        <f t="shared" si="11"/>
        <v>0</v>
      </c>
      <c r="G147">
        <v>97</v>
      </c>
      <c r="H147" s="13">
        <f t="shared" si="16"/>
        <v>1.8572577375266519E-2</v>
      </c>
      <c r="I147">
        <f t="shared" si="17"/>
        <v>106.30770427835139</v>
      </c>
      <c r="J147">
        <f t="shared" si="12"/>
        <v>449.23818526076474</v>
      </c>
      <c r="K147" s="27">
        <f t="shared" si="13"/>
        <v>3748.5076198672182</v>
      </c>
    </row>
    <row r="148" spans="1:11" x14ac:dyDescent="0.25">
      <c r="A148" s="26">
        <v>98</v>
      </c>
      <c r="B148" s="82">
        <f t="shared" si="14"/>
        <v>0</v>
      </c>
      <c r="C148" s="58">
        <f t="shared" si="18"/>
        <v>104.50616427295054</v>
      </c>
      <c r="D148" s="83">
        <f t="shared" si="15"/>
        <v>445.77777777777789</v>
      </c>
      <c r="E148">
        <f t="shared" si="11"/>
        <v>0</v>
      </c>
      <c r="G148">
        <v>98</v>
      </c>
      <c r="H148" s="13">
        <f t="shared" si="16"/>
        <v>1.8572577375266519E-2</v>
      </c>
      <c r="I148">
        <f t="shared" si="17"/>
        <v>106.32627685572666</v>
      </c>
      <c r="J148">
        <f t="shared" si="12"/>
        <v>449.27221077693105</v>
      </c>
      <c r="K148" s="27">
        <f t="shared" si="13"/>
        <v>3749.0751867492168</v>
      </c>
    </row>
    <row r="149" spans="1:11" x14ac:dyDescent="0.25">
      <c r="A149" s="26">
        <v>99</v>
      </c>
      <c r="B149" s="82">
        <f t="shared" si="14"/>
        <v>0</v>
      </c>
      <c r="C149" s="58">
        <f t="shared" si="18"/>
        <v>104.50616427295054</v>
      </c>
      <c r="D149" s="83">
        <f t="shared" si="15"/>
        <v>445.77777777777789</v>
      </c>
      <c r="E149">
        <f t="shared" si="11"/>
        <v>0</v>
      </c>
      <c r="G149">
        <v>99</v>
      </c>
      <c r="H149" s="13">
        <f t="shared" si="16"/>
        <v>1.8572577375266519E-2</v>
      </c>
      <c r="I149">
        <f t="shared" si="17"/>
        <v>106.34484943310193</v>
      </c>
      <c r="J149">
        <f t="shared" si="12"/>
        <v>449.30620505646385</v>
      </c>
      <c r="K149" s="27">
        <f t="shared" si="13"/>
        <v>3749.6422758032218</v>
      </c>
    </row>
    <row r="150" spans="1:11" x14ac:dyDescent="0.25">
      <c r="A150" s="26">
        <v>100</v>
      </c>
      <c r="B150" s="82">
        <f t="shared" si="14"/>
        <v>0</v>
      </c>
      <c r="C150" s="58">
        <f t="shared" si="18"/>
        <v>104.50616427295054</v>
      </c>
      <c r="D150" s="83">
        <f t="shared" si="15"/>
        <v>445.77777777777789</v>
      </c>
      <c r="E150">
        <f t="shared" si="11"/>
        <v>0</v>
      </c>
      <c r="G150">
        <v>100</v>
      </c>
      <c r="H150" s="13">
        <f t="shared" si="16"/>
        <v>1.8572577375266519E-2</v>
      </c>
      <c r="I150">
        <f t="shared" si="17"/>
        <v>106.36342201047719</v>
      </c>
      <c r="J150">
        <f t="shared" si="12"/>
        <v>449.34016816553674</v>
      </c>
      <c r="K150" s="27">
        <f t="shared" si="13"/>
        <v>3750.2088880135489</v>
      </c>
    </row>
    <row r="151" spans="1:11" x14ac:dyDescent="0.25">
      <c r="A151" s="26">
        <v>101</v>
      </c>
      <c r="B151" s="82">
        <f t="shared" si="14"/>
        <v>0</v>
      </c>
      <c r="C151" s="58">
        <f t="shared" si="18"/>
        <v>104.50616427295054</v>
      </c>
      <c r="D151" s="83">
        <f t="shared" si="15"/>
        <v>445.77777777777789</v>
      </c>
      <c r="E151">
        <f t="shared" si="11"/>
        <v>0</v>
      </c>
      <c r="G151">
        <v>101</v>
      </c>
      <c r="H151" s="13">
        <f t="shared" si="16"/>
        <v>1.8572577375266519E-2</v>
      </c>
      <c r="I151">
        <f t="shared" si="17"/>
        <v>106.38199458785246</v>
      </c>
      <c r="J151">
        <f t="shared" si="12"/>
        <v>449.37410017007585</v>
      </c>
      <c r="K151" s="27">
        <f t="shared" si="13"/>
        <v>3750.7750243608407</v>
      </c>
    </row>
    <row r="152" spans="1:11" x14ac:dyDescent="0.25">
      <c r="A152" s="26">
        <v>102</v>
      </c>
      <c r="B152" s="82">
        <f t="shared" si="14"/>
        <v>0</v>
      </c>
      <c r="C152" s="58">
        <f t="shared" si="18"/>
        <v>104.50616427295054</v>
      </c>
      <c r="D152" s="83">
        <f t="shared" si="15"/>
        <v>445.77777777777789</v>
      </c>
      <c r="E152">
        <f t="shared" si="11"/>
        <v>0</v>
      </c>
      <c r="G152">
        <v>102</v>
      </c>
      <c r="H152" s="13">
        <f t="shared" si="16"/>
        <v>1.8572577375266519E-2</v>
      </c>
      <c r="I152">
        <f t="shared" si="17"/>
        <v>106.40056716522773</v>
      </c>
      <c r="J152">
        <f t="shared" si="12"/>
        <v>449.40800113576154</v>
      </c>
      <c r="K152" s="27">
        <f t="shared" si="13"/>
        <v>3751.3406858220856</v>
      </c>
    </row>
    <row r="153" spans="1:11" x14ac:dyDescent="0.25">
      <c r="A153" s="26">
        <v>103</v>
      </c>
      <c r="B153" s="82">
        <f t="shared" si="14"/>
        <v>0</v>
      </c>
      <c r="C153" s="58">
        <f t="shared" si="18"/>
        <v>104.50616427295054</v>
      </c>
      <c r="D153" s="83">
        <f t="shared" si="15"/>
        <v>445.77777777777789</v>
      </c>
      <c r="E153">
        <f t="shared" si="11"/>
        <v>0</v>
      </c>
      <c r="G153">
        <v>103</v>
      </c>
      <c r="H153" s="13">
        <f t="shared" si="16"/>
        <v>1.8572577375266519E-2</v>
      </c>
      <c r="I153">
        <f t="shared" si="17"/>
        <v>106.41913974260299</v>
      </c>
      <c r="J153">
        <f t="shared" si="12"/>
        <v>449.44187112802956</v>
      </c>
      <c r="K153" s="27">
        <f t="shared" si="13"/>
        <v>3751.9058733706352</v>
      </c>
    </row>
    <row r="154" spans="1:11" x14ac:dyDescent="0.25">
      <c r="A154" s="26">
        <v>104</v>
      </c>
      <c r="B154" s="82">
        <f t="shared" si="14"/>
        <v>0</v>
      </c>
      <c r="C154" s="58">
        <f t="shared" si="18"/>
        <v>104.50616427295054</v>
      </c>
      <c r="D154" s="83">
        <f t="shared" si="15"/>
        <v>445.77777777777789</v>
      </c>
      <c r="E154">
        <f t="shared" si="11"/>
        <v>0</v>
      </c>
      <c r="G154">
        <v>104</v>
      </c>
      <c r="H154" s="13">
        <f t="shared" si="16"/>
        <v>1.8572577375266519E-2</v>
      </c>
      <c r="I154">
        <f t="shared" si="17"/>
        <v>106.43771231997826</v>
      </c>
      <c r="J154">
        <f t="shared" si="12"/>
        <v>449.47571021207222</v>
      </c>
      <c r="K154" s="27">
        <f t="shared" si="13"/>
        <v>3752.4705879762223</v>
      </c>
    </row>
    <row r="155" spans="1:11" x14ac:dyDescent="0.25">
      <c r="A155" s="26">
        <v>105</v>
      </c>
      <c r="B155" s="82">
        <f t="shared" si="14"/>
        <v>0</v>
      </c>
      <c r="C155" s="58">
        <f t="shared" si="18"/>
        <v>104.50616427295054</v>
      </c>
      <c r="D155" s="83">
        <f t="shared" si="15"/>
        <v>445.77777777777789</v>
      </c>
      <c r="E155">
        <f t="shared" si="11"/>
        <v>0</v>
      </c>
      <c r="G155">
        <v>105</v>
      </c>
      <c r="H155" s="13">
        <f t="shared" si="16"/>
        <v>1.8572577375266519E-2</v>
      </c>
      <c r="I155">
        <f t="shared" si="17"/>
        <v>106.45628489735353</v>
      </c>
      <c r="J155">
        <f t="shared" si="12"/>
        <v>449.50951845283987</v>
      </c>
      <c r="K155" s="27">
        <f t="shared" si="13"/>
        <v>3753.0348306049855</v>
      </c>
    </row>
    <row r="156" spans="1:11" x14ac:dyDescent="0.25">
      <c r="A156" s="26">
        <v>106</v>
      </c>
      <c r="B156" s="82">
        <f t="shared" si="14"/>
        <v>0</v>
      </c>
      <c r="C156" s="58">
        <f t="shared" si="18"/>
        <v>104.50616427295054</v>
      </c>
      <c r="D156" s="83">
        <f t="shared" si="15"/>
        <v>445.77777777777789</v>
      </c>
      <c r="E156">
        <f t="shared" si="11"/>
        <v>0</v>
      </c>
      <c r="G156">
        <v>106</v>
      </c>
      <c r="H156" s="13">
        <f t="shared" si="16"/>
        <v>1.8572577375266519E-2</v>
      </c>
      <c r="I156">
        <f t="shared" si="17"/>
        <v>106.47485747472879</v>
      </c>
      <c r="J156">
        <f t="shared" si="12"/>
        <v>449.54329591504205</v>
      </c>
      <c r="K156" s="27">
        <f t="shared" si="13"/>
        <v>3753.5986022194825</v>
      </c>
    </row>
    <row r="157" spans="1:11" x14ac:dyDescent="0.25">
      <c r="A157" s="26">
        <v>107</v>
      </c>
      <c r="B157" s="82">
        <f t="shared" si="14"/>
        <v>0</v>
      </c>
      <c r="C157" s="58">
        <f t="shared" si="18"/>
        <v>104.50616427295054</v>
      </c>
      <c r="D157" s="83">
        <f t="shared" si="15"/>
        <v>445.77777777777789</v>
      </c>
      <c r="E157">
        <f t="shared" si="11"/>
        <v>0</v>
      </c>
      <c r="G157">
        <v>107</v>
      </c>
      <c r="H157" s="13">
        <f t="shared" si="16"/>
        <v>1.8572577375266519E-2</v>
      </c>
      <c r="I157">
        <f t="shared" si="17"/>
        <v>106.49343005210406</v>
      </c>
      <c r="J157">
        <f t="shared" si="12"/>
        <v>449.57704266314863</v>
      </c>
      <c r="K157" s="27">
        <f t="shared" si="13"/>
        <v>3754.1619037787063</v>
      </c>
    </row>
    <row r="158" spans="1:11" x14ac:dyDescent="0.25">
      <c r="A158" s="26">
        <v>108</v>
      </c>
      <c r="B158" s="82">
        <f t="shared" si="14"/>
        <v>0</v>
      </c>
      <c r="C158" s="58">
        <f t="shared" si="18"/>
        <v>104.50616427295054</v>
      </c>
      <c r="D158" s="83">
        <f t="shared" si="15"/>
        <v>445.77777777777789</v>
      </c>
      <c r="E158">
        <f t="shared" si="11"/>
        <v>0</v>
      </c>
      <c r="G158">
        <v>108</v>
      </c>
      <c r="H158" s="13">
        <f t="shared" si="16"/>
        <v>1.8572577375266519E-2</v>
      </c>
      <c r="I158">
        <f t="shared" si="17"/>
        <v>106.51200262947933</v>
      </c>
      <c r="J158">
        <f t="shared" si="12"/>
        <v>449.61075876139125</v>
      </c>
      <c r="K158" s="27">
        <f t="shared" si="13"/>
        <v>3754.7247362381149</v>
      </c>
    </row>
    <row r="159" spans="1:11" x14ac:dyDescent="0.25">
      <c r="A159" s="26">
        <v>109</v>
      </c>
      <c r="B159" s="82">
        <f t="shared" si="14"/>
        <v>0</v>
      </c>
      <c r="C159" s="58">
        <f t="shared" si="18"/>
        <v>104.50616427295054</v>
      </c>
      <c r="D159" s="83">
        <f t="shared" si="15"/>
        <v>445.77777777777789</v>
      </c>
      <c r="E159">
        <f t="shared" si="11"/>
        <v>0</v>
      </c>
      <c r="G159">
        <v>109</v>
      </c>
      <c r="H159" s="13">
        <f t="shared" si="16"/>
        <v>1.8572577375266519E-2</v>
      </c>
      <c r="I159">
        <f t="shared" si="17"/>
        <v>106.53057520685459</v>
      </c>
      <c r="J159">
        <f t="shared" si="12"/>
        <v>449.64444427376458</v>
      </c>
      <c r="K159" s="27">
        <f t="shared" si="13"/>
        <v>3755.2871005496377</v>
      </c>
    </row>
    <row r="160" spans="1:11" x14ac:dyDescent="0.25">
      <c r="A160" s="26">
        <v>110</v>
      </c>
      <c r="B160" s="82">
        <f t="shared" si="14"/>
        <v>0</v>
      </c>
      <c r="C160" s="58">
        <f t="shared" si="18"/>
        <v>104.50616427295054</v>
      </c>
      <c r="D160" s="83">
        <f t="shared" si="15"/>
        <v>445.77777777777789</v>
      </c>
      <c r="E160">
        <f t="shared" si="11"/>
        <v>0</v>
      </c>
      <c r="G160">
        <v>110</v>
      </c>
      <c r="H160" s="13">
        <f t="shared" si="16"/>
        <v>1.8572577375266519E-2</v>
      </c>
      <c r="I160">
        <f t="shared" si="17"/>
        <v>106.54914778422986</v>
      </c>
      <c r="J160">
        <f t="shared" si="12"/>
        <v>449.67809926402725</v>
      </c>
      <c r="K160" s="27">
        <f t="shared" si="13"/>
        <v>3755.8489976616988</v>
      </c>
    </row>
    <row r="161" spans="1:11" x14ac:dyDescent="0.25">
      <c r="A161" s="26">
        <v>111</v>
      </c>
      <c r="B161" s="82">
        <f t="shared" si="14"/>
        <v>0</v>
      </c>
      <c r="C161" s="58">
        <f t="shared" si="18"/>
        <v>104.50616427295054</v>
      </c>
      <c r="D161" s="83">
        <f t="shared" si="15"/>
        <v>445.77777777777789</v>
      </c>
      <c r="E161">
        <f t="shared" si="11"/>
        <v>0</v>
      </c>
      <c r="G161">
        <v>111</v>
      </c>
      <c r="H161" s="13">
        <f t="shared" si="16"/>
        <v>1.8572577375266519E-2</v>
      </c>
      <c r="I161">
        <f t="shared" si="17"/>
        <v>106.56772036160513</v>
      </c>
      <c r="J161">
        <f t="shared" si="12"/>
        <v>449.71172379570345</v>
      </c>
      <c r="K161" s="27">
        <f t="shared" si="13"/>
        <v>3756.410428519237</v>
      </c>
    </row>
    <row r="162" spans="1:11" x14ac:dyDescent="0.25">
      <c r="A162" s="26">
        <v>112</v>
      </c>
      <c r="B162" s="82">
        <f t="shared" si="14"/>
        <v>0</v>
      </c>
      <c r="C162" s="58">
        <f t="shared" si="18"/>
        <v>104.50616427295054</v>
      </c>
      <c r="D162" s="83">
        <f t="shared" si="15"/>
        <v>445.77777777777789</v>
      </c>
      <c r="E162">
        <f t="shared" si="11"/>
        <v>0</v>
      </c>
      <c r="G162">
        <v>112</v>
      </c>
      <c r="H162" s="13">
        <f t="shared" si="16"/>
        <v>1.8572577375266519E-2</v>
      </c>
      <c r="I162">
        <f t="shared" si="17"/>
        <v>106.58629293898039</v>
      </c>
      <c r="J162">
        <f t="shared" si="12"/>
        <v>449.74531793208382</v>
      </c>
      <c r="K162" s="27">
        <f t="shared" si="13"/>
        <v>3756.9713940637193</v>
      </c>
    </row>
    <row r="163" spans="1:11" x14ac:dyDescent="0.25">
      <c r="A163" s="26">
        <v>113</v>
      </c>
      <c r="B163" s="82">
        <f t="shared" si="14"/>
        <v>0</v>
      </c>
      <c r="C163" s="58">
        <f t="shared" si="18"/>
        <v>104.50616427295054</v>
      </c>
      <c r="D163" s="83">
        <f t="shared" si="15"/>
        <v>445.77777777777789</v>
      </c>
      <c r="E163">
        <f t="shared" si="11"/>
        <v>0</v>
      </c>
      <c r="G163">
        <v>113</v>
      </c>
      <c r="H163" s="13">
        <f t="shared" si="16"/>
        <v>1.8572577375266519E-2</v>
      </c>
      <c r="I163">
        <f t="shared" si="17"/>
        <v>106.60486551635566</v>
      </c>
      <c r="J163">
        <f t="shared" si="12"/>
        <v>449.77888173622682</v>
      </c>
      <c r="K163" s="27">
        <f t="shared" si="13"/>
        <v>3757.5318952331641</v>
      </c>
    </row>
    <row r="164" spans="1:11" x14ac:dyDescent="0.25">
      <c r="A164" s="26">
        <v>114</v>
      </c>
      <c r="B164" s="82">
        <f t="shared" si="14"/>
        <v>0</v>
      </c>
      <c r="C164" s="58">
        <f t="shared" si="18"/>
        <v>104.50616427295054</v>
      </c>
      <c r="D164" s="83">
        <f t="shared" si="15"/>
        <v>445.77777777777789</v>
      </c>
      <c r="E164">
        <f t="shared" si="11"/>
        <v>0</v>
      </c>
      <c r="G164">
        <v>114</v>
      </c>
      <c r="H164" s="13">
        <f t="shared" si="16"/>
        <v>1.8572577375266519E-2</v>
      </c>
      <c r="I164">
        <f t="shared" si="17"/>
        <v>106.62343809373093</v>
      </c>
      <c r="J164">
        <f t="shared" si="12"/>
        <v>449.81241527096006</v>
      </c>
      <c r="K164" s="27">
        <f t="shared" si="13"/>
        <v>3758.0919329621524</v>
      </c>
    </row>
    <row r="165" spans="1:11" x14ac:dyDescent="0.25">
      <c r="A165" s="26">
        <v>115</v>
      </c>
      <c r="B165" s="82">
        <f t="shared" si="14"/>
        <v>0</v>
      </c>
      <c r="C165" s="58">
        <f t="shared" si="18"/>
        <v>104.50616427295054</v>
      </c>
      <c r="D165" s="83">
        <f t="shared" si="15"/>
        <v>445.77777777777789</v>
      </c>
      <c r="E165">
        <f t="shared" si="11"/>
        <v>0</v>
      </c>
      <c r="G165">
        <v>115</v>
      </c>
      <c r="H165" s="13">
        <f t="shared" si="16"/>
        <v>1.8572577375266519E-2</v>
      </c>
      <c r="I165">
        <f t="shared" si="17"/>
        <v>106.64201067110619</v>
      </c>
      <c r="J165">
        <f t="shared" si="12"/>
        <v>449.8459185988811</v>
      </c>
      <c r="K165" s="27">
        <f t="shared" si="13"/>
        <v>3758.6515081818511</v>
      </c>
    </row>
    <row r="166" spans="1:11" x14ac:dyDescent="0.25">
      <c r="A166" s="26">
        <v>116</v>
      </c>
      <c r="B166" s="82">
        <f t="shared" si="14"/>
        <v>0</v>
      </c>
      <c r="C166" s="58">
        <f t="shared" si="18"/>
        <v>104.50616427295054</v>
      </c>
      <c r="D166" s="83">
        <f t="shared" si="15"/>
        <v>445.77777777777789</v>
      </c>
      <c r="E166">
        <f t="shared" si="11"/>
        <v>0</v>
      </c>
      <c r="G166">
        <v>116</v>
      </c>
      <c r="H166" s="13">
        <f t="shared" si="16"/>
        <v>1.8572577375266519E-2</v>
      </c>
      <c r="I166">
        <f t="shared" si="17"/>
        <v>106.66058324848146</v>
      </c>
      <c r="J166">
        <f t="shared" si="12"/>
        <v>449.87939178235899</v>
      </c>
      <c r="K166" s="27">
        <f t="shared" si="13"/>
        <v>3759.2106218200292</v>
      </c>
    </row>
    <row r="167" spans="1:11" x14ac:dyDescent="0.25">
      <c r="A167" s="26">
        <v>117</v>
      </c>
      <c r="B167" s="82">
        <f t="shared" si="14"/>
        <v>0</v>
      </c>
      <c r="C167" s="58">
        <f t="shared" si="18"/>
        <v>104.50616427295054</v>
      </c>
      <c r="D167" s="83">
        <f t="shared" si="15"/>
        <v>445.77777777777789</v>
      </c>
      <c r="E167">
        <f t="shared" si="11"/>
        <v>0</v>
      </c>
      <c r="G167">
        <v>117</v>
      </c>
      <c r="H167" s="13">
        <f t="shared" si="16"/>
        <v>1.8572577375266519E-2</v>
      </c>
      <c r="I167">
        <f t="shared" si="17"/>
        <v>106.67915582585672</v>
      </c>
      <c r="J167">
        <f t="shared" si="12"/>
        <v>449.91283488353531</v>
      </c>
      <c r="K167" s="27">
        <f t="shared" si="13"/>
        <v>3759.7692748010736</v>
      </c>
    </row>
    <row r="168" spans="1:11" x14ac:dyDescent="0.25">
      <c r="A168" s="26">
        <v>118</v>
      </c>
      <c r="B168" s="82">
        <f t="shared" si="14"/>
        <v>0</v>
      </c>
      <c r="C168" s="58">
        <f t="shared" si="18"/>
        <v>104.50616427295054</v>
      </c>
      <c r="D168" s="83">
        <f t="shared" si="15"/>
        <v>445.77777777777789</v>
      </c>
      <c r="E168">
        <f t="shared" si="11"/>
        <v>0</v>
      </c>
      <c r="G168">
        <v>118</v>
      </c>
      <c r="H168" s="13">
        <f t="shared" si="16"/>
        <v>1.8572577375266519E-2</v>
      </c>
      <c r="I168">
        <f t="shared" si="17"/>
        <v>106.69772840323199</v>
      </c>
      <c r="J168">
        <f t="shared" si="12"/>
        <v>449.94624796432532</v>
      </c>
      <c r="K168" s="27">
        <f t="shared" si="13"/>
        <v>3760.3274680460054</v>
      </c>
    </row>
    <row r="169" spans="1:11" x14ac:dyDescent="0.25">
      <c r="A169" s="26">
        <v>119</v>
      </c>
      <c r="B169" s="82">
        <f t="shared" si="14"/>
        <v>0</v>
      </c>
      <c r="C169" s="58">
        <f t="shared" si="18"/>
        <v>104.50616427295054</v>
      </c>
      <c r="D169" s="83">
        <f t="shared" si="15"/>
        <v>445.77777777777789</v>
      </c>
      <c r="E169">
        <f t="shared" si="11"/>
        <v>0</v>
      </c>
      <c r="G169">
        <v>119</v>
      </c>
      <c r="H169" s="13">
        <f t="shared" si="16"/>
        <v>1.8572577375266519E-2</v>
      </c>
      <c r="I169">
        <f t="shared" si="17"/>
        <v>106.71630098060726</v>
      </c>
      <c r="J169">
        <f t="shared" si="12"/>
        <v>449.97963108641909</v>
      </c>
      <c r="K169" s="27">
        <f t="shared" si="13"/>
        <v>3760.885202472502</v>
      </c>
    </row>
    <row r="170" spans="1:11" x14ac:dyDescent="0.25">
      <c r="A170" s="26">
        <v>120</v>
      </c>
      <c r="B170" s="82">
        <f t="shared" si="14"/>
        <v>0</v>
      </c>
      <c r="C170" s="58">
        <f t="shared" si="18"/>
        <v>104.50616427295054</v>
      </c>
      <c r="D170" s="83">
        <f t="shared" si="15"/>
        <v>445.77777777777789</v>
      </c>
      <c r="E170">
        <f t="shared" si="11"/>
        <v>0</v>
      </c>
      <c r="G170">
        <v>120</v>
      </c>
      <c r="H170" s="13">
        <f t="shared" si="16"/>
        <v>1.8572577375266519E-2</v>
      </c>
      <c r="I170">
        <f t="shared" si="17"/>
        <v>106.73487355798252</v>
      </c>
      <c r="J170">
        <f t="shared" si="12"/>
        <v>450.01298431128271</v>
      </c>
      <c r="K170" s="27">
        <f t="shared" si="13"/>
        <v>3761.4424789949098</v>
      </c>
    </row>
    <row r="171" spans="1:11" x14ac:dyDescent="0.25">
      <c r="A171" s="26">
        <v>121</v>
      </c>
      <c r="B171" s="82">
        <f t="shared" si="14"/>
        <v>0</v>
      </c>
      <c r="C171" s="58">
        <f t="shared" si="18"/>
        <v>104.50616427295054</v>
      </c>
      <c r="D171" s="83">
        <f t="shared" si="15"/>
        <v>445.77777777777789</v>
      </c>
      <c r="E171">
        <f t="shared" si="11"/>
        <v>0</v>
      </c>
      <c r="G171">
        <v>121</v>
      </c>
      <c r="H171" s="13">
        <f t="shared" si="16"/>
        <v>1.8572577375266519E-2</v>
      </c>
      <c r="I171">
        <f t="shared" si="17"/>
        <v>106.75344613535779</v>
      </c>
      <c r="J171">
        <f t="shared" si="12"/>
        <v>450.04630770015956</v>
      </c>
      <c r="K171" s="27">
        <f t="shared" si="13"/>
        <v>3761.9992985242643</v>
      </c>
    </row>
    <row r="172" spans="1:11" x14ac:dyDescent="0.25">
      <c r="A172" s="26">
        <v>122</v>
      </c>
      <c r="B172" s="82">
        <f t="shared" si="14"/>
        <v>0</v>
      </c>
      <c r="C172" s="58">
        <f t="shared" si="18"/>
        <v>104.50616427295054</v>
      </c>
      <c r="D172" s="83">
        <f t="shared" si="15"/>
        <v>445.77777777777789</v>
      </c>
      <c r="E172">
        <f t="shared" si="11"/>
        <v>0</v>
      </c>
      <c r="G172">
        <v>122</v>
      </c>
      <c r="H172" s="13">
        <f t="shared" si="16"/>
        <v>1.8572577375266519E-2</v>
      </c>
      <c r="I172">
        <f t="shared" si="17"/>
        <v>106.77201871273306</v>
      </c>
      <c r="J172">
        <f t="shared" si="12"/>
        <v>450.07960131407106</v>
      </c>
      <c r="K172" s="27">
        <f t="shared" si="13"/>
        <v>3762.5556619683011</v>
      </c>
    </row>
    <row r="173" spans="1:11" x14ac:dyDescent="0.25">
      <c r="A173" s="26">
        <v>123</v>
      </c>
      <c r="B173" s="82">
        <f t="shared" si="14"/>
        <v>0</v>
      </c>
      <c r="C173" s="58">
        <f t="shared" si="18"/>
        <v>104.50616427295054</v>
      </c>
      <c r="D173" s="83">
        <f t="shared" si="15"/>
        <v>445.77777777777789</v>
      </c>
      <c r="E173">
        <f t="shared" si="11"/>
        <v>0</v>
      </c>
      <c r="G173">
        <v>123</v>
      </c>
      <c r="H173" s="13">
        <f t="shared" si="16"/>
        <v>1.8572577375266519E-2</v>
      </c>
      <c r="I173">
        <f t="shared" si="17"/>
        <v>106.79059129010832</v>
      </c>
      <c r="J173">
        <f t="shared" si="12"/>
        <v>450.11286521381817</v>
      </c>
      <c r="K173" s="27">
        <f t="shared" si="13"/>
        <v>3763.1115702314805</v>
      </c>
    </row>
    <row r="174" spans="1:11" x14ac:dyDescent="0.25">
      <c r="A174" s="26">
        <v>124</v>
      </c>
      <c r="B174" s="82">
        <f t="shared" si="14"/>
        <v>0</v>
      </c>
      <c r="C174" s="58">
        <f t="shared" si="18"/>
        <v>104.50616427295054</v>
      </c>
      <c r="D174" s="83">
        <f t="shared" si="15"/>
        <v>445.77777777777789</v>
      </c>
      <c r="E174">
        <f t="shared" si="11"/>
        <v>0</v>
      </c>
      <c r="G174">
        <v>124</v>
      </c>
      <c r="H174" s="13">
        <f t="shared" si="16"/>
        <v>1.8572577375266519E-2</v>
      </c>
      <c r="I174">
        <f t="shared" si="17"/>
        <v>106.80916386748359</v>
      </c>
      <c r="J174">
        <f t="shared" si="12"/>
        <v>450.14609945998245</v>
      </c>
      <c r="K174" s="27">
        <f t="shared" si="13"/>
        <v>3763.6670242150017</v>
      </c>
    </row>
    <row r="175" spans="1:11" x14ac:dyDescent="0.25">
      <c r="A175" s="26">
        <v>125</v>
      </c>
      <c r="B175" s="82">
        <f t="shared" si="14"/>
        <v>0</v>
      </c>
      <c r="C175" s="58">
        <f t="shared" si="18"/>
        <v>104.50616427295054</v>
      </c>
      <c r="D175" s="83">
        <f t="shared" si="15"/>
        <v>445.77777777777789</v>
      </c>
      <c r="E175">
        <f t="shared" si="11"/>
        <v>0</v>
      </c>
      <c r="G175">
        <v>125</v>
      </c>
      <c r="H175" s="13">
        <f t="shared" si="16"/>
        <v>1.8572577375266519E-2</v>
      </c>
      <c r="I175">
        <f t="shared" si="17"/>
        <v>106.82773644485886</v>
      </c>
      <c r="J175">
        <f t="shared" si="12"/>
        <v>450.17930411292696</v>
      </c>
      <c r="K175" s="27">
        <f t="shared" si="13"/>
        <v>3764.222024816811</v>
      </c>
    </row>
    <row r="176" spans="1:11" x14ac:dyDescent="0.25">
      <c r="A176" s="26">
        <v>126</v>
      </c>
      <c r="B176" s="82">
        <f t="shared" si="14"/>
        <v>0</v>
      </c>
      <c r="C176" s="58">
        <f t="shared" si="18"/>
        <v>104.50616427295054</v>
      </c>
      <c r="D176" s="83">
        <f t="shared" si="15"/>
        <v>445.77777777777789</v>
      </c>
      <c r="E176">
        <f t="shared" si="11"/>
        <v>0</v>
      </c>
      <c r="G176">
        <v>126</v>
      </c>
      <c r="H176" s="13">
        <f t="shared" si="16"/>
        <v>1.8572577375266519E-2</v>
      </c>
      <c r="I176">
        <f t="shared" si="17"/>
        <v>106.84630902223412</v>
      </c>
      <c r="J176">
        <f t="shared" si="12"/>
        <v>450.21247923279753</v>
      </c>
      <c r="K176" s="27">
        <f t="shared" si="13"/>
        <v>3764.7765729316325</v>
      </c>
    </row>
    <row r="177" spans="1:11" x14ac:dyDescent="0.25">
      <c r="A177" s="26">
        <v>127</v>
      </c>
      <c r="B177" s="82">
        <f t="shared" si="14"/>
        <v>0</v>
      </c>
      <c r="C177" s="58">
        <f t="shared" si="18"/>
        <v>104.50616427295054</v>
      </c>
      <c r="D177" s="83">
        <f t="shared" si="15"/>
        <v>445.77777777777789</v>
      </c>
      <c r="E177">
        <f t="shared" si="11"/>
        <v>0</v>
      </c>
      <c r="G177">
        <v>127</v>
      </c>
      <c r="H177" s="13">
        <f t="shared" si="16"/>
        <v>1.8572577375266519E-2</v>
      </c>
      <c r="I177">
        <f t="shared" si="17"/>
        <v>106.86488159960939</v>
      </c>
      <c r="J177">
        <f t="shared" si="12"/>
        <v>450.24562487952392</v>
      </c>
      <c r="K177" s="27">
        <f t="shared" si="13"/>
        <v>3765.3306694509743</v>
      </c>
    </row>
    <row r="178" spans="1:11" x14ac:dyDescent="0.25">
      <c r="A178" s="26">
        <v>128</v>
      </c>
      <c r="B178" s="82">
        <f t="shared" si="14"/>
        <v>0</v>
      </c>
      <c r="C178" s="58">
        <f t="shared" si="18"/>
        <v>104.50616427295054</v>
      </c>
      <c r="D178" s="83">
        <f t="shared" si="15"/>
        <v>445.77777777777789</v>
      </c>
      <c r="E178">
        <f t="shared" si="11"/>
        <v>0</v>
      </c>
      <c r="G178">
        <v>128</v>
      </c>
      <c r="H178" s="13">
        <f t="shared" si="16"/>
        <v>1.8572577375266519E-2</v>
      </c>
      <c r="I178">
        <f t="shared" si="17"/>
        <v>106.88345417698466</v>
      </c>
      <c r="J178">
        <f t="shared" si="12"/>
        <v>450.27874111282074</v>
      </c>
      <c r="K178" s="27">
        <f t="shared" si="13"/>
        <v>3765.8843152631466</v>
      </c>
    </row>
    <row r="179" spans="1:11" x14ac:dyDescent="0.25">
      <c r="A179" s="26">
        <v>129</v>
      </c>
      <c r="B179" s="82">
        <f t="shared" si="14"/>
        <v>0</v>
      </c>
      <c r="C179" s="58">
        <f t="shared" si="18"/>
        <v>104.50616427295054</v>
      </c>
      <c r="D179" s="83">
        <f t="shared" si="15"/>
        <v>445.77777777777789</v>
      </c>
      <c r="E179">
        <f t="shared" ref="E179:E242" si="19">((D179^2)+(D179*D180)+(D180^2))*B180/3</f>
        <v>0</v>
      </c>
      <c r="G179">
        <v>129</v>
      </c>
      <c r="H179" s="13">
        <f t="shared" si="16"/>
        <v>1.8572577375266519E-2</v>
      </c>
      <c r="I179">
        <f t="shared" si="17"/>
        <v>106.90202675435992</v>
      </c>
      <c r="J179">
        <f t="shared" ref="J179:J242" si="20">IF($G$28&lt;$C$14,0,((($C$11^2)-((I179-$C$13)^2))^0.5)+$C$16)</f>
        <v>450.31182799218868</v>
      </c>
      <c r="K179" s="27">
        <f t="shared" ref="K179:K242" si="21">((J179^2)+(J179*J180)+(J180^2))*H180/3</f>
        <v>3766.4375112532798</v>
      </c>
    </row>
    <row r="180" spans="1:11" x14ac:dyDescent="0.25">
      <c r="A180" s="26">
        <v>130</v>
      </c>
      <c r="B180" s="82">
        <f t="shared" ref="B180:B243" si="22">C180-C179</f>
        <v>0</v>
      </c>
      <c r="C180" s="58">
        <f t="shared" si="18"/>
        <v>104.50616427295054</v>
      </c>
      <c r="D180" s="83">
        <f t="shared" ref="D180:D243" si="23">IF($G$28&lt;$C$14,0,((($C$11^2)-((C180-$C$13)^2))^0.5)+$C$16)</f>
        <v>445.77777777777789</v>
      </c>
      <c r="E180">
        <f t="shared" si="19"/>
        <v>0</v>
      </c>
      <c r="G180">
        <v>130</v>
      </c>
      <c r="H180" s="13">
        <f t="shared" ref="H180:H243" si="24">I180-I179</f>
        <v>1.8572577375266519E-2</v>
      </c>
      <c r="I180">
        <f t="shared" ref="I180:I243" si="25">($G$27-$C$14)/2000+I179</f>
        <v>106.92059933173519</v>
      </c>
      <c r="J180">
        <f t="shared" si="20"/>
        <v>450.34488557691549</v>
      </c>
      <c r="K180" s="27">
        <f t="shared" si="21"/>
        <v>3766.9902583033399</v>
      </c>
    </row>
    <row r="181" spans="1:11" x14ac:dyDescent="0.25">
      <c r="A181" s="26">
        <v>131</v>
      </c>
      <c r="B181" s="82">
        <f t="shared" si="22"/>
        <v>0</v>
      </c>
      <c r="C181" s="58">
        <f t="shared" si="18"/>
        <v>104.50616427295054</v>
      </c>
      <c r="D181" s="83">
        <f t="shared" si="23"/>
        <v>445.77777777777789</v>
      </c>
      <c r="E181">
        <f t="shared" si="19"/>
        <v>0</v>
      </c>
      <c r="G181">
        <v>131</v>
      </c>
      <c r="H181" s="13">
        <f t="shared" si="24"/>
        <v>1.8572577375266519E-2</v>
      </c>
      <c r="I181">
        <f t="shared" si="25"/>
        <v>106.93917190911046</v>
      </c>
      <c r="J181">
        <f t="shared" si="20"/>
        <v>450.37791392607699</v>
      </c>
      <c r="K181" s="27">
        <f t="shared" si="21"/>
        <v>3767.5425572921426</v>
      </c>
    </row>
    <row r="182" spans="1:11" x14ac:dyDescent="0.25">
      <c r="A182" s="26">
        <v>132</v>
      </c>
      <c r="B182" s="82">
        <f t="shared" si="22"/>
        <v>0</v>
      </c>
      <c r="C182" s="58">
        <f t="shared" si="18"/>
        <v>104.50616427295054</v>
      </c>
      <c r="D182" s="83">
        <f t="shared" si="23"/>
        <v>445.77777777777789</v>
      </c>
      <c r="E182">
        <f t="shared" si="19"/>
        <v>0</v>
      </c>
      <c r="G182">
        <v>132</v>
      </c>
      <c r="H182" s="13">
        <f t="shared" si="24"/>
        <v>1.8572577375266519E-2</v>
      </c>
      <c r="I182">
        <f t="shared" si="25"/>
        <v>106.95774448648572</v>
      </c>
      <c r="J182">
        <f t="shared" si="20"/>
        <v>450.41091309853846</v>
      </c>
      <c r="K182" s="27">
        <f t="shared" si="21"/>
        <v>3768.0944090953722</v>
      </c>
    </row>
    <row r="183" spans="1:11" x14ac:dyDescent="0.25">
      <c r="A183" s="26">
        <v>133</v>
      </c>
      <c r="B183" s="82">
        <f t="shared" si="22"/>
        <v>0</v>
      </c>
      <c r="C183" s="58">
        <f t="shared" si="18"/>
        <v>104.50616427295054</v>
      </c>
      <c r="D183" s="83">
        <f t="shared" si="23"/>
        <v>445.77777777777789</v>
      </c>
      <c r="E183">
        <f t="shared" si="19"/>
        <v>0</v>
      </c>
      <c r="G183">
        <v>133</v>
      </c>
      <c r="H183" s="13">
        <f t="shared" si="24"/>
        <v>1.8572577375266519E-2</v>
      </c>
      <c r="I183">
        <f t="shared" si="25"/>
        <v>106.97631706386099</v>
      </c>
      <c r="J183">
        <f t="shared" si="20"/>
        <v>450.44388315295521</v>
      </c>
      <c r="K183" s="27">
        <f t="shared" si="21"/>
        <v>3768.6458145855927</v>
      </c>
    </row>
    <row r="184" spans="1:11" x14ac:dyDescent="0.25">
      <c r="A184" s="26">
        <v>134</v>
      </c>
      <c r="B184" s="82">
        <f t="shared" si="22"/>
        <v>0</v>
      </c>
      <c r="C184" s="58">
        <f t="shared" si="18"/>
        <v>104.50616427295054</v>
      </c>
      <c r="D184" s="83">
        <f t="shared" si="23"/>
        <v>445.77777777777789</v>
      </c>
      <c r="E184">
        <f t="shared" si="19"/>
        <v>0</v>
      </c>
      <c r="G184">
        <v>134</v>
      </c>
      <c r="H184" s="13">
        <f t="shared" si="24"/>
        <v>1.8572577375266519E-2</v>
      </c>
      <c r="I184">
        <f t="shared" si="25"/>
        <v>106.99488964123626</v>
      </c>
      <c r="J184">
        <f t="shared" si="20"/>
        <v>450.47682414777404</v>
      </c>
      <c r="K184" s="27">
        <f t="shared" si="21"/>
        <v>3769.1967746322698</v>
      </c>
    </row>
    <row r="185" spans="1:11" x14ac:dyDescent="0.25">
      <c r="A185" s="26">
        <v>135</v>
      </c>
      <c r="B185" s="82">
        <f t="shared" si="22"/>
        <v>0</v>
      </c>
      <c r="C185" s="58">
        <f t="shared" si="18"/>
        <v>104.50616427295054</v>
      </c>
      <c r="D185" s="83">
        <f t="shared" si="23"/>
        <v>445.77777777777789</v>
      </c>
      <c r="E185">
        <f t="shared" si="19"/>
        <v>0</v>
      </c>
      <c r="G185">
        <v>135</v>
      </c>
      <c r="H185" s="13">
        <f t="shared" si="24"/>
        <v>1.8572577375266519E-2</v>
      </c>
      <c r="I185">
        <f t="shared" si="25"/>
        <v>107.01346221861152</v>
      </c>
      <c r="J185">
        <f t="shared" si="20"/>
        <v>450.5097361412341</v>
      </c>
      <c r="K185" s="27">
        <f t="shared" si="21"/>
        <v>3769.7472901017786</v>
      </c>
    </row>
    <row r="186" spans="1:11" x14ac:dyDescent="0.25">
      <c r="A186" s="26">
        <v>136</v>
      </c>
      <c r="B186" s="82">
        <f t="shared" si="22"/>
        <v>0</v>
      </c>
      <c r="C186" s="58">
        <f t="shared" si="18"/>
        <v>104.50616427295054</v>
      </c>
      <c r="D186" s="83">
        <f t="shared" si="23"/>
        <v>445.77777777777789</v>
      </c>
      <c r="E186">
        <f t="shared" si="19"/>
        <v>0</v>
      </c>
      <c r="G186">
        <v>136</v>
      </c>
      <c r="H186" s="13">
        <f t="shared" si="24"/>
        <v>1.8572577375266519E-2</v>
      </c>
      <c r="I186">
        <f t="shared" si="25"/>
        <v>107.03203479598679</v>
      </c>
      <c r="J186">
        <f t="shared" si="20"/>
        <v>450.54261919136792</v>
      </c>
      <c r="K186" s="27">
        <f t="shared" si="21"/>
        <v>3770.2973618574265</v>
      </c>
    </row>
    <row r="187" spans="1:11" x14ac:dyDescent="0.25">
      <c r="A187" s="26">
        <v>137</v>
      </c>
      <c r="B187" s="82">
        <f t="shared" si="22"/>
        <v>0</v>
      </c>
      <c r="C187" s="58">
        <f t="shared" si="18"/>
        <v>104.50616427295054</v>
      </c>
      <c r="D187" s="83">
        <f t="shared" si="23"/>
        <v>445.77777777777789</v>
      </c>
      <c r="E187">
        <f t="shared" si="19"/>
        <v>0</v>
      </c>
      <c r="G187">
        <v>137</v>
      </c>
      <c r="H187" s="13">
        <f t="shared" si="24"/>
        <v>1.8572577375266519E-2</v>
      </c>
      <c r="I187">
        <f t="shared" si="25"/>
        <v>107.05060737336206</v>
      </c>
      <c r="J187">
        <f t="shared" si="20"/>
        <v>450.57547335600248</v>
      </c>
      <c r="K187" s="27">
        <f t="shared" si="21"/>
        <v>3770.8469907594645</v>
      </c>
    </row>
    <row r="188" spans="1:11" x14ac:dyDescent="0.25">
      <c r="A188" s="26">
        <v>138</v>
      </c>
      <c r="B188" s="82">
        <f t="shared" si="22"/>
        <v>0</v>
      </c>
      <c r="C188" s="58">
        <f t="shared" si="18"/>
        <v>104.50616427295054</v>
      </c>
      <c r="D188" s="83">
        <f t="shared" si="23"/>
        <v>445.77777777777789</v>
      </c>
      <c r="E188">
        <f t="shared" si="19"/>
        <v>0</v>
      </c>
      <c r="G188">
        <v>138</v>
      </c>
      <c r="H188" s="13">
        <f t="shared" si="24"/>
        <v>1.8572577375266519E-2</v>
      </c>
      <c r="I188">
        <f t="shared" si="25"/>
        <v>107.06917995073732</v>
      </c>
      <c r="J188">
        <f t="shared" si="20"/>
        <v>450.60829869276017</v>
      </c>
      <c r="K188" s="27">
        <f t="shared" si="21"/>
        <v>3771.3961776651008</v>
      </c>
    </row>
    <row r="189" spans="1:11" x14ac:dyDescent="0.25">
      <c r="A189" s="26">
        <v>139</v>
      </c>
      <c r="B189" s="82">
        <f t="shared" si="22"/>
        <v>0</v>
      </c>
      <c r="C189" s="58">
        <f t="shared" si="18"/>
        <v>104.50616427295054</v>
      </c>
      <c r="D189" s="83">
        <f t="shared" si="23"/>
        <v>445.77777777777789</v>
      </c>
      <c r="E189">
        <f t="shared" si="19"/>
        <v>0</v>
      </c>
      <c r="G189">
        <v>139</v>
      </c>
      <c r="H189" s="13">
        <f t="shared" si="24"/>
        <v>1.8572577375266519E-2</v>
      </c>
      <c r="I189">
        <f t="shared" si="25"/>
        <v>107.08775252811259</v>
      </c>
      <c r="J189">
        <f t="shared" si="20"/>
        <v>450.64109525905997</v>
      </c>
      <c r="K189" s="27">
        <f t="shared" si="21"/>
        <v>3771.9449234285216</v>
      </c>
    </row>
    <row r="190" spans="1:11" x14ac:dyDescent="0.25">
      <c r="A190" s="26">
        <v>140</v>
      </c>
      <c r="B190" s="82">
        <f t="shared" si="22"/>
        <v>0</v>
      </c>
      <c r="C190" s="58">
        <f t="shared" si="18"/>
        <v>104.50616427295054</v>
      </c>
      <c r="D190" s="83">
        <f t="shared" si="23"/>
        <v>445.77777777777789</v>
      </c>
      <c r="E190">
        <f t="shared" si="19"/>
        <v>0</v>
      </c>
      <c r="G190">
        <v>140</v>
      </c>
      <c r="H190" s="13">
        <f t="shared" si="24"/>
        <v>1.8572577375266519E-2</v>
      </c>
      <c r="I190">
        <f t="shared" si="25"/>
        <v>107.10632510548785</v>
      </c>
      <c r="J190">
        <f t="shared" si="20"/>
        <v>450.67386311211834</v>
      </c>
      <c r="K190" s="27">
        <f t="shared" si="21"/>
        <v>3772.4932289009007</v>
      </c>
    </row>
    <row r="191" spans="1:11" x14ac:dyDescent="0.25">
      <c r="A191" s="26">
        <v>141</v>
      </c>
      <c r="B191" s="82">
        <f t="shared" si="22"/>
        <v>0</v>
      </c>
      <c r="C191" s="58">
        <f t="shared" si="18"/>
        <v>104.50616427295054</v>
      </c>
      <c r="D191" s="83">
        <f t="shared" si="23"/>
        <v>445.77777777777789</v>
      </c>
      <c r="E191">
        <f t="shared" si="19"/>
        <v>0</v>
      </c>
      <c r="G191">
        <v>141</v>
      </c>
      <c r="H191" s="13">
        <f t="shared" si="24"/>
        <v>1.8572577375266519E-2</v>
      </c>
      <c r="I191">
        <f t="shared" si="25"/>
        <v>107.12489768286312</v>
      </c>
      <c r="J191">
        <f t="shared" si="20"/>
        <v>450.70660230895004</v>
      </c>
      <c r="K191" s="27">
        <f t="shared" si="21"/>
        <v>3773.0410949304146</v>
      </c>
    </row>
    <row r="192" spans="1:11" x14ac:dyDescent="0.25">
      <c r="A192" s="26">
        <v>142</v>
      </c>
      <c r="B192" s="82">
        <f t="shared" si="22"/>
        <v>0</v>
      </c>
      <c r="C192" s="58">
        <f t="shared" si="18"/>
        <v>104.50616427295054</v>
      </c>
      <c r="D192" s="83">
        <f t="shared" si="23"/>
        <v>445.77777777777789</v>
      </c>
      <c r="E192">
        <f t="shared" si="19"/>
        <v>0</v>
      </c>
      <c r="G192">
        <v>142</v>
      </c>
      <c r="H192" s="13">
        <f t="shared" si="24"/>
        <v>1.8572577375266519E-2</v>
      </c>
      <c r="I192">
        <f t="shared" si="25"/>
        <v>107.14347026023839</v>
      </c>
      <c r="J192">
        <f t="shared" si="20"/>
        <v>450.73931290636961</v>
      </c>
      <c r="K192" s="27">
        <f t="shared" si="21"/>
        <v>3773.5885223622613</v>
      </c>
    </row>
    <row r="193" spans="1:11" x14ac:dyDescent="0.25">
      <c r="A193" s="26">
        <v>143</v>
      </c>
      <c r="B193" s="82">
        <f t="shared" si="22"/>
        <v>0</v>
      </c>
      <c r="C193" s="58">
        <f t="shared" si="18"/>
        <v>104.50616427295054</v>
      </c>
      <c r="D193" s="83">
        <f t="shared" si="23"/>
        <v>445.77777777777789</v>
      </c>
      <c r="E193">
        <f t="shared" si="19"/>
        <v>0</v>
      </c>
      <c r="G193">
        <v>143</v>
      </c>
      <c r="H193" s="13">
        <f t="shared" si="24"/>
        <v>1.8572577375266519E-2</v>
      </c>
      <c r="I193">
        <f t="shared" si="25"/>
        <v>107.16204283761365</v>
      </c>
      <c r="J193">
        <f t="shared" si="20"/>
        <v>450.77199496099172</v>
      </c>
      <c r="K193" s="27">
        <f t="shared" si="21"/>
        <v>3774.1355120386729</v>
      </c>
    </row>
    <row r="194" spans="1:11" x14ac:dyDescent="0.25">
      <c r="A194" s="26">
        <v>144</v>
      </c>
      <c r="B194" s="82">
        <f t="shared" si="22"/>
        <v>0</v>
      </c>
      <c r="C194" s="58">
        <f t="shared" si="18"/>
        <v>104.50616427295054</v>
      </c>
      <c r="D194" s="83">
        <f t="shared" si="23"/>
        <v>445.77777777777789</v>
      </c>
      <c r="E194">
        <f t="shared" si="19"/>
        <v>0</v>
      </c>
      <c r="G194">
        <v>144</v>
      </c>
      <c r="H194" s="13">
        <f t="shared" si="24"/>
        <v>1.8572577375266519E-2</v>
      </c>
      <c r="I194">
        <f t="shared" si="25"/>
        <v>107.18061541498892</v>
      </c>
      <c r="J194">
        <f t="shared" si="20"/>
        <v>450.80464852923291</v>
      </c>
      <c r="K194" s="27">
        <f t="shared" si="21"/>
        <v>3774.6820647989298</v>
      </c>
    </row>
    <row r="195" spans="1:11" x14ac:dyDescent="0.25">
      <c r="A195" s="26">
        <v>145</v>
      </c>
      <c r="B195" s="82">
        <f t="shared" si="22"/>
        <v>0</v>
      </c>
      <c r="C195" s="58">
        <f t="shared" si="18"/>
        <v>104.50616427295054</v>
      </c>
      <c r="D195" s="83">
        <f t="shared" si="23"/>
        <v>445.77777777777789</v>
      </c>
      <c r="E195">
        <f t="shared" si="19"/>
        <v>0</v>
      </c>
      <c r="G195">
        <v>145</v>
      </c>
      <c r="H195" s="13">
        <f t="shared" si="24"/>
        <v>1.8572577375266519E-2</v>
      </c>
      <c r="I195">
        <f t="shared" si="25"/>
        <v>107.19918799236419</v>
      </c>
      <c r="J195">
        <f t="shared" si="20"/>
        <v>450.83727366731176</v>
      </c>
      <c r="K195" s="27">
        <f t="shared" si="21"/>
        <v>3775.2281814793732</v>
      </c>
    </row>
    <row r="196" spans="1:11" x14ac:dyDescent="0.25">
      <c r="A196" s="26">
        <v>146</v>
      </c>
      <c r="B196" s="82">
        <f t="shared" si="22"/>
        <v>0</v>
      </c>
      <c r="C196" s="58">
        <f t="shared" si="18"/>
        <v>104.50616427295054</v>
      </c>
      <c r="D196" s="83">
        <f t="shared" si="23"/>
        <v>445.77777777777789</v>
      </c>
      <c r="E196">
        <f t="shared" si="19"/>
        <v>0</v>
      </c>
      <c r="G196">
        <v>146</v>
      </c>
      <c r="H196" s="13">
        <f t="shared" si="24"/>
        <v>1.8572577375266519E-2</v>
      </c>
      <c r="I196">
        <f t="shared" si="25"/>
        <v>107.21776056973945</v>
      </c>
      <c r="J196">
        <f t="shared" si="20"/>
        <v>450.86987043125049</v>
      </c>
      <c r="K196" s="27">
        <f t="shared" si="21"/>
        <v>3775.7738629134251</v>
      </c>
    </row>
    <row r="197" spans="1:11" x14ac:dyDescent="0.25">
      <c r="A197" s="26">
        <v>147</v>
      </c>
      <c r="B197" s="82">
        <f t="shared" si="22"/>
        <v>0</v>
      </c>
      <c r="C197" s="58">
        <f t="shared" si="18"/>
        <v>104.50616427295054</v>
      </c>
      <c r="D197" s="83">
        <f t="shared" si="23"/>
        <v>445.77777777777789</v>
      </c>
      <c r="E197">
        <f t="shared" si="19"/>
        <v>0</v>
      </c>
      <c r="G197">
        <v>147</v>
      </c>
      <c r="H197" s="13">
        <f t="shared" si="24"/>
        <v>1.8572577375266519E-2</v>
      </c>
      <c r="I197">
        <f t="shared" si="25"/>
        <v>107.23633314711472</v>
      </c>
      <c r="J197">
        <f t="shared" si="20"/>
        <v>450.90243887687569</v>
      </c>
      <c r="K197" s="27">
        <f t="shared" si="21"/>
        <v>3776.3191099315968</v>
      </c>
    </row>
    <row r="198" spans="1:11" x14ac:dyDescent="0.25">
      <c r="A198" s="26">
        <v>148</v>
      </c>
      <c r="B198" s="82">
        <f t="shared" si="22"/>
        <v>0</v>
      </c>
      <c r="C198" s="58">
        <f t="shared" si="18"/>
        <v>104.50616427295054</v>
      </c>
      <c r="D198" s="83">
        <f t="shared" si="23"/>
        <v>445.77777777777789</v>
      </c>
      <c r="E198">
        <f t="shared" si="19"/>
        <v>0</v>
      </c>
      <c r="G198">
        <v>148</v>
      </c>
      <c r="H198" s="13">
        <f t="shared" si="24"/>
        <v>1.8572577375266519E-2</v>
      </c>
      <c r="I198">
        <f t="shared" si="25"/>
        <v>107.25490572448999</v>
      </c>
      <c r="J198">
        <f t="shared" si="20"/>
        <v>450.93497905981923</v>
      </c>
      <c r="K198" s="27">
        <f t="shared" si="21"/>
        <v>3776.8639233615067</v>
      </c>
    </row>
    <row r="199" spans="1:11" x14ac:dyDescent="0.25">
      <c r="A199" s="26">
        <v>149</v>
      </c>
      <c r="B199" s="82">
        <f t="shared" si="22"/>
        <v>0</v>
      </c>
      <c r="C199" s="58">
        <f t="shared" si="18"/>
        <v>104.50616427295054</v>
      </c>
      <c r="D199" s="83">
        <f t="shared" si="23"/>
        <v>445.77777777777789</v>
      </c>
      <c r="E199">
        <f t="shared" si="19"/>
        <v>0</v>
      </c>
      <c r="G199">
        <v>149</v>
      </c>
      <c r="H199" s="13">
        <f t="shared" si="24"/>
        <v>1.8572577375266519E-2</v>
      </c>
      <c r="I199">
        <f t="shared" si="25"/>
        <v>107.27347830186525</v>
      </c>
      <c r="J199">
        <f t="shared" si="20"/>
        <v>450.96749103551923</v>
      </c>
      <c r="K199" s="27">
        <f t="shared" si="21"/>
        <v>3777.4083040278929</v>
      </c>
    </row>
    <row r="200" spans="1:11" x14ac:dyDescent="0.25">
      <c r="A200" s="26">
        <v>150</v>
      </c>
      <c r="B200" s="82">
        <f t="shared" si="22"/>
        <v>0</v>
      </c>
      <c r="C200" s="58">
        <f t="shared" si="18"/>
        <v>104.50616427295054</v>
      </c>
      <c r="D200" s="83">
        <f t="shared" si="23"/>
        <v>445.77777777777789</v>
      </c>
      <c r="E200">
        <f t="shared" si="19"/>
        <v>0</v>
      </c>
      <c r="G200">
        <v>150</v>
      </c>
      <c r="H200" s="13">
        <f t="shared" si="24"/>
        <v>1.8572577375266519E-2</v>
      </c>
      <c r="I200">
        <f t="shared" si="25"/>
        <v>107.29205087924052</v>
      </c>
      <c r="J200">
        <f t="shared" si="20"/>
        <v>450.99997485922114</v>
      </c>
      <c r="K200" s="27">
        <f t="shared" si="21"/>
        <v>3777.9522527526301</v>
      </c>
    </row>
    <row r="201" spans="1:11" x14ac:dyDescent="0.25">
      <c r="A201" s="26">
        <v>151</v>
      </c>
      <c r="B201" s="82">
        <f t="shared" si="22"/>
        <v>0</v>
      </c>
      <c r="C201" s="58">
        <f t="shared" si="18"/>
        <v>104.50616427295054</v>
      </c>
      <c r="D201" s="83">
        <f t="shared" si="23"/>
        <v>445.77777777777789</v>
      </c>
      <c r="E201">
        <f t="shared" si="19"/>
        <v>0</v>
      </c>
      <c r="G201">
        <v>151</v>
      </c>
      <c r="H201" s="13">
        <f t="shared" si="24"/>
        <v>1.8572577375266519E-2</v>
      </c>
      <c r="I201">
        <f t="shared" si="25"/>
        <v>107.31062345661579</v>
      </c>
      <c r="J201">
        <f t="shared" si="20"/>
        <v>451.03243058597855</v>
      </c>
      <c r="K201" s="27">
        <f t="shared" si="21"/>
        <v>3778.4957703547384</v>
      </c>
    </row>
    <row r="202" spans="1:11" x14ac:dyDescent="0.25">
      <c r="A202" s="26">
        <v>152</v>
      </c>
      <c r="B202" s="82">
        <f t="shared" si="22"/>
        <v>0</v>
      </c>
      <c r="C202" s="58">
        <f t="shared" si="18"/>
        <v>104.50616427295054</v>
      </c>
      <c r="D202" s="83">
        <f t="shared" si="23"/>
        <v>445.77777777777789</v>
      </c>
      <c r="E202">
        <f t="shared" si="19"/>
        <v>0</v>
      </c>
      <c r="G202">
        <v>152</v>
      </c>
      <c r="H202" s="13">
        <f t="shared" si="24"/>
        <v>1.8572577375266519E-2</v>
      </c>
      <c r="I202">
        <f t="shared" si="25"/>
        <v>107.32919603399105</v>
      </c>
      <c r="J202">
        <f t="shared" si="20"/>
        <v>451.0648582706541</v>
      </c>
      <c r="K202" s="27">
        <f t="shared" si="21"/>
        <v>3779.0388576503997</v>
      </c>
    </row>
    <row r="203" spans="1:11" x14ac:dyDescent="0.25">
      <c r="A203" s="26">
        <v>153</v>
      </c>
      <c r="B203" s="82">
        <f t="shared" si="22"/>
        <v>0</v>
      </c>
      <c r="C203" s="58">
        <f t="shared" si="18"/>
        <v>104.50616427295054</v>
      </c>
      <c r="D203" s="83">
        <f t="shared" si="23"/>
        <v>445.77777777777789</v>
      </c>
      <c r="E203">
        <f t="shared" si="19"/>
        <v>0</v>
      </c>
      <c r="G203">
        <v>153</v>
      </c>
      <c r="H203" s="13">
        <f t="shared" si="24"/>
        <v>1.8572577375266519E-2</v>
      </c>
      <c r="I203">
        <f t="shared" si="25"/>
        <v>107.34776861136632</v>
      </c>
      <c r="J203">
        <f t="shared" si="20"/>
        <v>451.09725796792048</v>
      </c>
      <c r="K203" s="27">
        <f t="shared" si="21"/>
        <v>3779.5815154529741</v>
      </c>
    </row>
    <row r="204" spans="1:11" x14ac:dyDescent="0.25">
      <c r="A204" s="26">
        <v>154</v>
      </c>
      <c r="B204" s="82">
        <f t="shared" si="22"/>
        <v>0</v>
      </c>
      <c r="C204" s="58">
        <f t="shared" si="18"/>
        <v>104.50616427295054</v>
      </c>
      <c r="D204" s="83">
        <f t="shared" si="23"/>
        <v>445.77777777777789</v>
      </c>
      <c r="E204">
        <f t="shared" si="19"/>
        <v>0</v>
      </c>
      <c r="G204">
        <v>154</v>
      </c>
      <c r="H204" s="13">
        <f t="shared" si="24"/>
        <v>1.8572577375266519E-2</v>
      </c>
      <c r="I204">
        <f t="shared" si="25"/>
        <v>107.36634118874159</v>
      </c>
      <c r="J204">
        <f t="shared" si="20"/>
        <v>451.12962973226149</v>
      </c>
      <c r="K204" s="27">
        <f t="shared" si="21"/>
        <v>3780.1237445730126</v>
      </c>
    </row>
    <row r="205" spans="1:11" x14ac:dyDescent="0.25">
      <c r="A205" s="26">
        <v>155</v>
      </c>
      <c r="B205" s="82">
        <f t="shared" si="22"/>
        <v>0</v>
      </c>
      <c r="C205" s="58">
        <f t="shared" si="18"/>
        <v>104.50616427295054</v>
      </c>
      <c r="D205" s="83">
        <f t="shared" si="23"/>
        <v>445.77777777777789</v>
      </c>
      <c r="E205">
        <f t="shared" si="19"/>
        <v>0</v>
      </c>
      <c r="G205">
        <v>155</v>
      </c>
      <c r="H205" s="13">
        <f t="shared" si="24"/>
        <v>1.8572577375266519E-2</v>
      </c>
      <c r="I205">
        <f t="shared" si="25"/>
        <v>107.38491376611685</v>
      </c>
      <c r="J205">
        <f t="shared" si="20"/>
        <v>451.16197361797271</v>
      </c>
      <c r="K205" s="27">
        <f t="shared" si="21"/>
        <v>3780.6655458182654</v>
      </c>
    </row>
    <row r="206" spans="1:11" x14ac:dyDescent="0.25">
      <c r="A206" s="26">
        <v>156</v>
      </c>
      <c r="B206" s="82">
        <f t="shared" si="22"/>
        <v>0</v>
      </c>
      <c r="C206" s="58">
        <f t="shared" si="18"/>
        <v>104.50616427295054</v>
      </c>
      <c r="D206" s="83">
        <f t="shared" si="23"/>
        <v>445.77777777777789</v>
      </c>
      <c r="E206">
        <f t="shared" si="19"/>
        <v>0</v>
      </c>
      <c r="G206">
        <v>156</v>
      </c>
      <c r="H206" s="13">
        <f t="shared" si="24"/>
        <v>1.8572577375266519E-2</v>
      </c>
      <c r="I206">
        <f t="shared" si="25"/>
        <v>107.40348634349212</v>
      </c>
      <c r="J206">
        <f t="shared" si="20"/>
        <v>451.19428967916241</v>
      </c>
      <c r="K206" s="27">
        <f t="shared" si="21"/>
        <v>3781.2069199937027</v>
      </c>
    </row>
    <row r="207" spans="1:11" x14ac:dyDescent="0.25">
      <c r="A207" s="26">
        <v>157</v>
      </c>
      <c r="B207" s="82">
        <f t="shared" si="22"/>
        <v>0</v>
      </c>
      <c r="C207" s="58">
        <f t="shared" si="18"/>
        <v>104.50616427295054</v>
      </c>
      <c r="D207" s="83">
        <f t="shared" si="23"/>
        <v>445.77777777777789</v>
      </c>
      <c r="E207">
        <f t="shared" si="19"/>
        <v>0</v>
      </c>
      <c r="G207">
        <v>157</v>
      </c>
      <c r="H207" s="13">
        <f t="shared" si="24"/>
        <v>1.8572577375266519E-2</v>
      </c>
      <c r="I207">
        <f t="shared" si="25"/>
        <v>107.42205892086739</v>
      </c>
      <c r="J207">
        <f t="shared" si="20"/>
        <v>451.22657796975273</v>
      </c>
      <c r="K207" s="27">
        <f t="shared" si="21"/>
        <v>3781.7478679015235</v>
      </c>
    </row>
    <row r="208" spans="1:11" x14ac:dyDescent="0.25">
      <c r="A208" s="26">
        <v>158</v>
      </c>
      <c r="B208" s="82">
        <f t="shared" si="22"/>
        <v>0</v>
      </c>
      <c r="C208" s="58">
        <f t="shared" ref="C208:C271" si="26">($C$37-$C$36)/2000+C207</f>
        <v>104.50616427295054</v>
      </c>
      <c r="D208" s="83">
        <f t="shared" si="23"/>
        <v>445.77777777777789</v>
      </c>
      <c r="E208">
        <f t="shared" si="19"/>
        <v>0</v>
      </c>
      <c r="G208">
        <v>158</v>
      </c>
      <c r="H208" s="13">
        <f t="shared" si="24"/>
        <v>1.8572577375266519E-2</v>
      </c>
      <c r="I208">
        <f t="shared" si="25"/>
        <v>107.44063149824265</v>
      </c>
      <c r="J208">
        <f t="shared" si="20"/>
        <v>451.25883854348035</v>
      </c>
      <c r="K208" s="27">
        <f t="shared" si="21"/>
        <v>3782.2883903411716</v>
      </c>
    </row>
    <row r="209" spans="1:11" x14ac:dyDescent="0.25">
      <c r="A209" s="26">
        <v>159</v>
      </c>
      <c r="B209" s="82">
        <f t="shared" si="22"/>
        <v>0</v>
      </c>
      <c r="C209" s="58">
        <f t="shared" si="26"/>
        <v>104.50616427295054</v>
      </c>
      <c r="D209" s="83">
        <f t="shared" si="23"/>
        <v>445.77777777777789</v>
      </c>
      <c r="E209">
        <f t="shared" si="19"/>
        <v>0</v>
      </c>
      <c r="G209">
        <v>159</v>
      </c>
      <c r="H209" s="13">
        <f t="shared" si="24"/>
        <v>1.8572577375266519E-2</v>
      </c>
      <c r="I209">
        <f t="shared" si="25"/>
        <v>107.45920407561792</v>
      </c>
      <c r="J209">
        <f t="shared" si="20"/>
        <v>451.29107145389747</v>
      </c>
      <c r="K209" s="27">
        <f t="shared" si="21"/>
        <v>3782.8284881093482</v>
      </c>
    </row>
    <row r="210" spans="1:11" x14ac:dyDescent="0.25">
      <c r="A210" s="26">
        <v>160</v>
      </c>
      <c r="B210" s="82">
        <f t="shared" si="22"/>
        <v>0</v>
      </c>
      <c r="C210" s="58">
        <f t="shared" si="26"/>
        <v>104.50616427295054</v>
      </c>
      <c r="D210" s="83">
        <f t="shared" si="23"/>
        <v>445.77777777777789</v>
      </c>
      <c r="E210">
        <f t="shared" si="19"/>
        <v>0</v>
      </c>
      <c r="G210">
        <v>160</v>
      </c>
      <c r="H210" s="13">
        <f t="shared" si="24"/>
        <v>1.8572577375266519E-2</v>
      </c>
      <c r="I210">
        <f t="shared" si="25"/>
        <v>107.47777665299319</v>
      </c>
      <c r="J210">
        <f t="shared" si="20"/>
        <v>451.32327675437256</v>
      </c>
      <c r="K210" s="27">
        <f t="shared" si="21"/>
        <v>3783.3681620000225</v>
      </c>
    </row>
    <row r="211" spans="1:11" x14ac:dyDescent="0.25">
      <c r="A211" s="26">
        <v>161</v>
      </c>
      <c r="B211" s="82">
        <f t="shared" si="22"/>
        <v>0</v>
      </c>
      <c r="C211" s="58">
        <f t="shared" si="26"/>
        <v>104.50616427295054</v>
      </c>
      <c r="D211" s="83">
        <f t="shared" si="23"/>
        <v>445.77777777777789</v>
      </c>
      <c r="E211">
        <f t="shared" si="19"/>
        <v>0</v>
      </c>
      <c r="G211">
        <v>161</v>
      </c>
      <c r="H211" s="13">
        <f t="shared" si="24"/>
        <v>1.8572577375266519E-2</v>
      </c>
      <c r="I211">
        <f t="shared" si="25"/>
        <v>107.49634923036845</v>
      </c>
      <c r="J211">
        <f t="shared" si="20"/>
        <v>451.35545449809149</v>
      </c>
      <c r="K211" s="27">
        <f t="shared" si="21"/>
        <v>3783.9074128044499</v>
      </c>
    </row>
    <row r="212" spans="1:11" x14ac:dyDescent="0.25">
      <c r="A212" s="26">
        <v>162</v>
      </c>
      <c r="B212" s="82">
        <f t="shared" si="22"/>
        <v>0</v>
      </c>
      <c r="C212" s="58">
        <f t="shared" si="26"/>
        <v>104.50616427295054</v>
      </c>
      <c r="D212" s="83">
        <f t="shared" si="23"/>
        <v>445.77777777777789</v>
      </c>
      <c r="E212">
        <f t="shared" si="19"/>
        <v>0</v>
      </c>
      <c r="G212">
        <v>162</v>
      </c>
      <c r="H212" s="13">
        <f t="shared" si="24"/>
        <v>1.8572577375266519E-2</v>
      </c>
      <c r="I212">
        <f t="shared" si="25"/>
        <v>107.51492180774372</v>
      </c>
      <c r="J212">
        <f t="shared" si="20"/>
        <v>451.38760473805826</v>
      </c>
      <c r="K212" s="27">
        <f t="shared" si="21"/>
        <v>3784.4462413111796</v>
      </c>
    </row>
    <row r="213" spans="1:11" x14ac:dyDescent="0.25">
      <c r="A213" s="26">
        <v>163</v>
      </c>
      <c r="B213" s="82">
        <f t="shared" si="22"/>
        <v>0</v>
      </c>
      <c r="C213" s="58">
        <f t="shared" si="26"/>
        <v>104.50616427295054</v>
      </c>
      <c r="D213" s="83">
        <f t="shared" si="23"/>
        <v>445.77777777777789</v>
      </c>
      <c r="E213">
        <f t="shared" si="19"/>
        <v>0</v>
      </c>
      <c r="G213">
        <v>163</v>
      </c>
      <c r="H213" s="13">
        <f t="shared" si="24"/>
        <v>1.8572577375266519E-2</v>
      </c>
      <c r="I213">
        <f t="shared" si="25"/>
        <v>107.53349438511898</v>
      </c>
      <c r="J213">
        <f t="shared" si="20"/>
        <v>451.41972752709586</v>
      </c>
      <c r="K213" s="27">
        <f t="shared" si="21"/>
        <v>3784.9846483060724</v>
      </c>
    </row>
    <row r="214" spans="1:11" x14ac:dyDescent="0.25">
      <c r="A214" s="26">
        <v>164</v>
      </c>
      <c r="B214" s="82">
        <f t="shared" si="22"/>
        <v>0</v>
      </c>
      <c r="C214" s="58">
        <f t="shared" si="26"/>
        <v>104.50616427295054</v>
      </c>
      <c r="D214" s="83">
        <f t="shared" si="23"/>
        <v>445.77777777777789</v>
      </c>
      <c r="E214">
        <f t="shared" si="19"/>
        <v>0</v>
      </c>
      <c r="G214">
        <v>164</v>
      </c>
      <c r="H214" s="13">
        <f t="shared" si="24"/>
        <v>1.8572577375266519E-2</v>
      </c>
      <c r="I214">
        <f t="shared" si="25"/>
        <v>107.55206696249425</v>
      </c>
      <c r="J214">
        <f t="shared" si="20"/>
        <v>451.45182291784715</v>
      </c>
      <c r="K214" s="27">
        <f t="shared" si="21"/>
        <v>3785.5226345723099</v>
      </c>
    </row>
    <row r="215" spans="1:11" x14ac:dyDescent="0.25">
      <c r="A215" s="26">
        <v>165</v>
      </c>
      <c r="B215" s="82">
        <f t="shared" si="22"/>
        <v>0</v>
      </c>
      <c r="C215" s="58">
        <f t="shared" si="26"/>
        <v>104.50616427295054</v>
      </c>
      <c r="D215" s="83">
        <f t="shared" si="23"/>
        <v>445.77777777777789</v>
      </c>
      <c r="E215">
        <f t="shared" si="19"/>
        <v>0</v>
      </c>
      <c r="G215">
        <v>165</v>
      </c>
      <c r="H215" s="13">
        <f t="shared" si="24"/>
        <v>1.8572577375266519E-2</v>
      </c>
      <c r="I215">
        <f t="shared" si="25"/>
        <v>107.57063953986952</v>
      </c>
      <c r="J215">
        <f t="shared" si="20"/>
        <v>451.48389096277583</v>
      </c>
      <c r="K215" s="27">
        <f t="shared" si="21"/>
        <v>3786.0602008904111</v>
      </c>
    </row>
    <row r="216" spans="1:11" x14ac:dyDescent="0.25">
      <c r="A216" s="26">
        <v>166</v>
      </c>
      <c r="B216" s="82">
        <f t="shared" si="22"/>
        <v>0</v>
      </c>
      <c r="C216" s="58">
        <f t="shared" si="26"/>
        <v>104.50616427295054</v>
      </c>
      <c r="D216" s="83">
        <f t="shared" si="23"/>
        <v>445.77777777777789</v>
      </c>
      <c r="E216">
        <f t="shared" si="19"/>
        <v>0</v>
      </c>
      <c r="G216">
        <v>166</v>
      </c>
      <c r="H216" s="13">
        <f t="shared" si="24"/>
        <v>1.8572577375266519E-2</v>
      </c>
      <c r="I216">
        <f t="shared" si="25"/>
        <v>107.58921211724478</v>
      </c>
      <c r="J216">
        <f t="shared" si="20"/>
        <v>451.5159317141671</v>
      </c>
      <c r="K216" s="27">
        <f t="shared" si="21"/>
        <v>3786.5973480382399</v>
      </c>
    </row>
    <row r="217" spans="1:11" x14ac:dyDescent="0.25">
      <c r="A217" s="26">
        <v>167</v>
      </c>
      <c r="B217" s="82">
        <f t="shared" si="22"/>
        <v>0</v>
      </c>
      <c r="C217" s="58">
        <f t="shared" si="26"/>
        <v>104.50616427295054</v>
      </c>
      <c r="D217" s="83">
        <f t="shared" si="23"/>
        <v>445.77777777777789</v>
      </c>
      <c r="E217">
        <f t="shared" si="19"/>
        <v>0</v>
      </c>
      <c r="G217">
        <v>167</v>
      </c>
      <c r="H217" s="13">
        <f t="shared" si="24"/>
        <v>1.8572577375266519E-2</v>
      </c>
      <c r="I217">
        <f t="shared" si="25"/>
        <v>107.60778469462005</v>
      </c>
      <c r="J217">
        <f t="shared" si="20"/>
        <v>451.54794522412874</v>
      </c>
      <c r="K217" s="27">
        <f t="shared" si="21"/>
        <v>3787.1340767910228</v>
      </c>
    </row>
    <row r="218" spans="1:11" x14ac:dyDescent="0.25">
      <c r="A218" s="26">
        <v>168</v>
      </c>
      <c r="B218" s="82">
        <f t="shared" si="22"/>
        <v>0</v>
      </c>
      <c r="C218" s="58">
        <f t="shared" si="26"/>
        <v>104.50616427295054</v>
      </c>
      <c r="D218" s="83">
        <f t="shared" si="23"/>
        <v>445.77777777777789</v>
      </c>
      <c r="E218">
        <f t="shared" si="19"/>
        <v>0</v>
      </c>
      <c r="G218">
        <v>168</v>
      </c>
      <c r="H218" s="13">
        <f t="shared" si="24"/>
        <v>1.8572577375266519E-2</v>
      </c>
      <c r="I218">
        <f t="shared" si="25"/>
        <v>107.62635727199532</v>
      </c>
      <c r="J218">
        <f t="shared" si="20"/>
        <v>451.57993154459166</v>
      </c>
      <c r="K218" s="27">
        <f t="shared" si="21"/>
        <v>3787.6703879213578</v>
      </c>
    </row>
    <row r="219" spans="1:11" x14ac:dyDescent="0.25">
      <c r="A219" s="26">
        <v>169</v>
      </c>
      <c r="B219" s="82">
        <f t="shared" si="22"/>
        <v>0</v>
      </c>
      <c r="C219" s="58">
        <f t="shared" si="26"/>
        <v>104.50616427295054</v>
      </c>
      <c r="D219" s="83">
        <f t="shared" si="23"/>
        <v>445.77777777777789</v>
      </c>
      <c r="E219">
        <f t="shared" si="19"/>
        <v>0</v>
      </c>
      <c r="G219">
        <v>169</v>
      </c>
      <c r="H219" s="13">
        <f t="shared" si="24"/>
        <v>1.8572577375266519E-2</v>
      </c>
      <c r="I219">
        <f t="shared" si="25"/>
        <v>107.64492984937058</v>
      </c>
      <c r="J219">
        <f t="shared" si="20"/>
        <v>451.61189072731116</v>
      </c>
      <c r="K219" s="27">
        <f t="shared" si="21"/>
        <v>3788.2062821992295</v>
      </c>
    </row>
    <row r="220" spans="1:11" x14ac:dyDescent="0.25">
      <c r="A220" s="26">
        <v>170</v>
      </c>
      <c r="B220" s="82">
        <f t="shared" si="22"/>
        <v>0</v>
      </c>
      <c r="C220" s="58">
        <f t="shared" si="26"/>
        <v>104.50616427295054</v>
      </c>
      <c r="D220" s="83">
        <f t="shared" si="23"/>
        <v>445.77777777777789</v>
      </c>
      <c r="E220">
        <f t="shared" si="19"/>
        <v>0</v>
      </c>
      <c r="G220">
        <v>170</v>
      </c>
      <c r="H220" s="13">
        <f t="shared" si="24"/>
        <v>1.8572577375266519E-2</v>
      </c>
      <c r="I220">
        <f t="shared" si="25"/>
        <v>107.66350242674585</v>
      </c>
      <c r="J220">
        <f t="shared" si="20"/>
        <v>451.64382282386731</v>
      </c>
      <c r="K220" s="27">
        <f t="shared" si="21"/>
        <v>3788.7417603920208</v>
      </c>
    </row>
    <row r="221" spans="1:11" x14ac:dyDescent="0.25">
      <c r="A221" s="26">
        <v>171</v>
      </c>
      <c r="B221" s="82">
        <f t="shared" si="22"/>
        <v>0</v>
      </c>
      <c r="C221" s="58">
        <f t="shared" si="26"/>
        <v>104.50616427295054</v>
      </c>
      <c r="D221" s="83">
        <f t="shared" si="23"/>
        <v>445.77777777777789</v>
      </c>
      <c r="E221">
        <f t="shared" si="19"/>
        <v>0</v>
      </c>
      <c r="G221">
        <v>171</v>
      </c>
      <c r="H221" s="13">
        <f t="shared" si="24"/>
        <v>1.8572577375266519E-2</v>
      </c>
      <c r="I221">
        <f t="shared" si="25"/>
        <v>107.68207500412112</v>
      </c>
      <c r="J221">
        <f t="shared" si="20"/>
        <v>451.67572788566611</v>
      </c>
      <c r="K221" s="27">
        <f t="shared" si="21"/>
        <v>3789.2768232645249</v>
      </c>
    </row>
    <row r="222" spans="1:11" x14ac:dyDescent="0.25">
      <c r="A222" s="26">
        <v>172</v>
      </c>
      <c r="B222" s="82">
        <f t="shared" si="22"/>
        <v>0</v>
      </c>
      <c r="C222" s="58">
        <f t="shared" si="26"/>
        <v>104.50616427295054</v>
      </c>
      <c r="D222" s="83">
        <f t="shared" si="23"/>
        <v>445.77777777777789</v>
      </c>
      <c r="E222">
        <f t="shared" si="19"/>
        <v>0</v>
      </c>
      <c r="G222">
        <v>172</v>
      </c>
      <c r="H222" s="13">
        <f t="shared" si="24"/>
        <v>1.8572577375266519E-2</v>
      </c>
      <c r="I222">
        <f t="shared" si="25"/>
        <v>107.70064758149638</v>
      </c>
      <c r="J222">
        <f t="shared" si="20"/>
        <v>451.70760596394018</v>
      </c>
      <c r="K222" s="27">
        <f t="shared" si="21"/>
        <v>3789.8114715789566</v>
      </c>
    </row>
    <row r="223" spans="1:11" x14ac:dyDescent="0.25">
      <c r="A223" s="26">
        <v>173</v>
      </c>
      <c r="B223" s="82">
        <f t="shared" si="22"/>
        <v>0</v>
      </c>
      <c r="C223" s="58">
        <f t="shared" si="26"/>
        <v>104.50616427295054</v>
      </c>
      <c r="D223" s="83">
        <f t="shared" si="23"/>
        <v>445.77777777777789</v>
      </c>
      <c r="E223">
        <f t="shared" si="19"/>
        <v>0</v>
      </c>
      <c r="G223">
        <v>173</v>
      </c>
      <c r="H223" s="13">
        <f t="shared" si="24"/>
        <v>1.8572577375266519E-2</v>
      </c>
      <c r="I223">
        <f t="shared" si="25"/>
        <v>107.71922015887165</v>
      </c>
      <c r="J223">
        <f t="shared" si="20"/>
        <v>451.73945710974959</v>
      </c>
      <c r="K223" s="27">
        <f t="shared" si="21"/>
        <v>3790.3457060949663</v>
      </c>
    </row>
    <row r="224" spans="1:11" x14ac:dyDescent="0.25">
      <c r="A224" s="26">
        <v>174</v>
      </c>
      <c r="B224" s="82">
        <f t="shared" si="22"/>
        <v>0</v>
      </c>
      <c r="C224" s="58">
        <f t="shared" si="26"/>
        <v>104.50616427295054</v>
      </c>
      <c r="D224" s="83">
        <f t="shared" si="23"/>
        <v>445.77777777777789</v>
      </c>
      <c r="E224">
        <f t="shared" si="19"/>
        <v>0</v>
      </c>
      <c r="G224">
        <v>174</v>
      </c>
      <c r="H224" s="13">
        <f t="shared" si="24"/>
        <v>1.8572577375266519E-2</v>
      </c>
      <c r="I224">
        <f t="shared" si="25"/>
        <v>107.73779273624692</v>
      </c>
      <c r="J224">
        <f t="shared" si="20"/>
        <v>451.77128137398273</v>
      </c>
      <c r="K224" s="27">
        <f t="shared" si="21"/>
        <v>3790.8795275696516</v>
      </c>
    </row>
    <row r="225" spans="1:11" x14ac:dyDescent="0.25">
      <c r="A225" s="26">
        <v>175</v>
      </c>
      <c r="B225" s="82">
        <f t="shared" si="22"/>
        <v>0</v>
      </c>
      <c r="C225" s="58">
        <f t="shared" si="26"/>
        <v>104.50616427295054</v>
      </c>
      <c r="D225" s="83">
        <f t="shared" si="23"/>
        <v>445.77777777777789</v>
      </c>
      <c r="E225">
        <f t="shared" si="19"/>
        <v>0</v>
      </c>
      <c r="G225">
        <v>175</v>
      </c>
      <c r="H225" s="13">
        <f t="shared" si="24"/>
        <v>1.8572577375266519E-2</v>
      </c>
      <c r="I225">
        <f t="shared" si="25"/>
        <v>107.75636531362218</v>
      </c>
      <c r="J225">
        <f t="shared" si="20"/>
        <v>451.803078807357</v>
      </c>
      <c r="K225" s="27">
        <f t="shared" si="21"/>
        <v>3791.4129367575692</v>
      </c>
    </row>
    <row r="226" spans="1:11" x14ac:dyDescent="0.25">
      <c r="A226" s="26">
        <v>176</v>
      </c>
      <c r="B226" s="82">
        <f t="shared" si="22"/>
        <v>0</v>
      </c>
      <c r="C226" s="58">
        <f t="shared" si="26"/>
        <v>104.50616427295054</v>
      </c>
      <c r="D226" s="83">
        <f t="shared" si="23"/>
        <v>445.77777777777789</v>
      </c>
      <c r="E226">
        <f t="shared" si="19"/>
        <v>0</v>
      </c>
      <c r="G226">
        <v>176</v>
      </c>
      <c r="H226" s="13">
        <f t="shared" si="24"/>
        <v>1.8572577375266519E-2</v>
      </c>
      <c r="I226">
        <f t="shared" si="25"/>
        <v>107.77493789099745</v>
      </c>
      <c r="J226">
        <f t="shared" si="20"/>
        <v>451.83484946041983</v>
      </c>
      <c r="K226" s="27">
        <f t="shared" si="21"/>
        <v>3791.9459344107454</v>
      </c>
    </row>
    <row r="227" spans="1:11" x14ac:dyDescent="0.25">
      <c r="A227" s="26">
        <v>177</v>
      </c>
      <c r="B227" s="82">
        <f t="shared" si="22"/>
        <v>0</v>
      </c>
      <c r="C227" s="58">
        <f t="shared" si="26"/>
        <v>104.50616427295054</v>
      </c>
      <c r="D227" s="83">
        <f t="shared" si="23"/>
        <v>445.77777777777789</v>
      </c>
      <c r="E227">
        <f t="shared" si="19"/>
        <v>0</v>
      </c>
      <c r="G227">
        <v>177</v>
      </c>
      <c r="H227" s="13">
        <f t="shared" si="24"/>
        <v>1.8572577375266519E-2</v>
      </c>
      <c r="I227">
        <f t="shared" si="25"/>
        <v>107.79351046837272</v>
      </c>
      <c r="J227">
        <f t="shared" si="20"/>
        <v>451.86659338354917</v>
      </c>
      <c r="K227" s="27">
        <f t="shared" si="21"/>
        <v>3792.4785212786896</v>
      </c>
    </row>
    <row r="228" spans="1:11" x14ac:dyDescent="0.25">
      <c r="A228" s="26">
        <v>178</v>
      </c>
      <c r="B228" s="82">
        <f t="shared" si="22"/>
        <v>0</v>
      </c>
      <c r="C228" s="58">
        <f t="shared" si="26"/>
        <v>104.50616427295054</v>
      </c>
      <c r="D228" s="83">
        <f t="shared" si="23"/>
        <v>445.77777777777789</v>
      </c>
      <c r="E228">
        <f t="shared" si="19"/>
        <v>0</v>
      </c>
      <c r="G228">
        <v>178</v>
      </c>
      <c r="H228" s="13">
        <f t="shared" si="24"/>
        <v>1.8572577375266519E-2</v>
      </c>
      <c r="I228">
        <f t="shared" si="25"/>
        <v>107.81208304574798</v>
      </c>
      <c r="J228">
        <f t="shared" si="20"/>
        <v>451.89831062695458</v>
      </c>
      <c r="K228" s="27">
        <f t="shared" si="21"/>
        <v>3793.0106981084086</v>
      </c>
    </row>
    <row r="229" spans="1:11" x14ac:dyDescent="0.25">
      <c r="A229" s="26">
        <v>179</v>
      </c>
      <c r="B229" s="82">
        <f t="shared" si="22"/>
        <v>0</v>
      </c>
      <c r="C229" s="58">
        <f t="shared" si="26"/>
        <v>104.50616427295054</v>
      </c>
      <c r="D229" s="83">
        <f t="shared" si="23"/>
        <v>445.77777777777789</v>
      </c>
      <c r="E229">
        <f t="shared" si="19"/>
        <v>0</v>
      </c>
      <c r="G229">
        <v>179</v>
      </c>
      <c r="H229" s="13">
        <f t="shared" si="24"/>
        <v>1.8572577375266519E-2</v>
      </c>
      <c r="I229">
        <f t="shared" si="25"/>
        <v>107.83065562312325</v>
      </c>
      <c r="J229">
        <f t="shared" si="20"/>
        <v>451.93000124067794</v>
      </c>
      <c r="K229" s="27">
        <f t="shared" si="21"/>
        <v>3793.5424656444134</v>
      </c>
    </row>
    <row r="230" spans="1:11" x14ac:dyDescent="0.25">
      <c r="A230" s="26">
        <v>180</v>
      </c>
      <c r="B230" s="82">
        <f t="shared" si="22"/>
        <v>0</v>
      </c>
      <c r="C230" s="58">
        <f t="shared" si="26"/>
        <v>104.50616427295054</v>
      </c>
      <c r="D230" s="83">
        <f t="shared" si="23"/>
        <v>445.77777777777789</v>
      </c>
      <c r="E230">
        <f t="shared" si="19"/>
        <v>0</v>
      </c>
      <c r="G230">
        <v>180</v>
      </c>
      <c r="H230" s="13">
        <f t="shared" si="24"/>
        <v>1.8572577375266519E-2</v>
      </c>
      <c r="I230">
        <f t="shared" si="25"/>
        <v>107.84922820049852</v>
      </c>
      <c r="J230">
        <f t="shared" si="20"/>
        <v>451.96166527459411</v>
      </c>
      <c r="K230" s="27">
        <f t="shared" si="21"/>
        <v>3794.0738246287324</v>
      </c>
    </row>
    <row r="231" spans="1:11" x14ac:dyDescent="0.25">
      <c r="A231" s="26">
        <v>181</v>
      </c>
      <c r="B231" s="82">
        <f t="shared" si="22"/>
        <v>0</v>
      </c>
      <c r="C231" s="58">
        <f t="shared" si="26"/>
        <v>104.50616427295054</v>
      </c>
      <c r="D231" s="83">
        <f t="shared" si="23"/>
        <v>445.77777777777789</v>
      </c>
      <c r="E231">
        <f t="shared" si="19"/>
        <v>0</v>
      </c>
      <c r="G231">
        <v>181</v>
      </c>
      <c r="H231" s="13">
        <f t="shared" si="24"/>
        <v>1.8572577375266519E-2</v>
      </c>
      <c r="I231">
        <f t="shared" si="25"/>
        <v>107.86780077787378</v>
      </c>
      <c r="J231">
        <f t="shared" si="20"/>
        <v>451.99330277841187</v>
      </c>
      <c r="K231" s="27">
        <f t="shared" si="21"/>
        <v>3794.6047758009263</v>
      </c>
    </row>
    <row r="232" spans="1:11" x14ac:dyDescent="0.25">
      <c r="A232" s="26">
        <v>182</v>
      </c>
      <c r="B232" s="82">
        <f t="shared" si="22"/>
        <v>0</v>
      </c>
      <c r="C232" s="58">
        <f t="shared" si="26"/>
        <v>104.50616427295054</v>
      </c>
      <c r="D232" s="83">
        <f t="shared" si="23"/>
        <v>445.77777777777789</v>
      </c>
      <c r="E232">
        <f t="shared" si="19"/>
        <v>0</v>
      </c>
      <c r="G232">
        <v>182</v>
      </c>
      <c r="H232" s="13">
        <f t="shared" si="24"/>
        <v>1.8572577375266519E-2</v>
      </c>
      <c r="I232">
        <f t="shared" si="25"/>
        <v>107.88637335524905</v>
      </c>
      <c r="J232">
        <f t="shared" si="20"/>
        <v>452.02491380167459</v>
      </c>
      <c r="K232" s="27">
        <f t="shared" si="21"/>
        <v>3795.1353198980946</v>
      </c>
    </row>
    <row r="233" spans="1:11" x14ac:dyDescent="0.25">
      <c r="A233" s="26">
        <v>183</v>
      </c>
      <c r="B233" s="82">
        <f t="shared" si="22"/>
        <v>0</v>
      </c>
      <c r="C233" s="58">
        <f t="shared" si="26"/>
        <v>104.50616427295054</v>
      </c>
      <c r="D233" s="83">
        <f t="shared" si="23"/>
        <v>445.77777777777789</v>
      </c>
      <c r="E233">
        <f t="shared" si="19"/>
        <v>0</v>
      </c>
      <c r="G233">
        <v>183</v>
      </c>
      <c r="H233" s="13">
        <f t="shared" si="24"/>
        <v>1.8572577375266519E-2</v>
      </c>
      <c r="I233">
        <f t="shared" si="25"/>
        <v>107.90494593262432</v>
      </c>
      <c r="J233">
        <f t="shared" si="20"/>
        <v>452.05649839376105</v>
      </c>
      <c r="K233" s="27">
        <f t="shared" si="21"/>
        <v>3795.6654576548913</v>
      </c>
    </row>
    <row r="234" spans="1:11" x14ac:dyDescent="0.25">
      <c r="A234" s="26">
        <v>184</v>
      </c>
      <c r="B234" s="82">
        <f t="shared" si="22"/>
        <v>0</v>
      </c>
      <c r="C234" s="58">
        <f t="shared" si="26"/>
        <v>104.50616427295054</v>
      </c>
      <c r="D234" s="83">
        <f t="shared" si="23"/>
        <v>445.77777777777789</v>
      </c>
      <c r="E234">
        <f t="shared" si="19"/>
        <v>0</v>
      </c>
      <c r="G234">
        <v>184</v>
      </c>
      <c r="H234" s="13">
        <f t="shared" si="24"/>
        <v>1.8572577375266519E-2</v>
      </c>
      <c r="I234">
        <f t="shared" si="25"/>
        <v>107.92351850999958</v>
      </c>
      <c r="J234">
        <f t="shared" si="20"/>
        <v>452.08805660388617</v>
      </c>
      <c r="K234" s="27">
        <f t="shared" si="21"/>
        <v>3796.1951898035331</v>
      </c>
    </row>
    <row r="235" spans="1:11" x14ac:dyDescent="0.25">
      <c r="A235" s="26">
        <v>185</v>
      </c>
      <c r="B235" s="82">
        <f t="shared" si="22"/>
        <v>0</v>
      </c>
      <c r="C235" s="58">
        <f t="shared" si="26"/>
        <v>104.50616427295054</v>
      </c>
      <c r="D235" s="83">
        <f t="shared" si="23"/>
        <v>445.77777777777789</v>
      </c>
      <c r="E235">
        <f t="shared" si="19"/>
        <v>0</v>
      </c>
      <c r="G235">
        <v>185</v>
      </c>
      <c r="H235" s="13">
        <f t="shared" si="24"/>
        <v>1.8572577375266519E-2</v>
      </c>
      <c r="I235">
        <f t="shared" si="25"/>
        <v>107.94209108737485</v>
      </c>
      <c r="J235">
        <f t="shared" si="20"/>
        <v>452.11958848110191</v>
      </c>
      <c r="K235" s="27">
        <f t="shared" si="21"/>
        <v>3796.7245170738138</v>
      </c>
    </row>
    <row r="236" spans="1:11" x14ac:dyDescent="0.25">
      <c r="A236" s="26">
        <v>186</v>
      </c>
      <c r="B236" s="82">
        <f t="shared" si="22"/>
        <v>0</v>
      </c>
      <c r="C236" s="58">
        <f t="shared" si="26"/>
        <v>104.50616427295054</v>
      </c>
      <c r="D236" s="83">
        <f t="shared" si="23"/>
        <v>445.77777777777789</v>
      </c>
      <c r="E236">
        <f t="shared" si="19"/>
        <v>0</v>
      </c>
      <c r="G236">
        <v>186</v>
      </c>
      <c r="H236" s="13">
        <f t="shared" si="24"/>
        <v>1.8572577375266519E-2</v>
      </c>
      <c r="I236">
        <f t="shared" si="25"/>
        <v>107.96066366475011</v>
      </c>
      <c r="J236">
        <f t="shared" si="20"/>
        <v>452.15109407429787</v>
      </c>
      <c r="K236" s="27">
        <f t="shared" si="21"/>
        <v>3797.2534401931157</v>
      </c>
    </row>
    <row r="237" spans="1:11" x14ac:dyDescent="0.25">
      <c r="A237" s="26">
        <v>187</v>
      </c>
      <c r="B237" s="82">
        <f t="shared" si="22"/>
        <v>0</v>
      </c>
      <c r="C237" s="58">
        <f t="shared" si="26"/>
        <v>104.50616427295054</v>
      </c>
      <c r="D237" s="83">
        <f t="shared" si="23"/>
        <v>445.77777777777789</v>
      </c>
      <c r="E237">
        <f t="shared" si="19"/>
        <v>0</v>
      </c>
      <c r="G237">
        <v>187</v>
      </c>
      <c r="H237" s="13">
        <f t="shared" si="24"/>
        <v>1.8572577375266519E-2</v>
      </c>
      <c r="I237">
        <f t="shared" si="25"/>
        <v>107.97923624212538</v>
      </c>
      <c r="J237">
        <f t="shared" si="20"/>
        <v>452.1825734322021</v>
      </c>
      <c r="K237" s="27">
        <f t="shared" si="21"/>
        <v>3797.7819598864135</v>
      </c>
    </row>
    <row r="238" spans="1:11" x14ac:dyDescent="0.25">
      <c r="A238" s="26">
        <v>188</v>
      </c>
      <c r="B238" s="82">
        <f t="shared" si="22"/>
        <v>0</v>
      </c>
      <c r="C238" s="58">
        <f t="shared" si="26"/>
        <v>104.50616427295054</v>
      </c>
      <c r="D238" s="83">
        <f t="shared" si="23"/>
        <v>445.77777777777789</v>
      </c>
      <c r="E238">
        <f t="shared" si="19"/>
        <v>0</v>
      </c>
      <c r="G238">
        <v>188</v>
      </c>
      <c r="H238" s="13">
        <f t="shared" si="24"/>
        <v>1.8572577375266519E-2</v>
      </c>
      <c r="I238">
        <f t="shared" si="25"/>
        <v>107.99780881950065</v>
      </c>
      <c r="J238">
        <f t="shared" si="20"/>
        <v>452.21402660338174</v>
      </c>
      <c r="K238" s="27">
        <f t="shared" si="21"/>
        <v>3798.3100768762965</v>
      </c>
    </row>
    <row r="239" spans="1:11" x14ac:dyDescent="0.25">
      <c r="A239" s="26">
        <v>189</v>
      </c>
      <c r="B239" s="82">
        <f t="shared" si="22"/>
        <v>0</v>
      </c>
      <c r="C239" s="58">
        <f t="shared" si="26"/>
        <v>104.50616427295054</v>
      </c>
      <c r="D239" s="83">
        <f t="shared" si="23"/>
        <v>445.77777777777789</v>
      </c>
      <c r="E239">
        <f t="shared" si="19"/>
        <v>0</v>
      </c>
      <c r="G239">
        <v>189</v>
      </c>
      <c r="H239" s="13">
        <f t="shared" si="24"/>
        <v>1.8572577375266519E-2</v>
      </c>
      <c r="I239">
        <f t="shared" si="25"/>
        <v>108.01638139687591</v>
      </c>
      <c r="J239">
        <f t="shared" si="20"/>
        <v>452.24545363624406</v>
      </c>
      <c r="K239" s="27">
        <f t="shared" si="21"/>
        <v>3798.8377918829719</v>
      </c>
    </row>
    <row r="240" spans="1:11" x14ac:dyDescent="0.25">
      <c r="A240" s="26">
        <v>190</v>
      </c>
      <c r="B240" s="82">
        <f t="shared" si="22"/>
        <v>0</v>
      </c>
      <c r="C240" s="58">
        <f t="shared" si="26"/>
        <v>104.50616427295054</v>
      </c>
      <c r="D240" s="83">
        <f t="shared" si="23"/>
        <v>445.77777777777789</v>
      </c>
      <c r="E240">
        <f t="shared" si="19"/>
        <v>0</v>
      </c>
      <c r="G240">
        <v>190</v>
      </c>
      <c r="H240" s="13">
        <f t="shared" si="24"/>
        <v>1.8572577375266519E-2</v>
      </c>
      <c r="I240">
        <f t="shared" si="25"/>
        <v>108.03495397425118</v>
      </c>
      <c r="J240">
        <f t="shared" si="20"/>
        <v>452.27685457903692</v>
      </c>
      <c r="K240" s="27">
        <f t="shared" si="21"/>
        <v>3799.3651056242779</v>
      </c>
    </row>
    <row r="241" spans="1:11" x14ac:dyDescent="0.25">
      <c r="A241" s="26">
        <v>191</v>
      </c>
      <c r="B241" s="82">
        <f t="shared" si="22"/>
        <v>0</v>
      </c>
      <c r="C241" s="58">
        <f t="shared" si="26"/>
        <v>104.50616427295054</v>
      </c>
      <c r="D241" s="83">
        <f t="shared" si="23"/>
        <v>445.77777777777789</v>
      </c>
      <c r="E241">
        <f t="shared" si="19"/>
        <v>0</v>
      </c>
      <c r="G241">
        <v>191</v>
      </c>
      <c r="H241" s="13">
        <f t="shared" si="24"/>
        <v>1.8572577375266519E-2</v>
      </c>
      <c r="I241">
        <f t="shared" si="25"/>
        <v>108.05352655162645</v>
      </c>
      <c r="J241">
        <f t="shared" si="20"/>
        <v>452.30822947984956</v>
      </c>
      <c r="K241" s="27">
        <f t="shared" si="21"/>
        <v>3799.8920188156953</v>
      </c>
    </row>
    <row r="242" spans="1:11" x14ac:dyDescent="0.25">
      <c r="A242" s="26">
        <v>192</v>
      </c>
      <c r="B242" s="82">
        <f t="shared" si="22"/>
        <v>0</v>
      </c>
      <c r="C242" s="58">
        <f t="shared" si="26"/>
        <v>104.50616427295054</v>
      </c>
      <c r="D242" s="83">
        <f t="shared" si="23"/>
        <v>445.77777777777789</v>
      </c>
      <c r="E242">
        <f t="shared" si="19"/>
        <v>0</v>
      </c>
      <c r="G242">
        <v>192</v>
      </c>
      <c r="H242" s="13">
        <f t="shared" si="24"/>
        <v>1.8572577375266519E-2</v>
      </c>
      <c r="I242">
        <f t="shared" si="25"/>
        <v>108.07209912900171</v>
      </c>
      <c r="J242">
        <f t="shared" si="20"/>
        <v>452.33957838661348</v>
      </c>
      <c r="K242" s="27">
        <f t="shared" si="21"/>
        <v>3800.4185321703608</v>
      </c>
    </row>
    <row r="243" spans="1:11" x14ac:dyDescent="0.25">
      <c r="A243" s="26">
        <v>193</v>
      </c>
      <c r="B243" s="82">
        <f t="shared" si="22"/>
        <v>0</v>
      </c>
      <c r="C243" s="58">
        <f t="shared" si="26"/>
        <v>104.50616427295054</v>
      </c>
      <c r="D243" s="83">
        <f t="shared" si="23"/>
        <v>445.77777777777789</v>
      </c>
      <c r="E243">
        <f t="shared" ref="E243:E306" si="27">((D243^2)+(D243*D244)+(D244^2))*B244/3</f>
        <v>0</v>
      </c>
      <c r="G243">
        <v>193</v>
      </c>
      <c r="H243" s="13">
        <f t="shared" si="24"/>
        <v>1.8572577375266519E-2</v>
      </c>
      <c r="I243">
        <f t="shared" si="25"/>
        <v>108.09067170637698</v>
      </c>
      <c r="J243">
        <f t="shared" ref="J243:J306" si="28">IF($G$28&lt;$C$14,0,((($C$11^2)-((I243-$C$13)^2))^0.5)+$C$16)</f>
        <v>452.37090134710297</v>
      </c>
      <c r="K243" s="27">
        <f t="shared" ref="K243:K306" si="29">((J243^2)+(J243*J244)+(J244^2))*H244/3</f>
        <v>3800.9446463990694</v>
      </c>
    </row>
    <row r="244" spans="1:11" x14ac:dyDescent="0.25">
      <c r="A244" s="26">
        <v>194</v>
      </c>
      <c r="B244" s="82">
        <f t="shared" ref="B244:B307" si="30">C244-C243</f>
        <v>0</v>
      </c>
      <c r="C244" s="58">
        <f t="shared" si="26"/>
        <v>104.50616427295054</v>
      </c>
      <c r="D244" s="83">
        <f t="shared" ref="D244:D307" si="31">IF($G$28&lt;$C$14,0,((($C$11^2)-((C244-$C$13)^2))^0.5)+$C$16)</f>
        <v>445.77777777777789</v>
      </c>
      <c r="E244">
        <f t="shared" si="27"/>
        <v>0</v>
      </c>
      <c r="G244">
        <v>194</v>
      </c>
      <c r="H244" s="13">
        <f t="shared" ref="H244:H307" si="32">I244-I243</f>
        <v>1.8572577375266519E-2</v>
      </c>
      <c r="I244">
        <f t="shared" ref="I244:I307" si="33">($G$27-$C$14)/2000+I243</f>
        <v>108.10924428375225</v>
      </c>
      <c r="J244">
        <f t="shared" si="28"/>
        <v>452.40219840893599</v>
      </c>
      <c r="K244" s="27">
        <f t="shared" si="29"/>
        <v>3801.4703622102952</v>
      </c>
    </row>
    <row r="245" spans="1:11" x14ac:dyDescent="0.25">
      <c r="A245" s="26">
        <v>195</v>
      </c>
      <c r="B245" s="82">
        <f t="shared" si="30"/>
        <v>0</v>
      </c>
      <c r="C245" s="58">
        <f t="shared" si="26"/>
        <v>104.50616427295054</v>
      </c>
      <c r="D245" s="83">
        <f t="shared" si="31"/>
        <v>445.77777777777789</v>
      </c>
      <c r="E245">
        <f t="shared" si="27"/>
        <v>0</v>
      </c>
      <c r="G245">
        <v>195</v>
      </c>
      <c r="H245" s="13">
        <f t="shared" si="32"/>
        <v>1.8572577375266519E-2</v>
      </c>
      <c r="I245">
        <f t="shared" si="33"/>
        <v>108.12781686112751</v>
      </c>
      <c r="J245">
        <f t="shared" si="28"/>
        <v>452.43346961957468</v>
      </c>
      <c r="K245" s="27">
        <f t="shared" si="29"/>
        <v>3801.9956803101945</v>
      </c>
    </row>
    <row r="246" spans="1:11" x14ac:dyDescent="0.25">
      <c r="A246" s="26">
        <v>196</v>
      </c>
      <c r="B246" s="82">
        <f t="shared" si="30"/>
        <v>0</v>
      </c>
      <c r="C246" s="58">
        <f t="shared" si="26"/>
        <v>104.50616427295054</v>
      </c>
      <c r="D246" s="83">
        <f t="shared" si="31"/>
        <v>445.77777777777789</v>
      </c>
      <c r="E246">
        <f t="shared" si="27"/>
        <v>0</v>
      </c>
      <c r="G246">
        <v>196</v>
      </c>
      <c r="H246" s="13">
        <f t="shared" si="32"/>
        <v>1.8572577375266519E-2</v>
      </c>
      <c r="I246">
        <f t="shared" si="33"/>
        <v>108.14638943850278</v>
      </c>
      <c r="J246">
        <f t="shared" si="28"/>
        <v>452.46471502632642</v>
      </c>
      <c r="K246" s="27">
        <f t="shared" si="29"/>
        <v>3802.5206014026239</v>
      </c>
    </row>
    <row r="247" spans="1:11" x14ac:dyDescent="0.25">
      <c r="A247" s="26">
        <v>197</v>
      </c>
      <c r="B247" s="82">
        <f t="shared" si="30"/>
        <v>0</v>
      </c>
      <c r="C247" s="58">
        <f t="shared" si="26"/>
        <v>104.50616427295054</v>
      </c>
      <c r="D247" s="83">
        <f t="shared" si="31"/>
        <v>445.77777777777789</v>
      </c>
      <c r="E247">
        <f t="shared" si="27"/>
        <v>0</v>
      </c>
      <c r="G247">
        <v>197</v>
      </c>
      <c r="H247" s="13">
        <f t="shared" si="32"/>
        <v>1.8572577375266519E-2</v>
      </c>
      <c r="I247">
        <f t="shared" si="33"/>
        <v>108.16496201587805</v>
      </c>
      <c r="J247">
        <f t="shared" si="28"/>
        <v>452.49593467634423</v>
      </c>
      <c r="K247" s="27">
        <f t="shared" si="29"/>
        <v>3803.0451261891426</v>
      </c>
    </row>
    <row r="248" spans="1:11" x14ac:dyDescent="0.25">
      <c r="A248" s="26">
        <v>198</v>
      </c>
      <c r="B248" s="82">
        <f t="shared" si="30"/>
        <v>0</v>
      </c>
      <c r="C248" s="58">
        <f t="shared" si="26"/>
        <v>104.50616427295054</v>
      </c>
      <c r="D248" s="83">
        <f t="shared" si="31"/>
        <v>445.77777777777789</v>
      </c>
      <c r="E248">
        <f t="shared" si="27"/>
        <v>0</v>
      </c>
      <c r="G248">
        <v>198</v>
      </c>
      <c r="H248" s="13">
        <f t="shared" si="32"/>
        <v>1.8572577375266519E-2</v>
      </c>
      <c r="I248">
        <f t="shared" si="33"/>
        <v>108.18353459325331</v>
      </c>
      <c r="J248">
        <f t="shared" si="28"/>
        <v>452.52712861662758</v>
      </c>
      <c r="K248" s="27">
        <f t="shared" si="29"/>
        <v>3803.5692553690274</v>
      </c>
    </row>
    <row r="249" spans="1:11" x14ac:dyDescent="0.25">
      <c r="A249" s="26">
        <v>199</v>
      </c>
      <c r="B249" s="82">
        <f t="shared" si="30"/>
        <v>0</v>
      </c>
      <c r="C249" s="58">
        <f t="shared" si="26"/>
        <v>104.50616427295054</v>
      </c>
      <c r="D249" s="83">
        <f t="shared" si="31"/>
        <v>445.77777777777789</v>
      </c>
      <c r="E249">
        <f t="shared" si="27"/>
        <v>0</v>
      </c>
      <c r="G249">
        <v>199</v>
      </c>
      <c r="H249" s="13">
        <f t="shared" si="32"/>
        <v>1.8572577375266519E-2</v>
      </c>
      <c r="I249">
        <f t="shared" si="33"/>
        <v>108.20210717062858</v>
      </c>
      <c r="J249">
        <f t="shared" si="28"/>
        <v>452.5582968940231</v>
      </c>
      <c r="K249" s="27">
        <f t="shared" si="29"/>
        <v>3804.0929896392831</v>
      </c>
    </row>
    <row r="250" spans="1:11" x14ac:dyDescent="0.25">
      <c r="A250" s="26">
        <v>200</v>
      </c>
      <c r="B250" s="82">
        <f t="shared" si="30"/>
        <v>0</v>
      </c>
      <c r="C250" s="58">
        <f t="shared" si="26"/>
        <v>104.50616427295054</v>
      </c>
      <c r="D250" s="83">
        <f t="shared" si="31"/>
        <v>445.77777777777789</v>
      </c>
      <c r="E250">
        <f t="shared" si="27"/>
        <v>0</v>
      </c>
      <c r="G250">
        <v>200</v>
      </c>
      <c r="H250" s="13">
        <f t="shared" si="32"/>
        <v>1.8572577375266519E-2</v>
      </c>
      <c r="I250">
        <f t="shared" si="33"/>
        <v>108.22067974800385</v>
      </c>
      <c r="J250">
        <f t="shared" si="28"/>
        <v>452.58943955522534</v>
      </c>
      <c r="K250" s="27">
        <f t="shared" si="29"/>
        <v>3804.6163296946529</v>
      </c>
    </row>
    <row r="251" spans="1:11" x14ac:dyDescent="0.25">
      <c r="A251" s="26">
        <v>201</v>
      </c>
      <c r="B251" s="82">
        <f t="shared" si="30"/>
        <v>0</v>
      </c>
      <c r="C251" s="58">
        <f t="shared" si="26"/>
        <v>104.50616427295054</v>
      </c>
      <c r="D251" s="83">
        <f t="shared" si="31"/>
        <v>445.77777777777789</v>
      </c>
      <c r="E251">
        <f t="shared" si="27"/>
        <v>0</v>
      </c>
      <c r="G251">
        <v>201</v>
      </c>
      <c r="H251" s="13">
        <f t="shared" si="32"/>
        <v>1.8572577375266519E-2</v>
      </c>
      <c r="I251">
        <f t="shared" si="33"/>
        <v>108.23925232537911</v>
      </c>
      <c r="J251">
        <f t="shared" si="28"/>
        <v>452.62055664677729</v>
      </c>
      <c r="K251" s="27">
        <f t="shared" si="29"/>
        <v>3805.1392762276287</v>
      </c>
    </row>
    <row r="252" spans="1:11" x14ac:dyDescent="0.25">
      <c r="A252" s="26">
        <v>202</v>
      </c>
      <c r="B252" s="82">
        <f t="shared" si="30"/>
        <v>0</v>
      </c>
      <c r="C252" s="58">
        <f t="shared" si="26"/>
        <v>104.50616427295054</v>
      </c>
      <c r="D252" s="83">
        <f t="shared" si="31"/>
        <v>445.77777777777789</v>
      </c>
      <c r="E252">
        <f t="shared" si="27"/>
        <v>0</v>
      </c>
      <c r="G252">
        <v>202</v>
      </c>
      <c r="H252" s="13">
        <f t="shared" si="32"/>
        <v>1.8572577375266519E-2</v>
      </c>
      <c r="I252">
        <f t="shared" si="33"/>
        <v>108.25782490275438</v>
      </c>
      <c r="J252">
        <f t="shared" si="28"/>
        <v>452.65164821507125</v>
      </c>
      <c r="K252" s="27">
        <f t="shared" si="29"/>
        <v>3805.6618299284578</v>
      </c>
    </row>
    <row r="253" spans="1:11" x14ac:dyDescent="0.25">
      <c r="A253" s="26">
        <v>203</v>
      </c>
      <c r="B253" s="82">
        <f t="shared" si="30"/>
        <v>0</v>
      </c>
      <c r="C253" s="58">
        <f t="shared" si="26"/>
        <v>104.50616427295054</v>
      </c>
      <c r="D253" s="83">
        <f t="shared" si="31"/>
        <v>445.77777777777789</v>
      </c>
      <c r="E253">
        <f t="shared" si="27"/>
        <v>0</v>
      </c>
      <c r="G253">
        <v>203</v>
      </c>
      <c r="H253" s="13">
        <f t="shared" si="32"/>
        <v>1.8572577375266519E-2</v>
      </c>
      <c r="I253">
        <f t="shared" si="33"/>
        <v>108.27639748012965</v>
      </c>
      <c r="J253">
        <f t="shared" si="28"/>
        <v>452.68271430634945</v>
      </c>
      <c r="K253" s="27">
        <f t="shared" si="29"/>
        <v>3806.1839914851575</v>
      </c>
    </row>
    <row r="254" spans="1:11" x14ac:dyDescent="0.25">
      <c r="A254" s="26">
        <v>204</v>
      </c>
      <c r="B254" s="82">
        <f t="shared" si="30"/>
        <v>0</v>
      </c>
      <c r="C254" s="58">
        <f t="shared" si="26"/>
        <v>104.50616427295054</v>
      </c>
      <c r="D254" s="83">
        <f t="shared" si="31"/>
        <v>445.77777777777789</v>
      </c>
      <c r="E254">
        <f t="shared" si="27"/>
        <v>0</v>
      </c>
      <c r="G254">
        <v>204</v>
      </c>
      <c r="H254" s="13">
        <f t="shared" si="32"/>
        <v>1.8572577375266519E-2</v>
      </c>
      <c r="I254">
        <f t="shared" si="33"/>
        <v>108.29497005750491</v>
      </c>
      <c r="J254">
        <f t="shared" si="28"/>
        <v>452.7137549667047</v>
      </c>
      <c r="K254" s="27">
        <f t="shared" si="29"/>
        <v>3806.7057615835261</v>
      </c>
    </row>
    <row r="255" spans="1:11" x14ac:dyDescent="0.25">
      <c r="A255" s="26">
        <v>205</v>
      </c>
      <c r="B255" s="82">
        <f t="shared" si="30"/>
        <v>0</v>
      </c>
      <c r="C255" s="58">
        <f t="shared" si="26"/>
        <v>104.50616427295054</v>
      </c>
      <c r="D255" s="83">
        <f t="shared" si="31"/>
        <v>445.77777777777789</v>
      </c>
      <c r="E255">
        <f t="shared" si="27"/>
        <v>0</v>
      </c>
      <c r="G255">
        <v>205</v>
      </c>
      <c r="H255" s="13">
        <f t="shared" si="32"/>
        <v>1.8572577375266519E-2</v>
      </c>
      <c r="I255">
        <f t="shared" si="33"/>
        <v>108.31354263488018</v>
      </c>
      <c r="J255">
        <f t="shared" si="28"/>
        <v>452.74477024208102</v>
      </c>
      <c r="K255" s="27">
        <f t="shared" si="29"/>
        <v>3807.2271409071473</v>
      </c>
    </row>
    <row r="256" spans="1:11" x14ac:dyDescent="0.25">
      <c r="A256" s="26">
        <v>206</v>
      </c>
      <c r="B256" s="82">
        <f t="shared" si="30"/>
        <v>0</v>
      </c>
      <c r="C256" s="58">
        <f t="shared" si="26"/>
        <v>104.50616427295054</v>
      </c>
      <c r="D256" s="83">
        <f t="shared" si="31"/>
        <v>445.77777777777789</v>
      </c>
      <c r="E256">
        <f t="shared" si="27"/>
        <v>0</v>
      </c>
      <c r="G256">
        <v>206</v>
      </c>
      <c r="H256" s="13">
        <f t="shared" si="32"/>
        <v>1.8572577375266519E-2</v>
      </c>
      <c r="I256">
        <f t="shared" si="33"/>
        <v>108.33211521225545</v>
      </c>
      <c r="J256">
        <f t="shared" si="28"/>
        <v>452.77576017827454</v>
      </c>
      <c r="K256" s="27">
        <f t="shared" si="29"/>
        <v>3807.748130137405</v>
      </c>
    </row>
    <row r="257" spans="1:11" x14ac:dyDescent="0.25">
      <c r="A257" s="26">
        <v>207</v>
      </c>
      <c r="B257" s="82">
        <f t="shared" si="30"/>
        <v>0</v>
      </c>
      <c r="C257" s="58">
        <f t="shared" si="26"/>
        <v>104.50616427295054</v>
      </c>
      <c r="D257" s="83">
        <f t="shared" si="31"/>
        <v>445.77777777777789</v>
      </c>
      <c r="E257">
        <f t="shared" si="27"/>
        <v>0</v>
      </c>
      <c r="G257">
        <v>207</v>
      </c>
      <c r="H257" s="13">
        <f t="shared" si="32"/>
        <v>1.8572577375266519E-2</v>
      </c>
      <c r="I257">
        <f t="shared" si="33"/>
        <v>108.35068778963071</v>
      </c>
      <c r="J257">
        <f t="shared" si="28"/>
        <v>452.80672482093394</v>
      </c>
      <c r="K257" s="27">
        <f t="shared" si="29"/>
        <v>3808.2687299534923</v>
      </c>
    </row>
    <row r="258" spans="1:11" x14ac:dyDescent="0.25">
      <c r="A258" s="26">
        <v>208</v>
      </c>
      <c r="B258" s="82">
        <f t="shared" si="30"/>
        <v>0</v>
      </c>
      <c r="C258" s="58">
        <f t="shared" si="26"/>
        <v>104.50616427295054</v>
      </c>
      <c r="D258" s="83">
        <f t="shared" si="31"/>
        <v>445.77777777777789</v>
      </c>
      <c r="E258">
        <f t="shared" si="27"/>
        <v>0</v>
      </c>
      <c r="G258">
        <v>208</v>
      </c>
      <c r="H258" s="13">
        <f t="shared" si="32"/>
        <v>1.8572577375266519E-2</v>
      </c>
      <c r="I258">
        <f t="shared" si="33"/>
        <v>108.36926036700598</v>
      </c>
      <c r="J258">
        <f t="shared" si="28"/>
        <v>452.83766421556118</v>
      </c>
      <c r="K258" s="27">
        <f t="shared" si="29"/>
        <v>3808.7889410324206</v>
      </c>
    </row>
    <row r="259" spans="1:11" x14ac:dyDescent="0.25">
      <c r="A259" s="26">
        <v>209</v>
      </c>
      <c r="B259" s="82">
        <f t="shared" si="30"/>
        <v>0</v>
      </c>
      <c r="C259" s="58">
        <f t="shared" si="26"/>
        <v>104.50616427295054</v>
      </c>
      <c r="D259" s="83">
        <f t="shared" si="31"/>
        <v>445.77777777777789</v>
      </c>
      <c r="E259">
        <f t="shared" si="27"/>
        <v>0</v>
      </c>
      <c r="G259">
        <v>209</v>
      </c>
      <c r="H259" s="13">
        <f t="shared" si="32"/>
        <v>1.8572577375266519E-2</v>
      </c>
      <c r="I259">
        <f t="shared" si="33"/>
        <v>108.38783294438124</v>
      </c>
      <c r="J259">
        <f t="shared" si="28"/>
        <v>452.86857840751225</v>
      </c>
      <c r="K259" s="27">
        <f t="shared" si="29"/>
        <v>3809.3087640490289</v>
      </c>
    </row>
    <row r="260" spans="1:11" x14ac:dyDescent="0.25">
      <c r="A260" s="26">
        <v>210</v>
      </c>
      <c r="B260" s="82">
        <f t="shared" si="30"/>
        <v>0</v>
      </c>
      <c r="C260" s="58">
        <f t="shared" si="26"/>
        <v>104.50616427295054</v>
      </c>
      <c r="D260" s="83">
        <f t="shared" si="31"/>
        <v>445.77777777777789</v>
      </c>
      <c r="E260">
        <f t="shared" si="27"/>
        <v>0</v>
      </c>
      <c r="G260">
        <v>210</v>
      </c>
      <c r="H260" s="13">
        <f t="shared" si="32"/>
        <v>1.8572577375266519E-2</v>
      </c>
      <c r="I260">
        <f t="shared" si="33"/>
        <v>108.40640552175651</v>
      </c>
      <c r="J260">
        <f t="shared" si="28"/>
        <v>452.89946744199756</v>
      </c>
      <c r="K260" s="27">
        <f t="shared" si="29"/>
        <v>3809.8281996759956</v>
      </c>
    </row>
    <row r="261" spans="1:11" x14ac:dyDescent="0.25">
      <c r="A261" s="26">
        <v>211</v>
      </c>
      <c r="B261" s="82">
        <f t="shared" si="30"/>
        <v>0</v>
      </c>
      <c r="C261" s="58">
        <f t="shared" si="26"/>
        <v>104.50616427295054</v>
      </c>
      <c r="D261" s="83">
        <f t="shared" si="31"/>
        <v>445.77777777777789</v>
      </c>
      <c r="E261">
        <f t="shared" si="27"/>
        <v>0</v>
      </c>
      <c r="G261">
        <v>211</v>
      </c>
      <c r="H261" s="13">
        <f t="shared" si="32"/>
        <v>1.8572577375266519E-2</v>
      </c>
      <c r="I261">
        <f t="shared" si="33"/>
        <v>108.42497809913178</v>
      </c>
      <c r="J261">
        <f t="shared" si="28"/>
        <v>452.93033136408303</v>
      </c>
      <c r="K261" s="27">
        <f t="shared" si="29"/>
        <v>3810.347248583847</v>
      </c>
    </row>
    <row r="262" spans="1:11" x14ac:dyDescent="0.25">
      <c r="A262" s="26">
        <v>212</v>
      </c>
      <c r="B262" s="82">
        <f t="shared" si="30"/>
        <v>0</v>
      </c>
      <c r="C262" s="58">
        <f t="shared" si="26"/>
        <v>104.50616427295054</v>
      </c>
      <c r="D262" s="83">
        <f t="shared" si="31"/>
        <v>445.77777777777789</v>
      </c>
      <c r="E262">
        <f t="shared" si="27"/>
        <v>0</v>
      </c>
      <c r="G262">
        <v>212</v>
      </c>
      <c r="H262" s="13">
        <f t="shared" si="32"/>
        <v>1.8572577375266519E-2</v>
      </c>
      <c r="I262">
        <f t="shared" si="33"/>
        <v>108.44355067650704</v>
      </c>
      <c r="J262">
        <f t="shared" si="28"/>
        <v>452.96117021869037</v>
      </c>
      <c r="K262" s="27">
        <f t="shared" si="29"/>
        <v>3810.8659114409643</v>
      </c>
    </row>
    <row r="263" spans="1:11" x14ac:dyDescent="0.25">
      <c r="A263" s="26">
        <v>213</v>
      </c>
      <c r="B263" s="82">
        <f t="shared" si="30"/>
        <v>0</v>
      </c>
      <c r="C263" s="58">
        <f t="shared" si="26"/>
        <v>104.50616427295054</v>
      </c>
      <c r="D263" s="83">
        <f t="shared" si="31"/>
        <v>445.77777777777789</v>
      </c>
      <c r="E263">
        <f t="shared" si="27"/>
        <v>0</v>
      </c>
      <c r="G263">
        <v>213</v>
      </c>
      <c r="H263" s="13">
        <f t="shared" si="32"/>
        <v>1.8572577375266519E-2</v>
      </c>
      <c r="I263">
        <f t="shared" si="33"/>
        <v>108.46212325388231</v>
      </c>
      <c r="J263">
        <f t="shared" si="28"/>
        <v>452.99198405059786</v>
      </c>
      <c r="K263" s="27">
        <f t="shared" si="29"/>
        <v>3811.3841889136002</v>
      </c>
    </row>
    <row r="264" spans="1:11" x14ac:dyDescent="0.25">
      <c r="A264" s="26">
        <v>214</v>
      </c>
      <c r="B264" s="82">
        <f t="shared" si="30"/>
        <v>0</v>
      </c>
      <c r="C264" s="58">
        <f t="shared" si="26"/>
        <v>104.50616427295054</v>
      </c>
      <c r="D264" s="83">
        <f t="shared" si="31"/>
        <v>445.77777777777789</v>
      </c>
      <c r="E264">
        <f t="shared" si="27"/>
        <v>0</v>
      </c>
      <c r="G264">
        <v>214</v>
      </c>
      <c r="H264" s="13">
        <f t="shared" si="32"/>
        <v>1.8572577375266519E-2</v>
      </c>
      <c r="I264">
        <f t="shared" si="33"/>
        <v>108.48069583125758</v>
      </c>
      <c r="J264">
        <f t="shared" si="28"/>
        <v>453.02277290444101</v>
      </c>
      <c r="K264" s="27">
        <f t="shared" si="29"/>
        <v>3811.9020816658826</v>
      </c>
    </row>
    <row r="265" spans="1:11" x14ac:dyDescent="0.25">
      <c r="A265" s="26">
        <v>215</v>
      </c>
      <c r="B265" s="82">
        <f t="shared" si="30"/>
        <v>0</v>
      </c>
      <c r="C265" s="58">
        <f t="shared" si="26"/>
        <v>104.50616427295054</v>
      </c>
      <c r="D265" s="83">
        <f t="shared" si="31"/>
        <v>445.77777777777789</v>
      </c>
      <c r="E265">
        <f t="shared" si="27"/>
        <v>0</v>
      </c>
      <c r="G265">
        <v>215</v>
      </c>
      <c r="H265" s="13">
        <f t="shared" si="32"/>
        <v>1.8572577375266519E-2</v>
      </c>
      <c r="I265">
        <f t="shared" si="33"/>
        <v>108.49926840863284</v>
      </c>
      <c r="J265">
        <f t="shared" si="28"/>
        <v>453.05353682471321</v>
      </c>
      <c r="K265" s="27">
        <f t="shared" si="29"/>
        <v>3812.4195903598261</v>
      </c>
    </row>
    <row r="266" spans="1:11" x14ac:dyDescent="0.25">
      <c r="A266" s="26">
        <v>216</v>
      </c>
      <c r="B266" s="82">
        <f t="shared" si="30"/>
        <v>0</v>
      </c>
      <c r="C266" s="58">
        <f t="shared" si="26"/>
        <v>104.50616427295054</v>
      </c>
      <c r="D266" s="83">
        <f t="shared" si="31"/>
        <v>445.77777777777789</v>
      </c>
      <c r="E266">
        <f t="shared" si="27"/>
        <v>0</v>
      </c>
      <c r="G266">
        <v>216</v>
      </c>
      <c r="H266" s="13">
        <f t="shared" si="32"/>
        <v>1.8572577375266519E-2</v>
      </c>
      <c r="I266">
        <f t="shared" si="33"/>
        <v>108.51784098600811</v>
      </c>
      <c r="J266">
        <f t="shared" si="28"/>
        <v>453.08427585576629</v>
      </c>
      <c r="K266" s="27">
        <f t="shared" si="29"/>
        <v>3812.9367156553376</v>
      </c>
    </row>
    <row r="267" spans="1:11" x14ac:dyDescent="0.25">
      <c r="A267" s="26">
        <v>217</v>
      </c>
      <c r="B267" s="82">
        <f t="shared" si="30"/>
        <v>0</v>
      </c>
      <c r="C267" s="58">
        <f t="shared" si="26"/>
        <v>104.50616427295054</v>
      </c>
      <c r="D267" s="83">
        <f t="shared" si="31"/>
        <v>445.77777777777789</v>
      </c>
      <c r="E267">
        <f t="shared" si="27"/>
        <v>0</v>
      </c>
      <c r="G267">
        <v>217</v>
      </c>
      <c r="H267" s="13">
        <f t="shared" si="32"/>
        <v>1.8572577375266519E-2</v>
      </c>
      <c r="I267">
        <f t="shared" si="33"/>
        <v>108.53641356338338</v>
      </c>
      <c r="J267">
        <f t="shared" si="28"/>
        <v>453.11499004181121</v>
      </c>
      <c r="K267" s="27">
        <f t="shared" si="29"/>
        <v>3813.4534582102328</v>
      </c>
    </row>
    <row r="268" spans="1:11" x14ac:dyDescent="0.25">
      <c r="A268" s="26">
        <v>218</v>
      </c>
      <c r="B268" s="82">
        <f t="shared" si="30"/>
        <v>0</v>
      </c>
      <c r="C268" s="58">
        <f t="shared" si="26"/>
        <v>104.50616427295054</v>
      </c>
      <c r="D268" s="83">
        <f t="shared" si="31"/>
        <v>445.77777777777789</v>
      </c>
      <c r="E268">
        <f t="shared" si="27"/>
        <v>0</v>
      </c>
      <c r="G268">
        <v>218</v>
      </c>
      <c r="H268" s="13">
        <f t="shared" si="32"/>
        <v>1.8572577375266519E-2</v>
      </c>
      <c r="I268">
        <f t="shared" si="33"/>
        <v>108.55498614075864</v>
      </c>
      <c r="J268">
        <f t="shared" si="28"/>
        <v>453.1456794269186</v>
      </c>
      <c r="K268" s="27">
        <f t="shared" si="29"/>
        <v>3813.969818680242</v>
      </c>
    </row>
    <row r="269" spans="1:11" x14ac:dyDescent="0.25">
      <c r="A269" s="26">
        <v>219</v>
      </c>
      <c r="B269" s="82">
        <f t="shared" si="30"/>
        <v>0</v>
      </c>
      <c r="C269" s="58">
        <f t="shared" si="26"/>
        <v>104.50616427295054</v>
      </c>
      <c r="D269" s="83">
        <f t="shared" si="31"/>
        <v>445.77777777777789</v>
      </c>
      <c r="E269">
        <f t="shared" si="27"/>
        <v>0</v>
      </c>
      <c r="G269">
        <v>219</v>
      </c>
      <c r="H269" s="13">
        <f t="shared" si="32"/>
        <v>1.8572577375266519E-2</v>
      </c>
      <c r="I269">
        <f t="shared" si="33"/>
        <v>108.57355871813391</v>
      </c>
      <c r="J269">
        <f t="shared" si="28"/>
        <v>453.17634405501963</v>
      </c>
      <c r="K269" s="27">
        <f t="shared" si="29"/>
        <v>3814.4857977190181</v>
      </c>
    </row>
    <row r="270" spans="1:11" x14ac:dyDescent="0.25">
      <c r="A270" s="26">
        <v>220</v>
      </c>
      <c r="B270" s="82">
        <f t="shared" si="30"/>
        <v>0</v>
      </c>
      <c r="C270" s="58">
        <f t="shared" si="26"/>
        <v>104.50616427295054</v>
      </c>
      <c r="D270" s="83">
        <f t="shared" si="31"/>
        <v>445.77777777777789</v>
      </c>
      <c r="E270">
        <f t="shared" si="27"/>
        <v>0</v>
      </c>
      <c r="G270">
        <v>220</v>
      </c>
      <c r="H270" s="13">
        <f t="shared" si="32"/>
        <v>1.8572577375266519E-2</v>
      </c>
      <c r="I270">
        <f t="shared" si="33"/>
        <v>108.59213129550918</v>
      </c>
      <c r="J270">
        <f t="shared" si="28"/>
        <v>453.20698396990633</v>
      </c>
      <c r="K270" s="27">
        <f t="shared" si="29"/>
        <v>3815.0013959781463</v>
      </c>
    </row>
    <row r="271" spans="1:11" x14ac:dyDescent="0.25">
      <c r="A271" s="26">
        <v>221</v>
      </c>
      <c r="B271" s="82">
        <f t="shared" si="30"/>
        <v>0</v>
      </c>
      <c r="C271" s="58">
        <f t="shared" si="26"/>
        <v>104.50616427295054</v>
      </c>
      <c r="D271" s="83">
        <f t="shared" si="31"/>
        <v>445.77777777777789</v>
      </c>
      <c r="E271">
        <f t="shared" si="27"/>
        <v>0</v>
      </c>
      <c r="G271">
        <v>221</v>
      </c>
      <c r="H271" s="13">
        <f t="shared" si="32"/>
        <v>1.8572577375266519E-2</v>
      </c>
      <c r="I271">
        <f t="shared" si="33"/>
        <v>108.61070387288444</v>
      </c>
      <c r="J271">
        <f t="shared" si="28"/>
        <v>453.23759921523242</v>
      </c>
      <c r="K271" s="27">
        <f t="shared" si="29"/>
        <v>3815.5166141071563</v>
      </c>
    </row>
    <row r="272" spans="1:11" x14ac:dyDescent="0.25">
      <c r="A272" s="26">
        <v>222</v>
      </c>
      <c r="B272" s="82">
        <f t="shared" si="30"/>
        <v>0</v>
      </c>
      <c r="C272" s="58">
        <f t="shared" ref="C272:C335" si="34">($C$37-$C$36)/2000+C271</f>
        <v>104.50616427295054</v>
      </c>
      <c r="D272" s="83">
        <f t="shared" si="31"/>
        <v>445.77777777777789</v>
      </c>
      <c r="E272">
        <f t="shared" si="27"/>
        <v>0</v>
      </c>
      <c r="G272">
        <v>222</v>
      </c>
      <c r="H272" s="13">
        <f t="shared" si="32"/>
        <v>1.8572577375266519E-2</v>
      </c>
      <c r="I272">
        <f t="shared" si="33"/>
        <v>108.62927645025971</v>
      </c>
      <c r="J272">
        <f t="shared" si="28"/>
        <v>453.26818983451369</v>
      </c>
      <c r="K272" s="27">
        <f t="shared" si="29"/>
        <v>3816.0314527535252</v>
      </c>
    </row>
    <row r="273" spans="1:11" x14ac:dyDescent="0.25">
      <c r="A273" s="26">
        <v>223</v>
      </c>
      <c r="B273" s="82">
        <f t="shared" si="30"/>
        <v>0</v>
      </c>
      <c r="C273" s="58">
        <f t="shared" si="34"/>
        <v>104.50616427295054</v>
      </c>
      <c r="D273" s="83">
        <f t="shared" si="31"/>
        <v>445.77777777777789</v>
      </c>
      <c r="E273">
        <f t="shared" si="27"/>
        <v>0</v>
      </c>
      <c r="G273">
        <v>223</v>
      </c>
      <c r="H273" s="13">
        <f t="shared" si="32"/>
        <v>1.8572577375266519E-2</v>
      </c>
      <c r="I273">
        <f t="shared" si="33"/>
        <v>108.64784902763498</v>
      </c>
      <c r="J273">
        <f t="shared" si="28"/>
        <v>453.29875587112895</v>
      </c>
      <c r="K273" s="27">
        <f t="shared" si="29"/>
        <v>3816.5459125626953</v>
      </c>
    </row>
    <row r="274" spans="1:11" x14ac:dyDescent="0.25">
      <c r="A274" s="26">
        <v>224</v>
      </c>
      <c r="B274" s="82">
        <f t="shared" si="30"/>
        <v>0</v>
      </c>
      <c r="C274" s="58">
        <f t="shared" si="34"/>
        <v>104.50616427295054</v>
      </c>
      <c r="D274" s="83">
        <f t="shared" si="31"/>
        <v>445.77777777777789</v>
      </c>
      <c r="E274">
        <f t="shared" si="27"/>
        <v>0</v>
      </c>
      <c r="G274">
        <v>224</v>
      </c>
      <c r="H274" s="13">
        <f t="shared" si="32"/>
        <v>1.8572577375266519E-2</v>
      </c>
      <c r="I274">
        <f t="shared" si="33"/>
        <v>108.66642160501024</v>
      </c>
      <c r="J274">
        <f t="shared" si="28"/>
        <v>453.32929736832034</v>
      </c>
      <c r="K274" s="27">
        <f t="shared" si="29"/>
        <v>3817.0599941780747</v>
      </c>
    </row>
    <row r="275" spans="1:11" x14ac:dyDescent="0.25">
      <c r="A275" s="26">
        <v>225</v>
      </c>
      <c r="B275" s="82">
        <f t="shared" si="30"/>
        <v>0</v>
      </c>
      <c r="C275" s="58">
        <f t="shared" si="34"/>
        <v>104.50616427295054</v>
      </c>
      <c r="D275" s="83">
        <f t="shared" si="31"/>
        <v>445.77777777777789</v>
      </c>
      <c r="E275">
        <f t="shared" si="27"/>
        <v>0</v>
      </c>
      <c r="G275">
        <v>225</v>
      </c>
      <c r="H275" s="13">
        <f t="shared" si="32"/>
        <v>1.8572577375266519E-2</v>
      </c>
      <c r="I275">
        <f t="shared" si="33"/>
        <v>108.68499418238551</v>
      </c>
      <c r="J275">
        <f t="shared" si="28"/>
        <v>453.35981436919411</v>
      </c>
      <c r="K275" s="27">
        <f t="shared" si="29"/>
        <v>3817.5736982410513</v>
      </c>
    </row>
    <row r="276" spans="1:11" x14ac:dyDescent="0.25">
      <c r="A276" s="26">
        <v>226</v>
      </c>
      <c r="B276" s="82">
        <f t="shared" si="30"/>
        <v>0</v>
      </c>
      <c r="C276" s="58">
        <f t="shared" si="34"/>
        <v>104.50616427295054</v>
      </c>
      <c r="D276" s="83">
        <f t="shared" si="31"/>
        <v>445.77777777777789</v>
      </c>
      <c r="E276">
        <f t="shared" si="27"/>
        <v>0</v>
      </c>
      <c r="G276">
        <v>226</v>
      </c>
      <c r="H276" s="13">
        <f t="shared" si="32"/>
        <v>1.8572577375266519E-2</v>
      </c>
      <c r="I276">
        <f t="shared" si="33"/>
        <v>108.70356675976078</v>
      </c>
      <c r="J276">
        <f t="shared" si="28"/>
        <v>453.39030691672104</v>
      </c>
      <c r="K276" s="27">
        <f t="shared" si="29"/>
        <v>3818.0870253910002</v>
      </c>
    </row>
    <row r="277" spans="1:11" x14ac:dyDescent="0.25">
      <c r="A277" s="26">
        <v>227</v>
      </c>
      <c r="B277" s="82">
        <f t="shared" si="30"/>
        <v>0</v>
      </c>
      <c r="C277" s="58">
        <f t="shared" si="34"/>
        <v>104.50616427295054</v>
      </c>
      <c r="D277" s="83">
        <f t="shared" si="31"/>
        <v>445.77777777777789</v>
      </c>
      <c r="E277">
        <f t="shared" si="27"/>
        <v>0</v>
      </c>
      <c r="G277">
        <v>227</v>
      </c>
      <c r="H277" s="13">
        <f t="shared" si="32"/>
        <v>1.8572577375266519E-2</v>
      </c>
      <c r="I277">
        <f t="shared" si="33"/>
        <v>108.72213933713604</v>
      </c>
      <c r="J277">
        <f t="shared" si="28"/>
        <v>453.42077505373732</v>
      </c>
      <c r="K277" s="27">
        <f t="shared" si="29"/>
        <v>3818.5999762652932</v>
      </c>
    </row>
    <row r="278" spans="1:11" x14ac:dyDescent="0.25">
      <c r="A278" s="26">
        <v>228</v>
      </c>
      <c r="B278" s="82">
        <f t="shared" si="30"/>
        <v>0</v>
      </c>
      <c r="C278" s="58">
        <f t="shared" si="34"/>
        <v>104.50616427295054</v>
      </c>
      <c r="D278" s="83">
        <f t="shared" si="31"/>
        <v>445.77777777777789</v>
      </c>
      <c r="E278">
        <f t="shared" si="27"/>
        <v>0</v>
      </c>
      <c r="G278">
        <v>228</v>
      </c>
      <c r="H278" s="13">
        <f t="shared" si="32"/>
        <v>1.8572577375266519E-2</v>
      </c>
      <c r="I278">
        <f t="shared" si="33"/>
        <v>108.74071191451131</v>
      </c>
      <c r="J278">
        <f t="shared" si="28"/>
        <v>453.4512188229449</v>
      </c>
      <c r="K278" s="27">
        <f t="shared" si="29"/>
        <v>3819.1125514993059</v>
      </c>
    </row>
    <row r="279" spans="1:11" x14ac:dyDescent="0.25">
      <c r="A279" s="26">
        <v>229</v>
      </c>
      <c r="B279" s="82">
        <f t="shared" si="30"/>
        <v>0</v>
      </c>
      <c r="C279" s="58">
        <f t="shared" si="34"/>
        <v>104.50616427295054</v>
      </c>
      <c r="D279" s="83">
        <f t="shared" si="31"/>
        <v>445.77777777777789</v>
      </c>
      <c r="E279">
        <f t="shared" si="27"/>
        <v>0</v>
      </c>
      <c r="G279">
        <v>229</v>
      </c>
      <c r="H279" s="13">
        <f t="shared" si="32"/>
        <v>1.8572577375266519E-2</v>
      </c>
      <c r="I279">
        <f t="shared" si="33"/>
        <v>108.75928449188658</v>
      </c>
      <c r="J279">
        <f t="shared" si="28"/>
        <v>453.48163826691206</v>
      </c>
      <c r="K279" s="27">
        <f t="shared" si="29"/>
        <v>3819.6247517264278</v>
      </c>
    </row>
    <row r="280" spans="1:11" x14ac:dyDescent="0.25">
      <c r="A280" s="26">
        <v>230</v>
      </c>
      <c r="B280" s="82">
        <f t="shared" si="30"/>
        <v>0</v>
      </c>
      <c r="C280" s="58">
        <f t="shared" si="34"/>
        <v>104.50616427295054</v>
      </c>
      <c r="D280" s="83">
        <f t="shared" si="31"/>
        <v>445.77777777777789</v>
      </c>
      <c r="E280">
        <f t="shared" si="27"/>
        <v>0</v>
      </c>
      <c r="G280">
        <v>230</v>
      </c>
      <c r="H280" s="13">
        <f t="shared" si="32"/>
        <v>1.8572577375266519E-2</v>
      </c>
      <c r="I280">
        <f t="shared" si="33"/>
        <v>108.77785706926184</v>
      </c>
      <c r="J280">
        <f t="shared" si="28"/>
        <v>453.51203342807423</v>
      </c>
      <c r="K280" s="27">
        <f t="shared" si="29"/>
        <v>3820.1365775780728</v>
      </c>
    </row>
    <row r="281" spans="1:11" x14ac:dyDescent="0.25">
      <c r="A281" s="26">
        <v>231</v>
      </c>
      <c r="B281" s="82">
        <f t="shared" si="30"/>
        <v>0</v>
      </c>
      <c r="C281" s="58">
        <f t="shared" si="34"/>
        <v>104.50616427295054</v>
      </c>
      <c r="D281" s="83">
        <f t="shared" si="31"/>
        <v>445.77777777777789</v>
      </c>
      <c r="E281">
        <f t="shared" si="27"/>
        <v>0</v>
      </c>
      <c r="G281">
        <v>231</v>
      </c>
      <c r="H281" s="13">
        <f t="shared" si="32"/>
        <v>1.8572577375266519E-2</v>
      </c>
      <c r="I281">
        <f t="shared" si="33"/>
        <v>108.79642964663711</v>
      </c>
      <c r="J281">
        <f t="shared" si="28"/>
        <v>453.54240434873441</v>
      </c>
      <c r="K281" s="27">
        <f t="shared" si="29"/>
        <v>3820.6480296836835</v>
      </c>
    </row>
    <row r="282" spans="1:11" x14ac:dyDescent="0.25">
      <c r="A282" s="26">
        <v>232</v>
      </c>
      <c r="B282" s="82">
        <f t="shared" si="30"/>
        <v>0</v>
      </c>
      <c r="C282" s="58">
        <f t="shared" si="34"/>
        <v>104.50616427295054</v>
      </c>
      <c r="D282" s="83">
        <f t="shared" si="31"/>
        <v>445.77777777777789</v>
      </c>
      <c r="E282">
        <f t="shared" si="27"/>
        <v>0</v>
      </c>
      <c r="G282">
        <v>232</v>
      </c>
      <c r="H282" s="13">
        <f t="shared" si="32"/>
        <v>1.8572577375266519E-2</v>
      </c>
      <c r="I282">
        <f t="shared" si="33"/>
        <v>108.81500222401237</v>
      </c>
      <c r="J282">
        <f t="shared" si="28"/>
        <v>453.57275107106369</v>
      </c>
      <c r="K282" s="27">
        <f t="shared" si="29"/>
        <v>3821.1591086707417</v>
      </c>
    </row>
    <row r="283" spans="1:11" x14ac:dyDescent="0.25">
      <c r="A283" s="26">
        <v>233</v>
      </c>
      <c r="B283" s="82">
        <f t="shared" si="30"/>
        <v>0</v>
      </c>
      <c r="C283" s="58">
        <f t="shared" si="34"/>
        <v>104.50616427295054</v>
      </c>
      <c r="D283" s="83">
        <f t="shared" si="31"/>
        <v>445.77777777777789</v>
      </c>
      <c r="E283">
        <f t="shared" si="27"/>
        <v>0</v>
      </c>
      <c r="G283">
        <v>233</v>
      </c>
      <c r="H283" s="13">
        <f t="shared" si="32"/>
        <v>1.8572577375266519E-2</v>
      </c>
      <c r="I283">
        <f t="shared" si="33"/>
        <v>108.83357480138764</v>
      </c>
      <c r="J283">
        <f t="shared" si="28"/>
        <v>453.60307363710194</v>
      </c>
      <c r="K283" s="27">
        <f t="shared" si="29"/>
        <v>3821.669815164782</v>
      </c>
    </row>
    <row r="284" spans="1:11" x14ac:dyDescent="0.25">
      <c r="A284" s="26">
        <v>234</v>
      </c>
      <c r="B284" s="82">
        <f t="shared" si="30"/>
        <v>0</v>
      </c>
      <c r="C284" s="58">
        <f t="shared" si="34"/>
        <v>104.50616427295054</v>
      </c>
      <c r="D284" s="83">
        <f t="shared" si="31"/>
        <v>445.77777777777789</v>
      </c>
      <c r="E284">
        <f t="shared" si="27"/>
        <v>0</v>
      </c>
      <c r="G284">
        <v>234</v>
      </c>
      <c r="H284" s="13">
        <f t="shared" si="32"/>
        <v>1.8572577375266519E-2</v>
      </c>
      <c r="I284">
        <f t="shared" si="33"/>
        <v>108.85214737876291</v>
      </c>
      <c r="J284">
        <f t="shared" si="28"/>
        <v>453.63337208875851</v>
      </c>
      <c r="K284" s="27">
        <f t="shared" si="29"/>
        <v>3822.1801497893921</v>
      </c>
    </row>
    <row r="285" spans="1:11" x14ac:dyDescent="0.25">
      <c r="A285" s="26">
        <v>235</v>
      </c>
      <c r="B285" s="82">
        <f t="shared" si="30"/>
        <v>0</v>
      </c>
      <c r="C285" s="58">
        <f t="shared" si="34"/>
        <v>104.50616427295054</v>
      </c>
      <c r="D285" s="83">
        <f t="shared" si="31"/>
        <v>445.77777777777789</v>
      </c>
      <c r="E285">
        <f t="shared" si="27"/>
        <v>0</v>
      </c>
      <c r="G285">
        <v>235</v>
      </c>
      <c r="H285" s="13">
        <f t="shared" si="32"/>
        <v>1.8572577375266519E-2</v>
      </c>
      <c r="I285">
        <f t="shared" si="33"/>
        <v>108.87071995613817</v>
      </c>
      <c r="J285">
        <f t="shared" si="28"/>
        <v>453.66364646781244</v>
      </c>
      <c r="K285" s="27">
        <f t="shared" si="29"/>
        <v>3822.6901131662248</v>
      </c>
    </row>
    <row r="286" spans="1:11" x14ac:dyDescent="0.25">
      <c r="A286" s="26">
        <v>236</v>
      </c>
      <c r="B286" s="82">
        <f t="shared" si="30"/>
        <v>0</v>
      </c>
      <c r="C286" s="58">
        <f t="shared" si="34"/>
        <v>104.50616427295054</v>
      </c>
      <c r="D286" s="83">
        <f t="shared" si="31"/>
        <v>445.77777777777789</v>
      </c>
      <c r="E286">
        <f t="shared" si="27"/>
        <v>0</v>
      </c>
      <c r="G286">
        <v>236</v>
      </c>
      <c r="H286" s="13">
        <f t="shared" si="32"/>
        <v>1.8572577375266519E-2</v>
      </c>
      <c r="I286">
        <f t="shared" si="33"/>
        <v>108.88929253351344</v>
      </c>
      <c r="J286">
        <f t="shared" si="28"/>
        <v>453.69389681591338</v>
      </c>
      <c r="K286" s="27">
        <f t="shared" si="29"/>
        <v>3823.199705915009</v>
      </c>
    </row>
    <row r="287" spans="1:11" x14ac:dyDescent="0.25">
      <c r="A287" s="26">
        <v>237</v>
      </c>
      <c r="B287" s="82">
        <f t="shared" si="30"/>
        <v>0</v>
      </c>
      <c r="C287" s="58">
        <f t="shared" si="34"/>
        <v>104.50616427295054</v>
      </c>
      <c r="D287" s="83">
        <f t="shared" si="31"/>
        <v>445.77777777777789</v>
      </c>
      <c r="E287">
        <f t="shared" si="27"/>
        <v>0</v>
      </c>
      <c r="G287">
        <v>237</v>
      </c>
      <c r="H287" s="13">
        <f t="shared" si="32"/>
        <v>1.8572577375266519E-2</v>
      </c>
      <c r="I287">
        <f t="shared" si="33"/>
        <v>108.90786511088871</v>
      </c>
      <c r="J287">
        <f t="shared" si="28"/>
        <v>453.72412317458185</v>
      </c>
      <c r="K287" s="27">
        <f t="shared" si="29"/>
        <v>3823.7089286535538</v>
      </c>
    </row>
    <row r="288" spans="1:11" x14ac:dyDescent="0.25">
      <c r="A288" s="26">
        <v>238</v>
      </c>
      <c r="B288" s="82">
        <f t="shared" si="30"/>
        <v>0</v>
      </c>
      <c r="C288" s="58">
        <f t="shared" si="34"/>
        <v>104.50616427295054</v>
      </c>
      <c r="D288" s="83">
        <f t="shared" si="31"/>
        <v>445.77777777777789</v>
      </c>
      <c r="E288">
        <f t="shared" si="27"/>
        <v>0</v>
      </c>
      <c r="G288">
        <v>238</v>
      </c>
      <c r="H288" s="13">
        <f t="shared" si="32"/>
        <v>1.8572577375266519E-2</v>
      </c>
      <c r="I288">
        <f t="shared" si="33"/>
        <v>108.92643768826397</v>
      </c>
      <c r="J288">
        <f t="shared" si="28"/>
        <v>453.75432558521015</v>
      </c>
      <c r="K288" s="27">
        <f t="shared" si="29"/>
        <v>3824.217781997761</v>
      </c>
    </row>
    <row r="289" spans="1:11" x14ac:dyDescent="0.25">
      <c r="A289" s="26">
        <v>239</v>
      </c>
      <c r="B289" s="82">
        <f t="shared" si="30"/>
        <v>0</v>
      </c>
      <c r="C289" s="58">
        <f t="shared" si="34"/>
        <v>104.50616427295054</v>
      </c>
      <c r="D289" s="83">
        <f t="shared" si="31"/>
        <v>445.77777777777789</v>
      </c>
      <c r="E289">
        <f t="shared" si="27"/>
        <v>0</v>
      </c>
      <c r="G289">
        <v>239</v>
      </c>
      <c r="H289" s="13">
        <f t="shared" si="32"/>
        <v>1.8572577375266519E-2</v>
      </c>
      <c r="I289">
        <f t="shared" si="33"/>
        <v>108.94501026563924</v>
      </c>
      <c r="J289">
        <f t="shared" si="28"/>
        <v>453.78450408906258</v>
      </c>
      <c r="K289" s="27">
        <f t="shared" si="29"/>
        <v>3824.7262665616272</v>
      </c>
    </row>
    <row r="290" spans="1:11" x14ac:dyDescent="0.25">
      <c r="A290" s="26">
        <v>240</v>
      </c>
      <c r="B290" s="82">
        <f t="shared" si="30"/>
        <v>0</v>
      </c>
      <c r="C290" s="58">
        <f t="shared" si="34"/>
        <v>104.50616427295054</v>
      </c>
      <c r="D290" s="83">
        <f t="shared" si="31"/>
        <v>445.77777777777789</v>
      </c>
      <c r="E290">
        <f t="shared" si="27"/>
        <v>0</v>
      </c>
      <c r="G290">
        <v>240</v>
      </c>
      <c r="H290" s="13">
        <f t="shared" si="32"/>
        <v>1.8572577375266519E-2</v>
      </c>
      <c r="I290">
        <f t="shared" si="33"/>
        <v>108.96358284301451</v>
      </c>
      <c r="J290">
        <f t="shared" si="28"/>
        <v>453.81465872727625</v>
      </c>
      <c r="K290" s="27">
        <f t="shared" si="29"/>
        <v>3825.2343829572615</v>
      </c>
    </row>
    <row r="291" spans="1:11" x14ac:dyDescent="0.25">
      <c r="A291" s="26">
        <v>241</v>
      </c>
      <c r="B291" s="82">
        <f t="shared" si="30"/>
        <v>0</v>
      </c>
      <c r="C291" s="58">
        <f t="shared" si="34"/>
        <v>104.50616427295054</v>
      </c>
      <c r="D291" s="83">
        <f t="shared" si="31"/>
        <v>445.77777777777789</v>
      </c>
      <c r="E291">
        <f t="shared" si="27"/>
        <v>0</v>
      </c>
      <c r="G291">
        <v>241</v>
      </c>
      <c r="H291" s="13">
        <f t="shared" si="32"/>
        <v>1.8572577375266519E-2</v>
      </c>
      <c r="I291">
        <f t="shared" si="33"/>
        <v>108.98215542038977</v>
      </c>
      <c r="J291">
        <f t="shared" si="28"/>
        <v>453.84478954086137</v>
      </c>
      <c r="K291" s="27">
        <f t="shared" si="29"/>
        <v>3825.7421317948824</v>
      </c>
    </row>
    <row r="292" spans="1:11" x14ac:dyDescent="0.25">
      <c r="A292" s="26">
        <v>242</v>
      </c>
      <c r="B292" s="82">
        <f t="shared" si="30"/>
        <v>0</v>
      </c>
      <c r="C292" s="58">
        <f t="shared" si="34"/>
        <v>104.50616427295054</v>
      </c>
      <c r="D292" s="83">
        <f t="shared" si="31"/>
        <v>445.77777777777789</v>
      </c>
      <c r="E292">
        <f t="shared" si="27"/>
        <v>0</v>
      </c>
      <c r="G292">
        <v>242</v>
      </c>
      <c r="H292" s="13">
        <f t="shared" si="32"/>
        <v>1.8572577375266519E-2</v>
      </c>
      <c r="I292">
        <f t="shared" si="33"/>
        <v>109.00072799776504</v>
      </c>
      <c r="J292">
        <f t="shared" si="28"/>
        <v>453.87489657070222</v>
      </c>
      <c r="K292" s="27">
        <f t="shared" si="29"/>
        <v>3826.2495136828379</v>
      </c>
    </row>
    <row r="293" spans="1:11" x14ac:dyDescent="0.25">
      <c r="A293" s="26">
        <v>243</v>
      </c>
      <c r="B293" s="82">
        <f t="shared" si="30"/>
        <v>0</v>
      </c>
      <c r="C293" s="58">
        <f t="shared" si="34"/>
        <v>104.50616427295054</v>
      </c>
      <c r="D293" s="83">
        <f t="shared" si="31"/>
        <v>445.77777777777789</v>
      </c>
      <c r="E293">
        <f t="shared" si="27"/>
        <v>0</v>
      </c>
      <c r="G293">
        <v>243</v>
      </c>
      <c r="H293" s="13">
        <f t="shared" si="32"/>
        <v>1.8572577375266519E-2</v>
      </c>
      <c r="I293">
        <f t="shared" si="33"/>
        <v>109.01930057514031</v>
      </c>
      <c r="J293">
        <f t="shared" si="28"/>
        <v>453.90497985755707</v>
      </c>
      <c r="K293" s="27">
        <f t="shared" si="29"/>
        <v>3826.7565292276013</v>
      </c>
    </row>
    <row r="294" spans="1:11" x14ac:dyDescent="0.25">
      <c r="A294" s="26">
        <v>244</v>
      </c>
      <c r="B294" s="82">
        <f t="shared" si="30"/>
        <v>0</v>
      </c>
      <c r="C294" s="58">
        <f t="shared" si="34"/>
        <v>104.50616427295054</v>
      </c>
      <c r="D294" s="83">
        <f t="shared" si="31"/>
        <v>445.77777777777789</v>
      </c>
      <c r="E294">
        <f t="shared" si="27"/>
        <v>0</v>
      </c>
      <c r="G294">
        <v>244</v>
      </c>
      <c r="H294" s="13">
        <f t="shared" si="32"/>
        <v>1.8572577375266519E-2</v>
      </c>
      <c r="I294">
        <f t="shared" si="33"/>
        <v>109.03787315251557</v>
      </c>
      <c r="J294">
        <f t="shared" si="28"/>
        <v>453.93503944205941</v>
      </c>
      <c r="K294" s="27">
        <f t="shared" si="29"/>
        <v>3827.2631790337905</v>
      </c>
    </row>
    <row r="295" spans="1:11" x14ac:dyDescent="0.25">
      <c r="A295" s="26">
        <v>245</v>
      </c>
      <c r="B295" s="82">
        <f t="shared" si="30"/>
        <v>0</v>
      </c>
      <c r="C295" s="58">
        <f t="shared" si="34"/>
        <v>104.50616427295054</v>
      </c>
      <c r="D295" s="83">
        <f t="shared" si="31"/>
        <v>445.77777777777789</v>
      </c>
      <c r="E295">
        <f t="shared" si="27"/>
        <v>0</v>
      </c>
      <c r="G295">
        <v>245</v>
      </c>
      <c r="H295" s="13">
        <f t="shared" si="32"/>
        <v>1.8572577375266519E-2</v>
      </c>
      <c r="I295">
        <f t="shared" si="33"/>
        <v>109.05644572989084</v>
      </c>
      <c r="J295">
        <f t="shared" si="28"/>
        <v>453.9650753647179</v>
      </c>
      <c r="K295" s="27">
        <f t="shared" si="29"/>
        <v>3827.7694637041673</v>
      </c>
    </row>
    <row r="296" spans="1:11" x14ac:dyDescent="0.25">
      <c r="A296" s="26">
        <v>246</v>
      </c>
      <c r="B296" s="82">
        <f t="shared" si="30"/>
        <v>0</v>
      </c>
      <c r="C296" s="58">
        <f t="shared" si="34"/>
        <v>104.50616427295054</v>
      </c>
      <c r="D296" s="83">
        <f t="shared" si="31"/>
        <v>445.77777777777789</v>
      </c>
      <c r="E296">
        <f t="shared" si="27"/>
        <v>0</v>
      </c>
      <c r="G296">
        <v>246</v>
      </c>
      <c r="H296" s="13">
        <f t="shared" si="32"/>
        <v>1.8572577375266519E-2</v>
      </c>
      <c r="I296">
        <f t="shared" si="33"/>
        <v>109.07501830726611</v>
      </c>
      <c r="J296">
        <f t="shared" si="28"/>
        <v>453.99508766591737</v>
      </c>
      <c r="K296" s="27">
        <f t="shared" si="29"/>
        <v>3828.2753838396525</v>
      </c>
    </row>
    <row r="297" spans="1:11" x14ac:dyDescent="0.25">
      <c r="A297" s="26">
        <v>247</v>
      </c>
      <c r="B297" s="82">
        <f t="shared" si="30"/>
        <v>0</v>
      </c>
      <c r="C297" s="58">
        <f t="shared" si="34"/>
        <v>104.50616427295054</v>
      </c>
      <c r="D297" s="83">
        <f t="shared" si="31"/>
        <v>445.77777777777789</v>
      </c>
      <c r="E297">
        <f t="shared" si="27"/>
        <v>0</v>
      </c>
      <c r="G297">
        <v>247</v>
      </c>
      <c r="H297" s="13">
        <f t="shared" si="32"/>
        <v>1.8572577375266519E-2</v>
      </c>
      <c r="I297">
        <f t="shared" si="33"/>
        <v>109.09359088464137</v>
      </c>
      <c r="J297">
        <f t="shared" si="28"/>
        <v>454.02507638591908</v>
      </c>
      <c r="K297" s="27">
        <f t="shared" si="29"/>
        <v>3828.7809400393267</v>
      </c>
    </row>
    <row r="298" spans="1:11" x14ac:dyDescent="0.25">
      <c r="A298" s="26">
        <v>248</v>
      </c>
      <c r="B298" s="82">
        <f t="shared" si="30"/>
        <v>0</v>
      </c>
      <c r="C298" s="58">
        <f t="shared" si="34"/>
        <v>104.50616427295054</v>
      </c>
      <c r="D298" s="83">
        <f t="shared" si="31"/>
        <v>445.77777777777789</v>
      </c>
      <c r="E298">
        <f t="shared" si="27"/>
        <v>0</v>
      </c>
      <c r="G298">
        <v>248</v>
      </c>
      <c r="H298" s="13">
        <f t="shared" si="32"/>
        <v>1.8572577375266519E-2</v>
      </c>
      <c r="I298">
        <f t="shared" si="33"/>
        <v>109.11216346201664</v>
      </c>
      <c r="J298">
        <f t="shared" si="28"/>
        <v>454.0550415648612</v>
      </c>
      <c r="K298" s="27">
        <f t="shared" si="29"/>
        <v>3829.2861329004431</v>
      </c>
    </row>
    <row r="299" spans="1:11" x14ac:dyDescent="0.25">
      <c r="A299" s="26">
        <v>249</v>
      </c>
      <c r="B299" s="82">
        <f t="shared" si="30"/>
        <v>0</v>
      </c>
      <c r="C299" s="58">
        <f t="shared" si="34"/>
        <v>104.50616427295054</v>
      </c>
      <c r="D299" s="83">
        <f t="shared" si="31"/>
        <v>445.77777777777789</v>
      </c>
      <c r="E299">
        <f t="shared" si="27"/>
        <v>0</v>
      </c>
      <c r="G299">
        <v>249</v>
      </c>
      <c r="H299" s="13">
        <f t="shared" si="32"/>
        <v>1.8572577375266519E-2</v>
      </c>
      <c r="I299">
        <f t="shared" si="33"/>
        <v>109.13073603939191</v>
      </c>
      <c r="J299">
        <f t="shared" si="28"/>
        <v>454.08498324275956</v>
      </c>
      <c r="K299" s="27">
        <f t="shared" si="29"/>
        <v>3829.7909630184367</v>
      </c>
    </row>
    <row r="300" spans="1:11" x14ac:dyDescent="0.25">
      <c r="A300" s="26">
        <v>250</v>
      </c>
      <c r="B300" s="82">
        <f t="shared" si="30"/>
        <v>0</v>
      </c>
      <c r="C300" s="58">
        <f t="shared" si="34"/>
        <v>104.50616427295054</v>
      </c>
      <c r="D300" s="83">
        <f t="shared" si="31"/>
        <v>445.77777777777789</v>
      </c>
      <c r="E300">
        <f t="shared" si="27"/>
        <v>0</v>
      </c>
      <c r="G300">
        <v>250</v>
      </c>
      <c r="H300" s="13">
        <f t="shared" si="32"/>
        <v>1.8572577375266519E-2</v>
      </c>
      <c r="I300">
        <f t="shared" si="33"/>
        <v>109.14930861676717</v>
      </c>
      <c r="J300">
        <f t="shared" si="28"/>
        <v>454.11490145950819</v>
      </c>
      <c r="K300" s="27">
        <f t="shared" si="29"/>
        <v>3830.2954309869256</v>
      </c>
    </row>
    <row r="301" spans="1:11" x14ac:dyDescent="0.25">
      <c r="A301" s="26">
        <v>251</v>
      </c>
      <c r="B301" s="82">
        <f t="shared" si="30"/>
        <v>0</v>
      </c>
      <c r="C301" s="58">
        <f t="shared" si="34"/>
        <v>104.50616427295054</v>
      </c>
      <c r="D301" s="83">
        <f t="shared" si="31"/>
        <v>445.77777777777789</v>
      </c>
      <c r="E301">
        <f t="shared" si="27"/>
        <v>0</v>
      </c>
      <c r="G301">
        <v>251</v>
      </c>
      <c r="H301" s="13">
        <f t="shared" si="32"/>
        <v>1.8572577375266519E-2</v>
      </c>
      <c r="I301">
        <f t="shared" si="33"/>
        <v>109.16788119414244</v>
      </c>
      <c r="J301">
        <f t="shared" si="28"/>
        <v>454.14479625487945</v>
      </c>
      <c r="K301" s="27">
        <f t="shared" si="29"/>
        <v>3830.799537397726</v>
      </c>
    </row>
    <row r="302" spans="1:11" x14ac:dyDescent="0.25">
      <c r="A302" s="26">
        <v>252</v>
      </c>
      <c r="B302" s="82">
        <f t="shared" si="30"/>
        <v>0</v>
      </c>
      <c r="C302" s="58">
        <f t="shared" si="34"/>
        <v>104.50616427295054</v>
      </c>
      <c r="D302" s="83">
        <f t="shared" si="31"/>
        <v>445.77777777777789</v>
      </c>
      <c r="E302">
        <f t="shared" si="27"/>
        <v>0</v>
      </c>
      <c r="G302">
        <v>252</v>
      </c>
      <c r="H302" s="13">
        <f t="shared" si="32"/>
        <v>1.8572577375266519E-2</v>
      </c>
      <c r="I302">
        <f t="shared" si="33"/>
        <v>109.18645377151771</v>
      </c>
      <c r="J302">
        <f t="shared" si="28"/>
        <v>454.17466766852505</v>
      </c>
      <c r="K302" s="27">
        <f t="shared" si="29"/>
        <v>3831.3032828408527</v>
      </c>
    </row>
    <row r="303" spans="1:11" x14ac:dyDescent="0.25">
      <c r="A303" s="26">
        <v>253</v>
      </c>
      <c r="B303" s="82">
        <f t="shared" si="30"/>
        <v>0</v>
      </c>
      <c r="C303" s="58">
        <f t="shared" si="34"/>
        <v>104.50616427295054</v>
      </c>
      <c r="D303" s="83">
        <f t="shared" si="31"/>
        <v>445.77777777777789</v>
      </c>
      <c r="E303">
        <f t="shared" si="27"/>
        <v>0</v>
      </c>
      <c r="G303">
        <v>253</v>
      </c>
      <c r="H303" s="13">
        <f t="shared" si="32"/>
        <v>1.8572577375266519E-2</v>
      </c>
      <c r="I303">
        <f t="shared" si="33"/>
        <v>109.20502634889297</v>
      </c>
      <c r="J303">
        <f t="shared" si="28"/>
        <v>454.20451573997627</v>
      </c>
      <c r="K303" s="27">
        <f t="shared" si="29"/>
        <v>3831.8066679045346</v>
      </c>
    </row>
    <row r="304" spans="1:11" x14ac:dyDescent="0.25">
      <c r="A304" s="26">
        <v>254</v>
      </c>
      <c r="B304" s="82">
        <f t="shared" si="30"/>
        <v>0</v>
      </c>
      <c r="C304" s="58">
        <f t="shared" si="34"/>
        <v>104.50616427295054</v>
      </c>
      <c r="D304" s="83">
        <f t="shared" si="31"/>
        <v>445.77777777777789</v>
      </c>
      <c r="E304">
        <f t="shared" si="27"/>
        <v>0</v>
      </c>
      <c r="G304">
        <v>254</v>
      </c>
      <c r="H304" s="13">
        <f t="shared" si="32"/>
        <v>1.8572577375266519E-2</v>
      </c>
      <c r="I304">
        <f t="shared" si="33"/>
        <v>109.22359892626824</v>
      </c>
      <c r="J304">
        <f t="shared" si="28"/>
        <v>454.23434050864444</v>
      </c>
      <c r="K304" s="27">
        <f t="shared" si="29"/>
        <v>3832.3096931752152</v>
      </c>
    </row>
    <row r="305" spans="1:11" x14ac:dyDescent="0.25">
      <c r="A305" s="26">
        <v>255</v>
      </c>
      <c r="B305" s="82">
        <f t="shared" si="30"/>
        <v>0</v>
      </c>
      <c r="C305" s="58">
        <f t="shared" si="34"/>
        <v>104.50616427295054</v>
      </c>
      <c r="D305" s="83">
        <f t="shared" si="31"/>
        <v>445.77777777777789</v>
      </c>
      <c r="E305">
        <f t="shared" si="27"/>
        <v>0</v>
      </c>
      <c r="G305">
        <v>255</v>
      </c>
      <c r="H305" s="13">
        <f t="shared" si="32"/>
        <v>1.8572577375266519E-2</v>
      </c>
      <c r="I305">
        <f t="shared" si="33"/>
        <v>109.2421715036435</v>
      </c>
      <c r="J305">
        <f t="shared" si="28"/>
        <v>454.26414201382175</v>
      </c>
      <c r="K305" s="27">
        <f t="shared" si="29"/>
        <v>3832.8123592375664</v>
      </c>
    </row>
    <row r="306" spans="1:11" x14ac:dyDescent="0.25">
      <c r="A306" s="26">
        <v>256</v>
      </c>
      <c r="B306" s="82">
        <f t="shared" si="30"/>
        <v>0</v>
      </c>
      <c r="C306" s="58">
        <f t="shared" si="34"/>
        <v>104.50616427295054</v>
      </c>
      <c r="D306" s="83">
        <f t="shared" si="31"/>
        <v>445.77777777777789</v>
      </c>
      <c r="E306">
        <f t="shared" si="27"/>
        <v>0</v>
      </c>
      <c r="G306">
        <v>256</v>
      </c>
      <c r="H306" s="13">
        <f t="shared" si="32"/>
        <v>1.8572577375266519E-2</v>
      </c>
      <c r="I306">
        <f t="shared" si="33"/>
        <v>109.26074408101877</v>
      </c>
      <c r="J306">
        <f t="shared" si="28"/>
        <v>454.29392029468136</v>
      </c>
      <c r="K306" s="27">
        <f t="shared" si="29"/>
        <v>3833.3146666744888</v>
      </c>
    </row>
    <row r="307" spans="1:11" x14ac:dyDescent="0.25">
      <c r="A307" s="26">
        <v>257</v>
      </c>
      <c r="B307" s="82">
        <f t="shared" si="30"/>
        <v>0</v>
      </c>
      <c r="C307" s="58">
        <f t="shared" si="34"/>
        <v>104.50616427295054</v>
      </c>
      <c r="D307" s="83">
        <f t="shared" si="31"/>
        <v>445.77777777777789</v>
      </c>
      <c r="E307">
        <f t="shared" ref="E307:E370" si="35">((D307^2)+(D307*D308)+(D308^2))*B308/3</f>
        <v>0</v>
      </c>
      <c r="G307">
        <v>257</v>
      </c>
      <c r="H307" s="13">
        <f t="shared" si="32"/>
        <v>1.8572577375266519E-2</v>
      </c>
      <c r="I307">
        <f t="shared" si="33"/>
        <v>109.27931665839404</v>
      </c>
      <c r="J307">
        <f t="shared" ref="J307:J370" si="36">IF($G$28&lt;$C$14,0,((($C$11^2)-((I307-$C$13)^2))^0.5)+$C$16)</f>
        <v>454.3236753902782</v>
      </c>
      <c r="K307" s="27">
        <f t="shared" ref="K307:K370" si="37">((J307^2)+(J307*J308)+(J308^2))*H308/3</f>
        <v>3833.8166160671267</v>
      </c>
    </row>
    <row r="308" spans="1:11" x14ac:dyDescent="0.25">
      <c r="A308" s="26">
        <v>258</v>
      </c>
      <c r="B308" s="82">
        <f t="shared" ref="B308:B371" si="38">C308-C307</f>
        <v>0</v>
      </c>
      <c r="C308" s="58">
        <f t="shared" si="34"/>
        <v>104.50616427295054</v>
      </c>
      <c r="D308" s="83">
        <f t="shared" ref="D308:D371" si="39">IF($G$28&lt;$C$14,0,((($C$11^2)-((C308-$C$13)^2))^0.5)+$C$16)</f>
        <v>445.77777777777789</v>
      </c>
      <c r="E308">
        <f t="shared" si="35"/>
        <v>0</v>
      </c>
      <c r="G308">
        <v>258</v>
      </c>
      <c r="H308" s="13">
        <f t="shared" ref="H308:H371" si="40">I308-I307</f>
        <v>1.8572577375266519E-2</v>
      </c>
      <c r="I308">
        <f t="shared" ref="I308:I371" si="41">($G$27-$C$14)/2000+I307</f>
        <v>109.2978892357693</v>
      </c>
      <c r="J308">
        <f t="shared" si="36"/>
        <v>454.35340733954939</v>
      </c>
      <c r="K308" s="27">
        <f t="shared" si="37"/>
        <v>3834.3182079948724</v>
      </c>
    </row>
    <row r="309" spans="1:11" x14ac:dyDescent="0.25">
      <c r="A309" s="26">
        <v>259</v>
      </c>
      <c r="B309" s="82">
        <f t="shared" si="38"/>
        <v>0</v>
      </c>
      <c r="C309" s="58">
        <f t="shared" si="34"/>
        <v>104.50616427295054</v>
      </c>
      <c r="D309" s="83">
        <f t="shared" si="39"/>
        <v>445.77777777777789</v>
      </c>
      <c r="E309">
        <f t="shared" si="35"/>
        <v>0</v>
      </c>
      <c r="G309">
        <v>259</v>
      </c>
      <c r="H309" s="13">
        <f t="shared" si="40"/>
        <v>1.8572577375266519E-2</v>
      </c>
      <c r="I309">
        <f t="shared" si="41"/>
        <v>109.31646181314457</v>
      </c>
      <c r="J309">
        <f t="shared" si="36"/>
        <v>454.38311618131468</v>
      </c>
      <c r="K309" s="27">
        <f t="shared" si="37"/>
        <v>3834.8194430353706</v>
      </c>
    </row>
    <row r="310" spans="1:11" x14ac:dyDescent="0.25">
      <c r="A310" s="26">
        <v>260</v>
      </c>
      <c r="B310" s="82">
        <f t="shared" si="38"/>
        <v>0</v>
      </c>
      <c r="C310" s="58">
        <f t="shared" si="34"/>
        <v>104.50616427295054</v>
      </c>
      <c r="D310" s="83">
        <f t="shared" si="39"/>
        <v>445.77777777777789</v>
      </c>
      <c r="E310">
        <f t="shared" si="35"/>
        <v>0</v>
      </c>
      <c r="G310">
        <v>260</v>
      </c>
      <c r="H310" s="13">
        <f t="shared" si="40"/>
        <v>1.8572577375266519E-2</v>
      </c>
      <c r="I310">
        <f t="shared" si="41"/>
        <v>109.33503439051984</v>
      </c>
      <c r="J310">
        <f t="shared" si="36"/>
        <v>454.41280195427697</v>
      </c>
      <c r="K310" s="27">
        <f t="shared" si="37"/>
        <v>3835.32032176453</v>
      </c>
    </row>
    <row r="311" spans="1:11" x14ac:dyDescent="0.25">
      <c r="A311" s="26">
        <v>261</v>
      </c>
      <c r="B311" s="82">
        <f t="shared" si="38"/>
        <v>0</v>
      </c>
      <c r="C311" s="58">
        <f t="shared" si="34"/>
        <v>104.50616427295054</v>
      </c>
      <c r="D311" s="83">
        <f t="shared" si="39"/>
        <v>445.77777777777789</v>
      </c>
      <c r="E311">
        <f t="shared" si="35"/>
        <v>0</v>
      </c>
      <c r="G311">
        <v>261</v>
      </c>
      <c r="H311" s="13">
        <f t="shared" si="40"/>
        <v>1.8572577375266519E-2</v>
      </c>
      <c r="I311">
        <f t="shared" si="41"/>
        <v>109.3536069678951</v>
      </c>
      <c r="J311">
        <f t="shared" si="36"/>
        <v>454.44246469702296</v>
      </c>
      <c r="K311" s="27">
        <f t="shared" si="37"/>
        <v>3835.8208447565316</v>
      </c>
    </row>
    <row r="312" spans="1:11" x14ac:dyDescent="0.25">
      <c r="A312" s="26">
        <v>262</v>
      </c>
      <c r="B312" s="82">
        <f t="shared" si="38"/>
        <v>0</v>
      </c>
      <c r="C312" s="58">
        <f t="shared" si="34"/>
        <v>104.50616427295054</v>
      </c>
      <c r="D312" s="83">
        <f t="shared" si="39"/>
        <v>445.77777777777789</v>
      </c>
      <c r="E312">
        <f t="shared" si="35"/>
        <v>0</v>
      </c>
      <c r="G312">
        <v>262</v>
      </c>
      <c r="H312" s="13">
        <f t="shared" si="40"/>
        <v>1.8572577375266519E-2</v>
      </c>
      <c r="I312">
        <f t="shared" si="41"/>
        <v>109.37217954527037</v>
      </c>
      <c r="J312">
        <f t="shared" si="36"/>
        <v>454.47210444802329</v>
      </c>
      <c r="K312" s="27">
        <f t="shared" si="37"/>
        <v>3836.3210125838291</v>
      </c>
    </row>
    <row r="313" spans="1:11" x14ac:dyDescent="0.25">
      <c r="A313" s="26">
        <v>263</v>
      </c>
      <c r="B313" s="82">
        <f t="shared" si="38"/>
        <v>0</v>
      </c>
      <c r="C313" s="58">
        <f t="shared" si="34"/>
        <v>104.50616427295054</v>
      </c>
      <c r="D313" s="83">
        <f t="shared" si="39"/>
        <v>445.77777777777789</v>
      </c>
      <c r="E313">
        <f t="shared" si="35"/>
        <v>0</v>
      </c>
      <c r="G313">
        <v>263</v>
      </c>
      <c r="H313" s="13">
        <f t="shared" si="40"/>
        <v>1.8572577375266519E-2</v>
      </c>
      <c r="I313">
        <f t="shared" si="41"/>
        <v>109.39075212264564</v>
      </c>
      <c r="J313">
        <f t="shared" si="36"/>
        <v>454.50172124563346</v>
      </c>
      <c r="K313" s="27">
        <f t="shared" si="37"/>
        <v>3836.8208258171653</v>
      </c>
    </row>
    <row r="314" spans="1:11" x14ac:dyDescent="0.25">
      <c r="A314" s="26">
        <v>264</v>
      </c>
      <c r="B314" s="82">
        <f t="shared" si="38"/>
        <v>0</v>
      </c>
      <c r="C314" s="58">
        <f t="shared" si="34"/>
        <v>104.50616427295054</v>
      </c>
      <c r="D314" s="83">
        <f t="shared" si="39"/>
        <v>445.77777777777789</v>
      </c>
      <c r="E314">
        <f t="shared" si="35"/>
        <v>0</v>
      </c>
      <c r="G314">
        <v>264</v>
      </c>
      <c r="H314" s="13">
        <f t="shared" si="40"/>
        <v>1.8572577375266519E-2</v>
      </c>
      <c r="I314">
        <f t="shared" si="41"/>
        <v>109.4093247000209</v>
      </c>
      <c r="J314">
        <f t="shared" si="36"/>
        <v>454.53131512809392</v>
      </c>
      <c r="K314" s="27">
        <f t="shared" si="37"/>
        <v>3837.320285025573</v>
      </c>
    </row>
    <row r="315" spans="1:11" x14ac:dyDescent="0.25">
      <c r="A315" s="26">
        <v>265</v>
      </c>
      <c r="B315" s="82">
        <f t="shared" si="38"/>
        <v>0</v>
      </c>
      <c r="C315" s="58">
        <f t="shared" si="34"/>
        <v>104.50616427295054</v>
      </c>
      <c r="D315" s="83">
        <f t="shared" si="39"/>
        <v>445.77777777777789</v>
      </c>
      <c r="E315">
        <f t="shared" si="35"/>
        <v>0</v>
      </c>
      <c r="G315">
        <v>265</v>
      </c>
      <c r="H315" s="13">
        <f t="shared" si="40"/>
        <v>1.8572577375266519E-2</v>
      </c>
      <c r="I315">
        <f t="shared" si="41"/>
        <v>109.42789727739617</v>
      </c>
      <c r="J315">
        <f t="shared" si="36"/>
        <v>454.56088613353091</v>
      </c>
      <c r="K315" s="27">
        <f t="shared" si="37"/>
        <v>3837.8193907763812</v>
      </c>
    </row>
    <row r="316" spans="1:11" x14ac:dyDescent="0.25">
      <c r="A316" s="26">
        <v>266</v>
      </c>
      <c r="B316" s="82">
        <f t="shared" si="38"/>
        <v>0</v>
      </c>
      <c r="C316" s="58">
        <f t="shared" si="34"/>
        <v>104.50616427295054</v>
      </c>
      <c r="D316" s="83">
        <f t="shared" si="39"/>
        <v>445.77777777777789</v>
      </c>
      <c r="E316">
        <f t="shared" si="35"/>
        <v>0</v>
      </c>
      <c r="G316">
        <v>266</v>
      </c>
      <c r="H316" s="13">
        <f t="shared" si="40"/>
        <v>1.8572577375266519E-2</v>
      </c>
      <c r="I316">
        <f t="shared" si="41"/>
        <v>109.44646985477144</v>
      </c>
      <c r="J316">
        <f t="shared" si="36"/>
        <v>454.59043429995654</v>
      </c>
      <c r="K316" s="27">
        <f t="shared" si="37"/>
        <v>3838.3181436352284</v>
      </c>
    </row>
    <row r="317" spans="1:11" x14ac:dyDescent="0.25">
      <c r="A317" s="26">
        <v>267</v>
      </c>
      <c r="B317" s="82">
        <f t="shared" si="38"/>
        <v>0</v>
      </c>
      <c r="C317" s="58">
        <f t="shared" si="34"/>
        <v>104.50616427295054</v>
      </c>
      <c r="D317" s="83">
        <f t="shared" si="39"/>
        <v>445.77777777777789</v>
      </c>
      <c r="E317">
        <f t="shared" si="35"/>
        <v>0</v>
      </c>
      <c r="G317">
        <v>267</v>
      </c>
      <c r="H317" s="13">
        <f t="shared" si="40"/>
        <v>1.8572577375266519E-2</v>
      </c>
      <c r="I317">
        <f t="shared" si="41"/>
        <v>109.4650424321467</v>
      </c>
      <c r="J317">
        <f t="shared" si="36"/>
        <v>454.61995966526973</v>
      </c>
      <c r="K317" s="27">
        <f t="shared" si="37"/>
        <v>3838.816544166064</v>
      </c>
    </row>
    <row r="318" spans="1:11" x14ac:dyDescent="0.25">
      <c r="A318" s="26">
        <v>268</v>
      </c>
      <c r="B318" s="82">
        <f t="shared" si="38"/>
        <v>0</v>
      </c>
      <c r="C318" s="58">
        <f t="shared" si="34"/>
        <v>104.50616427295054</v>
      </c>
      <c r="D318" s="83">
        <f t="shared" si="39"/>
        <v>445.77777777777789</v>
      </c>
      <c r="E318">
        <f t="shared" si="35"/>
        <v>0</v>
      </c>
      <c r="G318">
        <v>268</v>
      </c>
      <c r="H318" s="13">
        <f t="shared" si="40"/>
        <v>1.8572577375266519E-2</v>
      </c>
      <c r="I318">
        <f t="shared" si="41"/>
        <v>109.48361500952197</v>
      </c>
      <c r="J318">
        <f t="shared" si="36"/>
        <v>454.64946226725624</v>
      </c>
      <c r="K318" s="27">
        <f t="shared" si="37"/>
        <v>3839.31459293116</v>
      </c>
    </row>
    <row r="319" spans="1:11" x14ac:dyDescent="0.25">
      <c r="A319" s="26">
        <v>269</v>
      </c>
      <c r="B319" s="82">
        <f t="shared" si="38"/>
        <v>0</v>
      </c>
      <c r="C319" s="58">
        <f t="shared" si="34"/>
        <v>104.50616427295054</v>
      </c>
      <c r="D319" s="83">
        <f t="shared" si="39"/>
        <v>445.77777777777789</v>
      </c>
      <c r="E319">
        <f t="shared" si="35"/>
        <v>0</v>
      </c>
      <c r="G319">
        <v>269</v>
      </c>
      <c r="H319" s="13">
        <f t="shared" si="40"/>
        <v>1.8572577375266519E-2</v>
      </c>
      <c r="I319">
        <f t="shared" si="41"/>
        <v>109.50218758689724</v>
      </c>
      <c r="J319">
        <f t="shared" si="36"/>
        <v>454.6789421435895</v>
      </c>
      <c r="K319" s="27">
        <f t="shared" si="37"/>
        <v>3839.8122904911156</v>
      </c>
    </row>
    <row r="320" spans="1:11" x14ac:dyDescent="0.25">
      <c r="A320" s="26">
        <v>270</v>
      </c>
      <c r="B320" s="82">
        <f t="shared" si="38"/>
        <v>0</v>
      </c>
      <c r="C320" s="58">
        <f t="shared" si="34"/>
        <v>104.50616427295054</v>
      </c>
      <c r="D320" s="83">
        <f t="shared" si="39"/>
        <v>445.77777777777789</v>
      </c>
      <c r="E320">
        <f t="shared" si="35"/>
        <v>0</v>
      </c>
      <c r="G320">
        <v>270</v>
      </c>
      <c r="H320" s="13">
        <f t="shared" si="40"/>
        <v>1.8572577375266519E-2</v>
      </c>
      <c r="I320">
        <f t="shared" si="41"/>
        <v>109.5207601642725</v>
      </c>
      <c r="J320">
        <f t="shared" si="36"/>
        <v>454.70839933183083</v>
      </c>
      <c r="K320" s="27">
        <f t="shared" si="37"/>
        <v>3840.30963740486</v>
      </c>
    </row>
    <row r="321" spans="1:11" x14ac:dyDescent="0.25">
      <c r="A321" s="26">
        <v>271</v>
      </c>
      <c r="B321" s="82">
        <f t="shared" si="38"/>
        <v>0</v>
      </c>
      <c r="C321" s="58">
        <f t="shared" si="34"/>
        <v>104.50616427295054</v>
      </c>
      <c r="D321" s="83">
        <f t="shared" si="39"/>
        <v>445.77777777777789</v>
      </c>
      <c r="E321">
        <f t="shared" si="35"/>
        <v>0</v>
      </c>
      <c r="G321">
        <v>271</v>
      </c>
      <c r="H321" s="13">
        <f t="shared" si="40"/>
        <v>1.8572577375266519E-2</v>
      </c>
      <c r="I321">
        <f t="shared" si="41"/>
        <v>109.53933274164777</v>
      </c>
      <c r="J321">
        <f t="shared" si="36"/>
        <v>454.73783386943012</v>
      </c>
      <c r="K321" s="27">
        <f t="shared" si="37"/>
        <v>3840.8066342296679</v>
      </c>
    </row>
    <row r="322" spans="1:11" x14ac:dyDescent="0.25">
      <c r="A322" s="26">
        <v>272</v>
      </c>
      <c r="B322" s="82">
        <f t="shared" si="38"/>
        <v>0</v>
      </c>
      <c r="C322" s="58">
        <f t="shared" si="34"/>
        <v>104.50616427295054</v>
      </c>
      <c r="D322" s="83">
        <f t="shared" si="39"/>
        <v>445.77777777777789</v>
      </c>
      <c r="E322">
        <f t="shared" si="35"/>
        <v>0</v>
      </c>
      <c r="G322">
        <v>272</v>
      </c>
      <c r="H322" s="13">
        <f t="shared" si="40"/>
        <v>1.8572577375266519E-2</v>
      </c>
      <c r="I322">
        <f t="shared" si="41"/>
        <v>109.55790531902304</v>
      </c>
      <c r="J322">
        <f t="shared" si="36"/>
        <v>454.76724579372603</v>
      </c>
      <c r="K322" s="27">
        <f t="shared" si="37"/>
        <v>3841.3032815211627</v>
      </c>
    </row>
    <row r="323" spans="1:11" x14ac:dyDescent="0.25">
      <c r="A323" s="26">
        <v>273</v>
      </c>
      <c r="B323" s="82">
        <f t="shared" si="38"/>
        <v>0</v>
      </c>
      <c r="C323" s="58">
        <f t="shared" si="34"/>
        <v>104.50616427295054</v>
      </c>
      <c r="D323" s="83">
        <f t="shared" si="39"/>
        <v>445.77777777777789</v>
      </c>
      <c r="E323">
        <f t="shared" si="35"/>
        <v>0</v>
      </c>
      <c r="G323">
        <v>273</v>
      </c>
      <c r="H323" s="13">
        <f t="shared" si="40"/>
        <v>1.8572577375266519E-2</v>
      </c>
      <c r="I323">
        <f t="shared" si="41"/>
        <v>109.5764778963983</v>
      </c>
      <c r="J323">
        <f t="shared" si="36"/>
        <v>454.79663514194681</v>
      </c>
      <c r="K323" s="27">
        <f t="shared" si="37"/>
        <v>3841.7995798333177</v>
      </c>
    </row>
    <row r="324" spans="1:11" x14ac:dyDescent="0.25">
      <c r="A324" s="26">
        <v>274</v>
      </c>
      <c r="B324" s="82">
        <f t="shared" si="38"/>
        <v>0</v>
      </c>
      <c r="C324" s="58">
        <f t="shared" si="34"/>
        <v>104.50616427295054</v>
      </c>
      <c r="D324" s="83">
        <f t="shared" si="39"/>
        <v>445.77777777777789</v>
      </c>
      <c r="E324">
        <f t="shared" si="35"/>
        <v>0</v>
      </c>
      <c r="G324">
        <v>274</v>
      </c>
      <c r="H324" s="13">
        <f t="shared" si="40"/>
        <v>1.8572577375266519E-2</v>
      </c>
      <c r="I324">
        <f t="shared" si="41"/>
        <v>109.59505047377357</v>
      </c>
      <c r="J324">
        <f t="shared" si="36"/>
        <v>454.82600195121023</v>
      </c>
      <c r="K324" s="27">
        <f t="shared" si="37"/>
        <v>3842.2955297184722</v>
      </c>
    </row>
    <row r="325" spans="1:11" x14ac:dyDescent="0.25">
      <c r="A325" s="26">
        <v>275</v>
      </c>
      <c r="B325" s="82">
        <f t="shared" si="38"/>
        <v>0</v>
      </c>
      <c r="C325" s="58">
        <f t="shared" si="34"/>
        <v>104.50616427295054</v>
      </c>
      <c r="D325" s="83">
        <f t="shared" si="39"/>
        <v>445.77777777777789</v>
      </c>
      <c r="E325">
        <f t="shared" si="35"/>
        <v>0</v>
      </c>
      <c r="G325">
        <v>275</v>
      </c>
      <c r="H325" s="13">
        <f t="shared" si="40"/>
        <v>1.8572577375266519E-2</v>
      </c>
      <c r="I325">
        <f t="shared" si="41"/>
        <v>109.61362305114883</v>
      </c>
      <c r="J325">
        <f t="shared" si="36"/>
        <v>454.85534625852472</v>
      </c>
      <c r="K325" s="27">
        <f t="shared" si="37"/>
        <v>3842.7911317273342</v>
      </c>
    </row>
    <row r="326" spans="1:11" x14ac:dyDescent="0.25">
      <c r="A326" s="26">
        <v>276</v>
      </c>
      <c r="B326" s="82">
        <f t="shared" si="38"/>
        <v>0</v>
      </c>
      <c r="C326" s="58">
        <f t="shared" si="34"/>
        <v>104.50616427295054</v>
      </c>
      <c r="D326" s="83">
        <f t="shared" si="39"/>
        <v>445.77777777777789</v>
      </c>
      <c r="E326">
        <f t="shared" si="35"/>
        <v>0</v>
      </c>
      <c r="G326">
        <v>276</v>
      </c>
      <c r="H326" s="13">
        <f t="shared" si="40"/>
        <v>1.8572577375266519E-2</v>
      </c>
      <c r="I326">
        <f t="shared" si="41"/>
        <v>109.6321956285241</v>
      </c>
      <c r="J326">
        <f t="shared" si="36"/>
        <v>454.88466810078933</v>
      </c>
      <c r="K326" s="27">
        <f t="shared" si="37"/>
        <v>3843.2863864089863</v>
      </c>
    </row>
    <row r="327" spans="1:11" x14ac:dyDescent="0.25">
      <c r="A327" s="26">
        <v>277</v>
      </c>
      <c r="B327" s="82">
        <f t="shared" si="38"/>
        <v>0</v>
      </c>
      <c r="C327" s="58">
        <f t="shared" si="34"/>
        <v>104.50616427295054</v>
      </c>
      <c r="D327" s="83">
        <f t="shared" si="39"/>
        <v>445.77777777777789</v>
      </c>
      <c r="E327">
        <f t="shared" si="35"/>
        <v>0</v>
      </c>
      <c r="G327">
        <v>277</v>
      </c>
      <c r="H327" s="13">
        <f t="shared" si="40"/>
        <v>1.8572577375266519E-2</v>
      </c>
      <c r="I327">
        <f t="shared" si="41"/>
        <v>109.65076820589937</v>
      </c>
      <c r="J327">
        <f t="shared" si="36"/>
        <v>454.91396751479419</v>
      </c>
      <c r="K327" s="27">
        <f t="shared" si="37"/>
        <v>3843.7812943108897</v>
      </c>
    </row>
    <row r="328" spans="1:11" x14ac:dyDescent="0.25">
      <c r="A328" s="26">
        <v>278</v>
      </c>
      <c r="B328" s="82">
        <f t="shared" si="38"/>
        <v>0</v>
      </c>
      <c r="C328" s="58">
        <f t="shared" si="34"/>
        <v>104.50616427295054</v>
      </c>
      <c r="D328" s="83">
        <f t="shared" si="39"/>
        <v>445.77777777777789</v>
      </c>
      <c r="E328">
        <f t="shared" si="35"/>
        <v>0</v>
      </c>
      <c r="G328">
        <v>278</v>
      </c>
      <c r="H328" s="13">
        <f t="shared" si="40"/>
        <v>1.8572577375266519E-2</v>
      </c>
      <c r="I328">
        <f t="shared" si="41"/>
        <v>109.66934078327463</v>
      </c>
      <c r="J328">
        <f t="shared" si="36"/>
        <v>454.94324453722123</v>
      </c>
      <c r="K328" s="27">
        <f t="shared" si="37"/>
        <v>3844.2758559789017</v>
      </c>
    </row>
    <row r="329" spans="1:11" x14ac:dyDescent="0.25">
      <c r="A329" s="26">
        <v>279</v>
      </c>
      <c r="B329" s="82">
        <f t="shared" si="38"/>
        <v>0</v>
      </c>
      <c r="C329" s="58">
        <f t="shared" si="34"/>
        <v>104.50616427295054</v>
      </c>
      <c r="D329" s="83">
        <f t="shared" si="39"/>
        <v>445.77777777777789</v>
      </c>
      <c r="E329">
        <f t="shared" si="35"/>
        <v>0</v>
      </c>
      <c r="G329">
        <v>279</v>
      </c>
      <c r="H329" s="13">
        <f t="shared" si="40"/>
        <v>1.8572577375266519E-2</v>
      </c>
      <c r="I329">
        <f t="shared" si="41"/>
        <v>109.6879133606499</v>
      </c>
      <c r="J329">
        <f t="shared" si="36"/>
        <v>454.97249920464458</v>
      </c>
      <c r="K329" s="27">
        <f t="shared" si="37"/>
        <v>3844.7700719572681</v>
      </c>
    </row>
    <row r="330" spans="1:11" x14ac:dyDescent="0.25">
      <c r="A330" s="26">
        <v>280</v>
      </c>
      <c r="B330" s="82">
        <f t="shared" si="38"/>
        <v>0</v>
      </c>
      <c r="C330" s="58">
        <f t="shared" si="34"/>
        <v>104.50616427295054</v>
      </c>
      <c r="D330" s="83">
        <f t="shared" si="39"/>
        <v>445.77777777777789</v>
      </c>
      <c r="E330">
        <f t="shared" si="35"/>
        <v>0</v>
      </c>
      <c r="G330">
        <v>280</v>
      </c>
      <c r="H330" s="13">
        <f t="shared" si="40"/>
        <v>1.8572577375266519E-2</v>
      </c>
      <c r="I330">
        <f t="shared" si="41"/>
        <v>109.70648593802517</v>
      </c>
      <c r="J330">
        <f t="shared" si="36"/>
        <v>455.00173155353065</v>
      </c>
      <c r="K330" s="27">
        <f t="shared" si="37"/>
        <v>3845.2639427886402</v>
      </c>
    </row>
    <row r="331" spans="1:11" x14ac:dyDescent="0.25">
      <c r="A331" s="26">
        <v>281</v>
      </c>
      <c r="B331" s="82">
        <f t="shared" si="38"/>
        <v>0</v>
      </c>
      <c r="C331" s="58">
        <f t="shared" si="34"/>
        <v>104.50616427295054</v>
      </c>
      <c r="D331" s="83">
        <f t="shared" si="39"/>
        <v>445.77777777777789</v>
      </c>
      <c r="E331">
        <f t="shared" si="35"/>
        <v>0</v>
      </c>
      <c r="G331">
        <v>281</v>
      </c>
      <c r="H331" s="13">
        <f t="shared" si="40"/>
        <v>1.8572577375266519E-2</v>
      </c>
      <c r="I331">
        <f t="shared" si="41"/>
        <v>109.72505851540043</v>
      </c>
      <c r="J331">
        <f t="shared" si="36"/>
        <v>455.0309416202391</v>
      </c>
      <c r="K331" s="27">
        <f t="shared" si="37"/>
        <v>3845.7574690140787</v>
      </c>
    </row>
    <row r="332" spans="1:11" x14ac:dyDescent="0.25">
      <c r="A332" s="26">
        <v>282</v>
      </c>
      <c r="B332" s="82">
        <f t="shared" si="38"/>
        <v>0</v>
      </c>
      <c r="C332" s="58">
        <f t="shared" si="34"/>
        <v>104.50616427295054</v>
      </c>
      <c r="D332" s="83">
        <f t="shared" si="39"/>
        <v>445.77777777777789</v>
      </c>
      <c r="E332">
        <f t="shared" si="35"/>
        <v>0</v>
      </c>
      <c r="G332">
        <v>282</v>
      </c>
      <c r="H332" s="13">
        <f t="shared" si="40"/>
        <v>1.8572577375266519E-2</v>
      </c>
      <c r="I332">
        <f t="shared" si="41"/>
        <v>109.7436310927757</v>
      </c>
      <c r="J332">
        <f t="shared" si="36"/>
        <v>455.06012944102298</v>
      </c>
      <c r="K332" s="27">
        <f t="shared" si="37"/>
        <v>3846.2506511730567</v>
      </c>
    </row>
    <row r="333" spans="1:11" x14ac:dyDescent="0.25">
      <c r="A333" s="26">
        <v>283</v>
      </c>
      <c r="B333" s="82">
        <f t="shared" si="38"/>
        <v>0</v>
      </c>
      <c r="C333" s="58">
        <f t="shared" si="34"/>
        <v>104.50616427295054</v>
      </c>
      <c r="D333" s="83">
        <f t="shared" si="39"/>
        <v>445.77777777777789</v>
      </c>
      <c r="E333">
        <f t="shared" si="35"/>
        <v>0</v>
      </c>
      <c r="G333">
        <v>283</v>
      </c>
      <c r="H333" s="13">
        <f t="shared" si="40"/>
        <v>1.8572577375266519E-2</v>
      </c>
      <c r="I333">
        <f t="shared" si="41"/>
        <v>109.76220367015097</v>
      </c>
      <c r="J333">
        <f t="shared" si="36"/>
        <v>455.08929505202906</v>
      </c>
      <c r="K333" s="27">
        <f t="shared" si="37"/>
        <v>3846.7434898034699</v>
      </c>
    </row>
    <row r="334" spans="1:11" x14ac:dyDescent="0.25">
      <c r="A334" s="26">
        <v>284</v>
      </c>
      <c r="B334" s="82">
        <f t="shared" si="38"/>
        <v>0</v>
      </c>
      <c r="C334" s="58">
        <f t="shared" si="34"/>
        <v>104.50616427295054</v>
      </c>
      <c r="D334" s="83">
        <f t="shared" si="39"/>
        <v>445.77777777777789</v>
      </c>
      <c r="E334">
        <f t="shared" si="35"/>
        <v>0</v>
      </c>
      <c r="G334">
        <v>284</v>
      </c>
      <c r="H334" s="13">
        <f t="shared" si="40"/>
        <v>1.8572577375266519E-2</v>
      </c>
      <c r="I334">
        <f t="shared" si="41"/>
        <v>109.78077624752623</v>
      </c>
      <c r="J334">
        <f t="shared" si="36"/>
        <v>455.11843848929857</v>
      </c>
      <c r="K334" s="27">
        <f t="shared" si="37"/>
        <v>3847.235985441645</v>
      </c>
    </row>
    <row r="335" spans="1:11" x14ac:dyDescent="0.25">
      <c r="A335" s="26">
        <v>285</v>
      </c>
      <c r="B335" s="82">
        <f t="shared" si="38"/>
        <v>0</v>
      </c>
      <c r="C335" s="58">
        <f t="shared" si="34"/>
        <v>104.50616427295054</v>
      </c>
      <c r="D335" s="83">
        <f t="shared" si="39"/>
        <v>445.77777777777789</v>
      </c>
      <c r="E335">
        <f t="shared" si="35"/>
        <v>0</v>
      </c>
      <c r="G335">
        <v>285</v>
      </c>
      <c r="H335" s="13">
        <f t="shared" si="40"/>
        <v>1.8572577375266519E-2</v>
      </c>
      <c r="I335">
        <f t="shared" si="41"/>
        <v>109.7993488249015</v>
      </c>
      <c r="J335">
        <f t="shared" si="36"/>
        <v>455.14755978876752</v>
      </c>
      <c r="K335" s="27">
        <f t="shared" si="37"/>
        <v>3847.7281386223422</v>
      </c>
    </row>
    <row r="336" spans="1:11" x14ac:dyDescent="0.25">
      <c r="A336" s="26">
        <v>286</v>
      </c>
      <c r="B336" s="82">
        <f t="shared" si="38"/>
        <v>0</v>
      </c>
      <c r="C336" s="58">
        <f t="shared" ref="C336:C399" si="42">($C$37-$C$36)/2000+C335</f>
        <v>104.50616427295054</v>
      </c>
      <c r="D336" s="83">
        <f t="shared" si="39"/>
        <v>445.77777777777789</v>
      </c>
      <c r="E336">
        <f t="shared" si="35"/>
        <v>0</v>
      </c>
      <c r="G336">
        <v>286</v>
      </c>
      <c r="H336" s="13">
        <f t="shared" si="40"/>
        <v>1.8572577375266519E-2</v>
      </c>
      <c r="I336">
        <f t="shared" si="41"/>
        <v>109.81792140227677</v>
      </c>
      <c r="J336">
        <f t="shared" si="36"/>
        <v>455.17665898626706</v>
      </c>
      <c r="K336" s="27">
        <f t="shared" si="37"/>
        <v>3848.2199498787591</v>
      </c>
    </row>
    <row r="337" spans="1:11" x14ac:dyDescent="0.25">
      <c r="A337" s="26">
        <v>287</v>
      </c>
      <c r="B337" s="82">
        <f t="shared" si="38"/>
        <v>0</v>
      </c>
      <c r="C337" s="58">
        <f t="shared" si="42"/>
        <v>104.50616427295054</v>
      </c>
      <c r="D337" s="83">
        <f t="shared" si="39"/>
        <v>445.77777777777789</v>
      </c>
      <c r="E337">
        <f t="shared" si="35"/>
        <v>0</v>
      </c>
      <c r="G337">
        <v>287</v>
      </c>
      <c r="H337" s="13">
        <f t="shared" si="40"/>
        <v>1.8572577375266519E-2</v>
      </c>
      <c r="I337">
        <f t="shared" si="41"/>
        <v>109.83649397965203</v>
      </c>
      <c r="J337">
        <f t="shared" si="36"/>
        <v>455.20573611752377</v>
      </c>
      <c r="K337" s="27">
        <f t="shared" si="37"/>
        <v>3848.7114197425453</v>
      </c>
    </row>
    <row r="338" spans="1:11" x14ac:dyDescent="0.25">
      <c r="A338" s="26">
        <v>288</v>
      </c>
      <c r="B338" s="82">
        <f t="shared" si="38"/>
        <v>0</v>
      </c>
      <c r="C338" s="58">
        <f t="shared" si="42"/>
        <v>104.50616427295054</v>
      </c>
      <c r="D338" s="83">
        <f t="shared" si="39"/>
        <v>445.77777777777789</v>
      </c>
      <c r="E338">
        <f t="shared" si="35"/>
        <v>0</v>
      </c>
      <c r="G338">
        <v>288</v>
      </c>
      <c r="H338" s="13">
        <f t="shared" si="40"/>
        <v>1.8572577375266519E-2</v>
      </c>
      <c r="I338">
        <f t="shared" si="41"/>
        <v>109.8550665570273</v>
      </c>
      <c r="J338">
        <f t="shared" si="36"/>
        <v>455.23479121816058</v>
      </c>
      <c r="K338" s="27">
        <f t="shared" si="37"/>
        <v>3849.2025487438018</v>
      </c>
    </row>
    <row r="339" spans="1:11" x14ac:dyDescent="0.25">
      <c r="A339" s="26">
        <v>289</v>
      </c>
      <c r="B339" s="82">
        <f t="shared" si="38"/>
        <v>0</v>
      </c>
      <c r="C339" s="58">
        <f t="shared" si="42"/>
        <v>104.50616427295054</v>
      </c>
      <c r="D339" s="83">
        <f t="shared" si="39"/>
        <v>445.77777777777789</v>
      </c>
      <c r="E339">
        <f t="shared" si="35"/>
        <v>0</v>
      </c>
      <c r="G339">
        <v>289</v>
      </c>
      <c r="H339" s="13">
        <f t="shared" si="40"/>
        <v>1.8572577375266519E-2</v>
      </c>
      <c r="I339">
        <f t="shared" si="41"/>
        <v>109.87363913440257</v>
      </c>
      <c r="J339">
        <f t="shared" si="36"/>
        <v>455.26382432369667</v>
      </c>
      <c r="K339" s="27">
        <f t="shared" si="37"/>
        <v>3849.6933374110909</v>
      </c>
    </row>
    <row r="340" spans="1:11" x14ac:dyDescent="0.25">
      <c r="A340" s="26">
        <v>290</v>
      </c>
      <c r="B340" s="82">
        <f t="shared" si="38"/>
        <v>0</v>
      </c>
      <c r="C340" s="58">
        <f t="shared" si="42"/>
        <v>104.50616427295054</v>
      </c>
      <c r="D340" s="83">
        <f t="shared" si="39"/>
        <v>445.77777777777789</v>
      </c>
      <c r="E340">
        <f t="shared" si="35"/>
        <v>0</v>
      </c>
      <c r="G340">
        <v>290</v>
      </c>
      <c r="H340" s="13">
        <f t="shared" si="40"/>
        <v>1.8572577375266519E-2</v>
      </c>
      <c r="I340">
        <f t="shared" si="41"/>
        <v>109.89221171177783</v>
      </c>
      <c r="J340">
        <f t="shared" si="36"/>
        <v>455.29283546954815</v>
      </c>
      <c r="K340" s="27">
        <f t="shared" si="37"/>
        <v>3850.1837862714415</v>
      </c>
    </row>
    <row r="341" spans="1:11" x14ac:dyDescent="0.25">
      <c r="A341" s="26">
        <v>291</v>
      </c>
      <c r="B341" s="82">
        <f t="shared" si="38"/>
        <v>0</v>
      </c>
      <c r="C341" s="58">
        <f t="shared" si="42"/>
        <v>104.50616427295054</v>
      </c>
      <c r="D341" s="83">
        <f t="shared" si="39"/>
        <v>445.77777777777789</v>
      </c>
      <c r="E341">
        <f t="shared" si="35"/>
        <v>0</v>
      </c>
      <c r="G341">
        <v>291</v>
      </c>
      <c r="H341" s="13">
        <f t="shared" si="40"/>
        <v>1.8572577375266519E-2</v>
      </c>
      <c r="I341">
        <f t="shared" si="41"/>
        <v>109.9107842891531</v>
      </c>
      <c r="J341">
        <f t="shared" si="36"/>
        <v>455.32182469102844</v>
      </c>
      <c r="K341" s="27">
        <f t="shared" si="37"/>
        <v>3850.6738958503538</v>
      </c>
    </row>
    <row r="342" spans="1:11" x14ac:dyDescent="0.25">
      <c r="A342" s="26">
        <v>292</v>
      </c>
      <c r="B342" s="82">
        <f t="shared" si="38"/>
        <v>0</v>
      </c>
      <c r="C342" s="58">
        <f t="shared" si="42"/>
        <v>104.50616427295054</v>
      </c>
      <c r="D342" s="83">
        <f t="shared" si="39"/>
        <v>445.77777777777789</v>
      </c>
      <c r="E342">
        <f t="shared" si="35"/>
        <v>0</v>
      </c>
      <c r="G342">
        <v>292</v>
      </c>
      <c r="H342" s="13">
        <f t="shared" si="40"/>
        <v>1.8572577375266519E-2</v>
      </c>
      <c r="I342">
        <f t="shared" si="41"/>
        <v>109.92935686652837</v>
      </c>
      <c r="J342">
        <f t="shared" si="36"/>
        <v>455.35079202334867</v>
      </c>
      <c r="K342" s="27">
        <f t="shared" si="37"/>
        <v>3851.1636666718073</v>
      </c>
    </row>
    <row r="343" spans="1:11" x14ac:dyDescent="0.25">
      <c r="A343" s="26">
        <v>293</v>
      </c>
      <c r="B343" s="82">
        <f t="shared" si="38"/>
        <v>0</v>
      </c>
      <c r="C343" s="58">
        <f t="shared" si="42"/>
        <v>104.50616427295054</v>
      </c>
      <c r="D343" s="83">
        <f t="shared" si="39"/>
        <v>445.77777777777789</v>
      </c>
      <c r="E343">
        <f t="shared" si="35"/>
        <v>0</v>
      </c>
      <c r="G343">
        <v>293</v>
      </c>
      <c r="H343" s="13">
        <f t="shared" si="40"/>
        <v>1.8572577375266519E-2</v>
      </c>
      <c r="I343">
        <f t="shared" si="41"/>
        <v>109.94792944390363</v>
      </c>
      <c r="J343">
        <f t="shared" si="36"/>
        <v>455.37973750161814</v>
      </c>
      <c r="K343" s="27">
        <f t="shared" si="37"/>
        <v>3851.653099258268</v>
      </c>
    </row>
    <row r="344" spans="1:11" x14ac:dyDescent="0.25">
      <c r="A344" s="26">
        <v>294</v>
      </c>
      <c r="B344" s="82">
        <f t="shared" si="38"/>
        <v>0</v>
      </c>
      <c r="C344" s="58">
        <f t="shared" si="42"/>
        <v>104.50616427295054</v>
      </c>
      <c r="D344" s="83">
        <f t="shared" si="39"/>
        <v>445.77777777777789</v>
      </c>
      <c r="E344">
        <f t="shared" si="35"/>
        <v>0</v>
      </c>
      <c r="G344">
        <v>294</v>
      </c>
      <c r="H344" s="13">
        <f t="shared" si="40"/>
        <v>1.8572577375266519E-2</v>
      </c>
      <c r="I344">
        <f t="shared" si="41"/>
        <v>109.9665020212789</v>
      </c>
      <c r="J344">
        <f t="shared" si="36"/>
        <v>455.4086611608447</v>
      </c>
      <c r="K344" s="27">
        <f t="shared" si="37"/>
        <v>3852.1421941306912</v>
      </c>
    </row>
    <row r="345" spans="1:11" x14ac:dyDescent="0.25">
      <c r="A345" s="26">
        <v>295</v>
      </c>
      <c r="B345" s="82">
        <f t="shared" si="38"/>
        <v>0</v>
      </c>
      <c r="C345" s="58">
        <f t="shared" si="42"/>
        <v>104.50616427295054</v>
      </c>
      <c r="D345" s="83">
        <f t="shared" si="39"/>
        <v>445.77777777777789</v>
      </c>
      <c r="E345">
        <f t="shared" si="35"/>
        <v>0</v>
      </c>
      <c r="G345">
        <v>295</v>
      </c>
      <c r="H345" s="13">
        <f t="shared" si="40"/>
        <v>1.8572577375266519E-2</v>
      </c>
      <c r="I345">
        <f t="shared" si="41"/>
        <v>109.98507459865417</v>
      </c>
      <c r="J345">
        <f t="shared" si="36"/>
        <v>455.43756303593517</v>
      </c>
      <c r="K345" s="27">
        <f t="shared" si="37"/>
        <v>3852.6309518085313</v>
      </c>
    </row>
    <row r="346" spans="1:11" x14ac:dyDescent="0.25">
      <c r="A346" s="26">
        <v>296</v>
      </c>
      <c r="B346" s="82">
        <f t="shared" si="38"/>
        <v>0</v>
      </c>
      <c r="C346" s="58">
        <f t="shared" si="42"/>
        <v>104.50616427295054</v>
      </c>
      <c r="D346" s="83">
        <f t="shared" si="39"/>
        <v>445.77777777777789</v>
      </c>
      <c r="E346">
        <f t="shared" si="35"/>
        <v>0</v>
      </c>
      <c r="G346">
        <v>296</v>
      </c>
      <c r="H346" s="13">
        <f t="shared" si="40"/>
        <v>1.8572577375266519E-2</v>
      </c>
      <c r="I346">
        <f t="shared" si="41"/>
        <v>110.00364717602943</v>
      </c>
      <c r="J346">
        <f t="shared" si="36"/>
        <v>455.46644316169568</v>
      </c>
      <c r="K346" s="27">
        <f t="shared" si="37"/>
        <v>3853.1193728097455</v>
      </c>
    </row>
    <row r="347" spans="1:11" x14ac:dyDescent="0.25">
      <c r="A347" s="26">
        <v>297</v>
      </c>
      <c r="B347" s="82">
        <f t="shared" si="38"/>
        <v>0</v>
      </c>
      <c r="C347" s="58">
        <f t="shared" si="42"/>
        <v>104.50616427295054</v>
      </c>
      <c r="D347" s="83">
        <f t="shared" si="39"/>
        <v>445.77777777777789</v>
      </c>
      <c r="E347">
        <f t="shared" si="35"/>
        <v>0</v>
      </c>
      <c r="G347">
        <v>297</v>
      </c>
      <c r="H347" s="13">
        <f t="shared" si="40"/>
        <v>1.8572577375266519E-2</v>
      </c>
      <c r="I347">
        <f t="shared" si="41"/>
        <v>110.0222197534047</v>
      </c>
      <c r="J347">
        <f t="shared" si="36"/>
        <v>455.49530157283215</v>
      </c>
      <c r="K347" s="27">
        <f t="shared" si="37"/>
        <v>3853.6074576507986</v>
      </c>
    </row>
    <row r="348" spans="1:11" x14ac:dyDescent="0.25">
      <c r="A348" s="26">
        <v>298</v>
      </c>
      <c r="B348" s="82">
        <f t="shared" si="38"/>
        <v>0</v>
      </c>
      <c r="C348" s="58">
        <f t="shared" si="42"/>
        <v>104.50616427295054</v>
      </c>
      <c r="D348" s="83">
        <f t="shared" si="39"/>
        <v>445.77777777777789</v>
      </c>
      <c r="E348">
        <f t="shared" si="35"/>
        <v>0</v>
      </c>
      <c r="G348">
        <v>298</v>
      </c>
      <c r="H348" s="13">
        <f t="shared" si="40"/>
        <v>1.8572577375266519E-2</v>
      </c>
      <c r="I348">
        <f t="shared" si="41"/>
        <v>110.04079233077996</v>
      </c>
      <c r="J348">
        <f t="shared" si="36"/>
        <v>455.52413830395079</v>
      </c>
      <c r="K348" s="27">
        <f t="shared" si="37"/>
        <v>3854.095206846674</v>
      </c>
    </row>
    <row r="349" spans="1:11" x14ac:dyDescent="0.25">
      <c r="A349" s="26">
        <v>299</v>
      </c>
      <c r="B349" s="82">
        <f t="shared" si="38"/>
        <v>0</v>
      </c>
      <c r="C349" s="58">
        <f t="shared" si="42"/>
        <v>104.50616427295054</v>
      </c>
      <c r="D349" s="83">
        <f t="shared" si="39"/>
        <v>445.77777777777789</v>
      </c>
      <c r="E349">
        <f t="shared" si="35"/>
        <v>0</v>
      </c>
      <c r="G349">
        <v>299</v>
      </c>
      <c r="H349" s="13">
        <f t="shared" si="40"/>
        <v>1.8572577375266519E-2</v>
      </c>
      <c r="I349">
        <f t="shared" si="41"/>
        <v>110.05936490815523</v>
      </c>
      <c r="J349">
        <f t="shared" si="36"/>
        <v>455.5529533895583</v>
      </c>
      <c r="K349" s="27">
        <f t="shared" si="37"/>
        <v>3854.582620910875</v>
      </c>
    </row>
    <row r="350" spans="1:11" x14ac:dyDescent="0.25">
      <c r="A350" s="26">
        <v>300</v>
      </c>
      <c r="B350" s="82">
        <f t="shared" si="38"/>
        <v>0</v>
      </c>
      <c r="C350" s="58">
        <f t="shared" si="42"/>
        <v>104.50616427295054</v>
      </c>
      <c r="D350" s="83">
        <f t="shared" si="39"/>
        <v>445.77777777777789</v>
      </c>
      <c r="E350">
        <f t="shared" si="35"/>
        <v>0</v>
      </c>
      <c r="G350">
        <v>300</v>
      </c>
      <c r="H350" s="13">
        <f t="shared" si="40"/>
        <v>1.8572577375266519E-2</v>
      </c>
      <c r="I350">
        <f t="shared" si="41"/>
        <v>110.0779374855305</v>
      </c>
      <c r="J350">
        <f t="shared" si="36"/>
        <v>455.58174686406238</v>
      </c>
      <c r="K350" s="27">
        <f t="shared" si="37"/>
        <v>3855.0697003554319</v>
      </c>
    </row>
    <row r="351" spans="1:11" x14ac:dyDescent="0.25">
      <c r="A351" s="26">
        <v>301</v>
      </c>
      <c r="B351" s="82">
        <f t="shared" si="38"/>
        <v>0</v>
      </c>
      <c r="C351" s="58">
        <f t="shared" si="42"/>
        <v>104.50616427295054</v>
      </c>
      <c r="D351" s="83">
        <f t="shared" si="39"/>
        <v>445.77777777777789</v>
      </c>
      <c r="E351">
        <f t="shared" si="35"/>
        <v>0</v>
      </c>
      <c r="G351">
        <v>301</v>
      </c>
      <c r="H351" s="13">
        <f t="shared" si="40"/>
        <v>1.8572577375266519E-2</v>
      </c>
      <c r="I351">
        <f t="shared" si="41"/>
        <v>110.09651006290576</v>
      </c>
      <c r="J351">
        <f t="shared" si="36"/>
        <v>455.61051876177214</v>
      </c>
      <c r="K351" s="27">
        <f t="shared" si="37"/>
        <v>3855.5564456909101</v>
      </c>
    </row>
    <row r="352" spans="1:11" x14ac:dyDescent="0.25">
      <c r="A352" s="26">
        <v>302</v>
      </c>
      <c r="B352" s="82">
        <f t="shared" si="38"/>
        <v>0</v>
      </c>
      <c r="C352" s="58">
        <f t="shared" si="42"/>
        <v>104.50616427295054</v>
      </c>
      <c r="D352" s="83">
        <f t="shared" si="39"/>
        <v>445.77777777777789</v>
      </c>
      <c r="E352">
        <f t="shared" si="35"/>
        <v>0</v>
      </c>
      <c r="G352">
        <v>302</v>
      </c>
      <c r="H352" s="13">
        <f t="shared" si="40"/>
        <v>1.8572577375266519E-2</v>
      </c>
      <c r="I352">
        <f t="shared" si="41"/>
        <v>110.11508264028103</v>
      </c>
      <c r="J352">
        <f t="shared" si="36"/>
        <v>455.63926911689856</v>
      </c>
      <c r="K352" s="27">
        <f t="shared" si="37"/>
        <v>3856.0428574264129</v>
      </c>
    </row>
    <row r="353" spans="1:11" x14ac:dyDescent="0.25">
      <c r="A353" s="26">
        <v>303</v>
      </c>
      <c r="B353" s="82">
        <f t="shared" si="38"/>
        <v>0</v>
      </c>
      <c r="C353" s="58">
        <f t="shared" si="42"/>
        <v>104.50616427295054</v>
      </c>
      <c r="D353" s="83">
        <f t="shared" si="39"/>
        <v>445.77777777777789</v>
      </c>
      <c r="E353">
        <f t="shared" si="35"/>
        <v>0</v>
      </c>
      <c r="G353">
        <v>303</v>
      </c>
      <c r="H353" s="13">
        <f t="shared" si="40"/>
        <v>1.8572577375266519E-2</v>
      </c>
      <c r="I353">
        <f t="shared" si="41"/>
        <v>110.1336552176563</v>
      </c>
      <c r="J353">
        <f t="shared" si="36"/>
        <v>455.66799796355457</v>
      </c>
      <c r="K353" s="27">
        <f t="shared" si="37"/>
        <v>3856.5289360695879</v>
      </c>
    </row>
    <row r="354" spans="1:11" x14ac:dyDescent="0.25">
      <c r="A354" s="26">
        <v>304</v>
      </c>
      <c r="B354" s="82">
        <f t="shared" si="38"/>
        <v>0</v>
      </c>
      <c r="C354" s="58">
        <f t="shared" si="42"/>
        <v>104.50616427295054</v>
      </c>
      <c r="D354" s="83">
        <f t="shared" si="39"/>
        <v>445.77777777777789</v>
      </c>
      <c r="E354">
        <f t="shared" si="35"/>
        <v>0</v>
      </c>
      <c r="G354">
        <v>304</v>
      </c>
      <c r="H354" s="13">
        <f t="shared" si="40"/>
        <v>1.8572577375266519E-2</v>
      </c>
      <c r="I354">
        <f t="shared" si="41"/>
        <v>110.15222779503156</v>
      </c>
      <c r="J354">
        <f t="shared" si="36"/>
        <v>455.69670533575584</v>
      </c>
      <c r="K354" s="27">
        <f t="shared" si="37"/>
        <v>3857.0146821266358</v>
      </c>
    </row>
    <row r="355" spans="1:11" x14ac:dyDescent="0.25">
      <c r="A355" s="26">
        <v>305</v>
      </c>
      <c r="B355" s="82">
        <f t="shared" si="38"/>
        <v>0</v>
      </c>
      <c r="C355" s="58">
        <f t="shared" si="42"/>
        <v>104.50616427295054</v>
      </c>
      <c r="D355" s="83">
        <f t="shared" si="39"/>
        <v>445.77777777777789</v>
      </c>
      <c r="E355">
        <f t="shared" si="35"/>
        <v>0</v>
      </c>
      <c r="G355">
        <v>305</v>
      </c>
      <c r="H355" s="13">
        <f t="shared" si="40"/>
        <v>1.8572577375266519E-2</v>
      </c>
      <c r="I355">
        <f t="shared" si="41"/>
        <v>110.17080037240683</v>
      </c>
      <c r="J355">
        <f t="shared" si="36"/>
        <v>455.72539126742112</v>
      </c>
      <c r="K355" s="27">
        <f t="shared" si="37"/>
        <v>3857.5000961023138</v>
      </c>
    </row>
    <row r="356" spans="1:11" x14ac:dyDescent="0.25">
      <c r="A356" s="26">
        <v>306</v>
      </c>
      <c r="B356" s="82">
        <f t="shared" si="38"/>
        <v>0</v>
      </c>
      <c r="C356" s="58">
        <f t="shared" si="42"/>
        <v>104.50616427295054</v>
      </c>
      <c r="D356" s="83">
        <f t="shared" si="39"/>
        <v>445.77777777777789</v>
      </c>
      <c r="E356">
        <f t="shared" si="35"/>
        <v>0</v>
      </c>
      <c r="G356">
        <v>306</v>
      </c>
      <c r="H356" s="13">
        <f t="shared" si="40"/>
        <v>1.8572577375266519E-2</v>
      </c>
      <c r="I356">
        <f t="shared" si="41"/>
        <v>110.1893729497821</v>
      </c>
      <c r="J356">
        <f t="shared" si="36"/>
        <v>455.75405579237218</v>
      </c>
      <c r="K356" s="27">
        <f t="shared" si="37"/>
        <v>3857.9851784999391</v>
      </c>
    </row>
    <row r="357" spans="1:11" x14ac:dyDescent="0.25">
      <c r="A357" s="26">
        <v>307</v>
      </c>
      <c r="B357" s="82">
        <f t="shared" si="38"/>
        <v>0</v>
      </c>
      <c r="C357" s="58">
        <f t="shared" si="42"/>
        <v>104.50616427295054</v>
      </c>
      <c r="D357" s="83">
        <f t="shared" si="39"/>
        <v>445.77777777777789</v>
      </c>
      <c r="E357">
        <f t="shared" si="35"/>
        <v>0</v>
      </c>
      <c r="G357">
        <v>307</v>
      </c>
      <c r="H357" s="13">
        <f t="shared" si="40"/>
        <v>1.8572577375266519E-2</v>
      </c>
      <c r="I357">
        <f t="shared" si="41"/>
        <v>110.20794552715736</v>
      </c>
      <c r="J357">
        <f t="shared" si="36"/>
        <v>455.78269894433487</v>
      </c>
      <c r="K357" s="27">
        <f t="shared" si="37"/>
        <v>3858.4699298214023</v>
      </c>
    </row>
    <row r="358" spans="1:11" x14ac:dyDescent="0.25">
      <c r="A358" s="26">
        <v>308</v>
      </c>
      <c r="B358" s="82">
        <f t="shared" si="38"/>
        <v>0</v>
      </c>
      <c r="C358" s="58">
        <f t="shared" si="42"/>
        <v>104.50616427295054</v>
      </c>
      <c r="D358" s="83">
        <f t="shared" si="39"/>
        <v>445.77777777777789</v>
      </c>
      <c r="E358">
        <f t="shared" si="35"/>
        <v>0</v>
      </c>
      <c r="G358">
        <v>308</v>
      </c>
      <c r="H358" s="13">
        <f t="shared" si="40"/>
        <v>1.8572577375266519E-2</v>
      </c>
      <c r="I358">
        <f t="shared" si="41"/>
        <v>110.22651810453263</v>
      </c>
      <c r="J358">
        <f t="shared" si="36"/>
        <v>455.81132075693898</v>
      </c>
      <c r="K358" s="27">
        <f t="shared" si="37"/>
        <v>3858.9543505671627</v>
      </c>
    </row>
    <row r="359" spans="1:11" x14ac:dyDescent="0.25">
      <c r="A359" s="26">
        <v>309</v>
      </c>
      <c r="B359" s="82">
        <f t="shared" si="38"/>
        <v>0</v>
      </c>
      <c r="C359" s="58">
        <f t="shared" si="42"/>
        <v>104.50616427295054</v>
      </c>
      <c r="D359" s="83">
        <f t="shared" si="39"/>
        <v>445.77777777777789</v>
      </c>
      <c r="E359">
        <f t="shared" si="35"/>
        <v>0</v>
      </c>
      <c r="G359">
        <v>309</v>
      </c>
      <c r="H359" s="13">
        <f t="shared" si="40"/>
        <v>1.8572577375266519E-2</v>
      </c>
      <c r="I359">
        <f t="shared" si="41"/>
        <v>110.2450906819079</v>
      </c>
      <c r="J359">
        <f t="shared" si="36"/>
        <v>455.83992126371879</v>
      </c>
      <c r="K359" s="27">
        <f t="shared" si="37"/>
        <v>3859.4384412362615</v>
      </c>
    </row>
    <row r="360" spans="1:11" x14ac:dyDescent="0.25">
      <c r="A360" s="26">
        <v>310</v>
      </c>
      <c r="B360" s="82">
        <f t="shared" si="38"/>
        <v>0</v>
      </c>
      <c r="C360" s="58">
        <f t="shared" si="42"/>
        <v>104.50616427295054</v>
      </c>
      <c r="D360" s="83">
        <f t="shared" si="39"/>
        <v>445.77777777777789</v>
      </c>
      <c r="E360">
        <f t="shared" si="35"/>
        <v>0</v>
      </c>
      <c r="G360">
        <v>310</v>
      </c>
      <c r="H360" s="13">
        <f t="shared" si="40"/>
        <v>1.8572577375266519E-2</v>
      </c>
      <c r="I360">
        <f t="shared" si="41"/>
        <v>110.26366325928316</v>
      </c>
      <c r="J360">
        <f t="shared" si="36"/>
        <v>455.86850049811358</v>
      </c>
      <c r="K360" s="27">
        <f t="shared" si="37"/>
        <v>3859.9222023263251</v>
      </c>
    </row>
    <row r="361" spans="1:11" x14ac:dyDescent="0.25">
      <c r="A361" s="26">
        <v>311</v>
      </c>
      <c r="B361" s="82">
        <f t="shared" si="38"/>
        <v>0</v>
      </c>
      <c r="C361" s="58">
        <f t="shared" si="42"/>
        <v>104.50616427295054</v>
      </c>
      <c r="D361" s="83">
        <f t="shared" si="39"/>
        <v>445.77777777777789</v>
      </c>
      <c r="E361">
        <f t="shared" si="35"/>
        <v>0</v>
      </c>
      <c r="G361">
        <v>311</v>
      </c>
      <c r="H361" s="13">
        <f t="shared" si="40"/>
        <v>1.8572577375266519E-2</v>
      </c>
      <c r="I361">
        <f t="shared" si="41"/>
        <v>110.28223583665843</v>
      </c>
      <c r="J361">
        <f t="shared" si="36"/>
        <v>455.8970584934678</v>
      </c>
      <c r="K361" s="27">
        <f t="shared" si="37"/>
        <v>3860.4056343335737</v>
      </c>
    </row>
    <row r="362" spans="1:11" x14ac:dyDescent="0.25">
      <c r="A362" s="26">
        <v>312</v>
      </c>
      <c r="B362" s="82">
        <f t="shared" si="38"/>
        <v>0</v>
      </c>
      <c r="C362" s="58">
        <f t="shared" si="42"/>
        <v>104.50616427295054</v>
      </c>
      <c r="D362" s="83">
        <f t="shared" si="39"/>
        <v>445.77777777777789</v>
      </c>
      <c r="E362">
        <f t="shared" si="35"/>
        <v>0</v>
      </c>
      <c r="G362">
        <v>312</v>
      </c>
      <c r="H362" s="13">
        <f t="shared" si="40"/>
        <v>1.8572577375266519E-2</v>
      </c>
      <c r="I362">
        <f t="shared" si="41"/>
        <v>110.3008084140337</v>
      </c>
      <c r="J362">
        <f t="shared" si="36"/>
        <v>455.92559528303161</v>
      </c>
      <c r="K362" s="27">
        <f t="shared" si="37"/>
        <v>3860.8887377528204</v>
      </c>
    </row>
    <row r="363" spans="1:11" x14ac:dyDescent="0.25">
      <c r="A363" s="26">
        <v>313</v>
      </c>
      <c r="B363" s="82">
        <f t="shared" si="38"/>
        <v>0</v>
      </c>
      <c r="C363" s="58">
        <f t="shared" si="42"/>
        <v>104.50616427295054</v>
      </c>
      <c r="D363" s="83">
        <f t="shared" si="39"/>
        <v>445.77777777777789</v>
      </c>
      <c r="E363">
        <f t="shared" si="35"/>
        <v>0</v>
      </c>
      <c r="G363">
        <v>313</v>
      </c>
      <c r="H363" s="13">
        <f t="shared" si="40"/>
        <v>1.8572577375266519E-2</v>
      </c>
      <c r="I363">
        <f t="shared" si="41"/>
        <v>110.31938099140896</v>
      </c>
      <c r="J363">
        <f t="shared" si="36"/>
        <v>455.95411089996117</v>
      </c>
      <c r="K363" s="27">
        <f t="shared" si="37"/>
        <v>3861.3715130774799</v>
      </c>
    </row>
    <row r="364" spans="1:11" x14ac:dyDescent="0.25">
      <c r="A364" s="26">
        <v>314</v>
      </c>
      <c r="B364" s="82">
        <f t="shared" si="38"/>
        <v>0</v>
      </c>
      <c r="C364" s="58">
        <f t="shared" si="42"/>
        <v>104.50616427295054</v>
      </c>
      <c r="D364" s="83">
        <f t="shared" si="39"/>
        <v>445.77777777777789</v>
      </c>
      <c r="E364">
        <f t="shared" si="35"/>
        <v>0</v>
      </c>
      <c r="G364">
        <v>314</v>
      </c>
      <c r="H364" s="13">
        <f t="shared" si="40"/>
        <v>1.8572577375266519E-2</v>
      </c>
      <c r="I364">
        <f t="shared" si="41"/>
        <v>110.33795356878423</v>
      </c>
      <c r="J364">
        <f t="shared" si="36"/>
        <v>455.98260537731898</v>
      </c>
      <c r="K364" s="27">
        <f t="shared" si="37"/>
        <v>3861.8539607995785</v>
      </c>
    </row>
    <row r="365" spans="1:11" x14ac:dyDescent="0.25">
      <c r="A365" s="26">
        <v>315</v>
      </c>
      <c r="B365" s="82">
        <f t="shared" si="38"/>
        <v>0</v>
      </c>
      <c r="C365" s="58">
        <f t="shared" si="42"/>
        <v>104.50616427295054</v>
      </c>
      <c r="D365" s="83">
        <f t="shared" si="39"/>
        <v>445.77777777777789</v>
      </c>
      <c r="E365">
        <f t="shared" si="35"/>
        <v>0</v>
      </c>
      <c r="G365">
        <v>315</v>
      </c>
      <c r="H365" s="13">
        <f t="shared" si="40"/>
        <v>1.8572577375266519E-2</v>
      </c>
      <c r="I365">
        <f t="shared" si="41"/>
        <v>110.3565261461595</v>
      </c>
      <c r="J365">
        <f t="shared" si="36"/>
        <v>456.01107874807434</v>
      </c>
      <c r="K365" s="27">
        <f t="shared" si="37"/>
        <v>3862.3360814097537</v>
      </c>
    </row>
    <row r="366" spans="1:11" x14ac:dyDescent="0.25">
      <c r="A366" s="26">
        <v>316</v>
      </c>
      <c r="B366" s="82">
        <f t="shared" si="38"/>
        <v>0</v>
      </c>
      <c r="C366" s="58">
        <f t="shared" si="42"/>
        <v>104.50616427295054</v>
      </c>
      <c r="D366" s="83">
        <f t="shared" si="39"/>
        <v>445.77777777777789</v>
      </c>
      <c r="E366">
        <f t="shared" si="35"/>
        <v>0</v>
      </c>
      <c r="G366">
        <v>316</v>
      </c>
      <c r="H366" s="13">
        <f t="shared" si="40"/>
        <v>1.8572577375266519E-2</v>
      </c>
      <c r="I366">
        <f t="shared" si="41"/>
        <v>110.37509872353476</v>
      </c>
      <c r="J366">
        <f t="shared" si="36"/>
        <v>456.03953104510379</v>
      </c>
      <c r="K366" s="27">
        <f t="shared" si="37"/>
        <v>3862.8178753972607</v>
      </c>
    </row>
    <row r="367" spans="1:11" x14ac:dyDescent="0.25">
      <c r="A367" s="26">
        <v>317</v>
      </c>
      <c r="B367" s="82">
        <f t="shared" si="38"/>
        <v>0</v>
      </c>
      <c r="C367" s="58">
        <f t="shared" si="42"/>
        <v>104.50616427295054</v>
      </c>
      <c r="D367" s="83">
        <f t="shared" si="39"/>
        <v>445.77777777777789</v>
      </c>
      <c r="E367">
        <f t="shared" si="35"/>
        <v>0</v>
      </c>
      <c r="G367">
        <v>317</v>
      </c>
      <c r="H367" s="13">
        <f t="shared" si="40"/>
        <v>1.8572577375266519E-2</v>
      </c>
      <c r="I367">
        <f t="shared" si="41"/>
        <v>110.39367130091003</v>
      </c>
      <c r="J367">
        <f t="shared" si="36"/>
        <v>456.06796230119113</v>
      </c>
      <c r="K367" s="27">
        <f t="shared" si="37"/>
        <v>3863.299343249982</v>
      </c>
    </row>
    <row r="368" spans="1:11" x14ac:dyDescent="0.25">
      <c r="A368" s="26">
        <v>318</v>
      </c>
      <c r="B368" s="82">
        <f t="shared" si="38"/>
        <v>0</v>
      </c>
      <c r="C368" s="58">
        <f t="shared" si="42"/>
        <v>104.50616427295054</v>
      </c>
      <c r="D368" s="83">
        <f t="shared" si="39"/>
        <v>445.77777777777789</v>
      </c>
      <c r="E368">
        <f t="shared" si="35"/>
        <v>0</v>
      </c>
      <c r="G368">
        <v>318</v>
      </c>
      <c r="H368" s="13">
        <f t="shared" si="40"/>
        <v>1.8572577375266519E-2</v>
      </c>
      <c r="I368">
        <f t="shared" si="41"/>
        <v>110.4122438782853</v>
      </c>
      <c r="J368">
        <f t="shared" si="36"/>
        <v>456.09637254902822</v>
      </c>
      <c r="K368" s="27">
        <f t="shared" si="37"/>
        <v>3863.7804854544252</v>
      </c>
    </row>
    <row r="369" spans="1:11" x14ac:dyDescent="0.25">
      <c r="A369" s="26">
        <v>319</v>
      </c>
      <c r="B369" s="82">
        <f t="shared" si="38"/>
        <v>0</v>
      </c>
      <c r="C369" s="58">
        <f t="shared" si="42"/>
        <v>104.50616427295054</v>
      </c>
      <c r="D369" s="83">
        <f t="shared" si="39"/>
        <v>445.77777777777789</v>
      </c>
      <c r="E369">
        <f t="shared" si="35"/>
        <v>0</v>
      </c>
      <c r="G369">
        <v>319</v>
      </c>
      <c r="H369" s="13">
        <f t="shared" si="40"/>
        <v>1.8572577375266519E-2</v>
      </c>
      <c r="I369">
        <f t="shared" si="41"/>
        <v>110.43081645566056</v>
      </c>
      <c r="J369">
        <f t="shared" si="36"/>
        <v>456.12476182121509</v>
      </c>
      <c r="K369" s="27">
        <f t="shared" si="37"/>
        <v>3864.2613024957377</v>
      </c>
    </row>
    <row r="370" spans="1:11" x14ac:dyDescent="0.25">
      <c r="A370" s="26">
        <v>320</v>
      </c>
      <c r="B370" s="82">
        <f t="shared" si="38"/>
        <v>0</v>
      </c>
      <c r="C370" s="58">
        <f t="shared" si="42"/>
        <v>104.50616427295054</v>
      </c>
      <c r="D370" s="83">
        <f t="shared" si="39"/>
        <v>445.77777777777789</v>
      </c>
      <c r="E370">
        <f t="shared" si="35"/>
        <v>0</v>
      </c>
      <c r="G370">
        <v>320</v>
      </c>
      <c r="H370" s="13">
        <f t="shared" si="40"/>
        <v>1.8572577375266519E-2</v>
      </c>
      <c r="I370">
        <f t="shared" si="41"/>
        <v>110.44938903303583</v>
      </c>
      <c r="J370">
        <f t="shared" si="36"/>
        <v>456.15313015026038</v>
      </c>
      <c r="K370" s="27">
        <f t="shared" si="37"/>
        <v>3864.7417948577045</v>
      </c>
    </row>
    <row r="371" spans="1:11" x14ac:dyDescent="0.25">
      <c r="A371" s="26">
        <v>321</v>
      </c>
      <c r="B371" s="82">
        <f t="shared" si="38"/>
        <v>0</v>
      </c>
      <c r="C371" s="58">
        <f t="shared" si="42"/>
        <v>104.50616427295054</v>
      </c>
      <c r="D371" s="83">
        <f t="shared" si="39"/>
        <v>445.77777777777789</v>
      </c>
      <c r="E371">
        <f t="shared" ref="E371:E434" si="43">((D371^2)+(D371*D372)+(D372^2))*B372/3</f>
        <v>0</v>
      </c>
      <c r="G371">
        <v>321</v>
      </c>
      <c r="H371" s="13">
        <f t="shared" si="40"/>
        <v>1.8572577375266519E-2</v>
      </c>
      <c r="I371">
        <f t="shared" si="41"/>
        <v>110.46796161041109</v>
      </c>
      <c r="J371">
        <f t="shared" ref="J371:J434" si="44">IF($G$28&lt;$C$14,0,((($C$11^2)-((I371-$C$13)^2))^0.5)+$C$16)</f>
        <v>456.18147756858161</v>
      </c>
      <c r="K371" s="27">
        <f t="shared" ref="K371:K434" si="45">((J371^2)+(J371*J372)+(J372^2))*H372/3</f>
        <v>3865.2219630227573</v>
      </c>
    </row>
    <row r="372" spans="1:11" x14ac:dyDescent="0.25">
      <c r="A372" s="26">
        <v>322</v>
      </c>
      <c r="B372" s="82">
        <f t="shared" ref="B372:B435" si="46">C372-C371</f>
        <v>0</v>
      </c>
      <c r="C372" s="58">
        <f t="shared" si="42"/>
        <v>104.50616427295054</v>
      </c>
      <c r="D372" s="83">
        <f t="shared" ref="D372:D435" si="47">IF($G$28&lt;$C$14,0,((($C$11^2)-((C372-$C$13)^2))^0.5)+$C$16)</f>
        <v>445.77777777777789</v>
      </c>
      <c r="E372">
        <f t="shared" si="43"/>
        <v>0</v>
      </c>
      <c r="G372">
        <v>322</v>
      </c>
      <c r="H372" s="13">
        <f t="shared" ref="H372:H435" si="48">I372-I371</f>
        <v>1.8572577375266519E-2</v>
      </c>
      <c r="I372">
        <f t="shared" ref="I372:I435" si="49">($G$27-$C$14)/2000+I371</f>
        <v>110.48653418778636</v>
      </c>
      <c r="J372">
        <f t="shared" si="44"/>
        <v>456.20980410850569</v>
      </c>
      <c r="K372" s="27">
        <f t="shared" si="45"/>
        <v>3865.7018074719781</v>
      </c>
    </row>
    <row r="373" spans="1:11" x14ac:dyDescent="0.25">
      <c r="A373" s="26">
        <v>323</v>
      </c>
      <c r="B373" s="82">
        <f t="shared" si="46"/>
        <v>0</v>
      </c>
      <c r="C373" s="58">
        <f t="shared" si="42"/>
        <v>104.50616427295054</v>
      </c>
      <c r="D373" s="83">
        <f t="shared" si="47"/>
        <v>445.77777777777789</v>
      </c>
      <c r="E373">
        <f t="shared" si="43"/>
        <v>0</v>
      </c>
      <c r="G373">
        <v>323</v>
      </c>
      <c r="H373" s="13">
        <f t="shared" si="48"/>
        <v>1.8572577375266519E-2</v>
      </c>
      <c r="I373">
        <f t="shared" si="49"/>
        <v>110.50510676516163</v>
      </c>
      <c r="J373">
        <f t="shared" si="44"/>
        <v>456.23810980226915</v>
      </c>
      <c r="K373" s="27">
        <f t="shared" si="45"/>
        <v>3866.1813286851066</v>
      </c>
    </row>
    <row r="374" spans="1:11" x14ac:dyDescent="0.25">
      <c r="A374" s="26">
        <v>324</v>
      </c>
      <c r="B374" s="82">
        <f t="shared" si="46"/>
        <v>0</v>
      </c>
      <c r="C374" s="58">
        <f t="shared" si="42"/>
        <v>104.50616427295054</v>
      </c>
      <c r="D374" s="83">
        <f t="shared" si="47"/>
        <v>445.77777777777789</v>
      </c>
      <c r="E374">
        <f t="shared" si="43"/>
        <v>0</v>
      </c>
      <c r="G374">
        <v>324</v>
      </c>
      <c r="H374" s="13">
        <f t="shared" si="48"/>
        <v>1.8572577375266519E-2</v>
      </c>
      <c r="I374">
        <f t="shared" si="49"/>
        <v>110.52367934253689</v>
      </c>
      <c r="J374">
        <f t="shared" si="44"/>
        <v>456.26639468201853</v>
      </c>
      <c r="K374" s="27">
        <f t="shared" si="45"/>
        <v>3866.6605271405424</v>
      </c>
    </row>
    <row r="375" spans="1:11" x14ac:dyDescent="0.25">
      <c r="A375" s="26">
        <v>325</v>
      </c>
      <c r="B375" s="82">
        <f t="shared" si="46"/>
        <v>0</v>
      </c>
      <c r="C375" s="58">
        <f t="shared" si="42"/>
        <v>104.50616427295054</v>
      </c>
      <c r="D375" s="83">
        <f t="shared" si="47"/>
        <v>445.77777777777789</v>
      </c>
      <c r="E375">
        <f t="shared" si="43"/>
        <v>0</v>
      </c>
      <c r="G375">
        <v>325</v>
      </c>
      <c r="H375" s="13">
        <f t="shared" si="48"/>
        <v>1.8572577375266519E-2</v>
      </c>
      <c r="I375">
        <f t="shared" si="49"/>
        <v>110.54225191991216</v>
      </c>
      <c r="J375">
        <f t="shared" si="44"/>
        <v>456.29465877981079</v>
      </c>
      <c r="K375" s="27">
        <f t="shared" si="45"/>
        <v>3867.1394033153542</v>
      </c>
    </row>
    <row r="376" spans="1:11" x14ac:dyDescent="0.25">
      <c r="A376" s="26">
        <v>326</v>
      </c>
      <c r="B376" s="82">
        <f t="shared" si="46"/>
        <v>0</v>
      </c>
      <c r="C376" s="58">
        <f t="shared" si="42"/>
        <v>104.50616427295054</v>
      </c>
      <c r="D376" s="83">
        <f t="shared" si="47"/>
        <v>445.77777777777789</v>
      </c>
      <c r="E376">
        <f t="shared" si="43"/>
        <v>0</v>
      </c>
      <c r="G376">
        <v>326</v>
      </c>
      <c r="H376" s="13">
        <f t="shared" si="48"/>
        <v>1.8572577375266519E-2</v>
      </c>
      <c r="I376">
        <f t="shared" si="49"/>
        <v>110.56082449728743</v>
      </c>
      <c r="J376">
        <f t="shared" si="44"/>
        <v>456.32290212761359</v>
      </c>
      <c r="K376" s="27">
        <f t="shared" si="45"/>
        <v>3867.617957685281</v>
      </c>
    </row>
    <row r="377" spans="1:11" x14ac:dyDescent="0.25">
      <c r="A377" s="26">
        <v>327</v>
      </c>
      <c r="B377" s="82">
        <f t="shared" si="46"/>
        <v>0</v>
      </c>
      <c r="C377" s="58">
        <f t="shared" si="42"/>
        <v>104.50616427295054</v>
      </c>
      <c r="D377" s="83">
        <f t="shared" si="47"/>
        <v>445.77777777777789</v>
      </c>
      <c r="E377">
        <f t="shared" si="43"/>
        <v>0</v>
      </c>
      <c r="G377">
        <v>327</v>
      </c>
      <c r="H377" s="13">
        <f t="shared" si="48"/>
        <v>1.8572577375266519E-2</v>
      </c>
      <c r="I377">
        <f t="shared" si="49"/>
        <v>110.57939707466269</v>
      </c>
      <c r="J377">
        <f t="shared" si="44"/>
        <v>456.35112475730563</v>
      </c>
      <c r="K377" s="27">
        <f t="shared" si="45"/>
        <v>3868.0961907247402</v>
      </c>
    </row>
    <row r="378" spans="1:11" x14ac:dyDescent="0.25">
      <c r="A378" s="26">
        <v>328</v>
      </c>
      <c r="B378" s="82">
        <f t="shared" si="46"/>
        <v>0</v>
      </c>
      <c r="C378" s="58">
        <f t="shared" si="42"/>
        <v>104.50616427295054</v>
      </c>
      <c r="D378" s="83">
        <f t="shared" si="47"/>
        <v>445.77777777777789</v>
      </c>
      <c r="E378">
        <f t="shared" si="43"/>
        <v>0</v>
      </c>
      <c r="G378">
        <v>328</v>
      </c>
      <c r="H378" s="13">
        <f t="shared" si="48"/>
        <v>1.8572577375266519E-2</v>
      </c>
      <c r="I378">
        <f t="shared" si="49"/>
        <v>110.59796965203796</v>
      </c>
      <c r="J378">
        <f t="shared" si="44"/>
        <v>456.37932670067704</v>
      </c>
      <c r="K378" s="27">
        <f t="shared" si="45"/>
        <v>3868.5741029068317</v>
      </c>
    </row>
    <row r="379" spans="1:11" x14ac:dyDescent="0.25">
      <c r="A379" s="26">
        <v>329</v>
      </c>
      <c r="B379" s="82">
        <f t="shared" si="46"/>
        <v>0</v>
      </c>
      <c r="C379" s="58">
        <f t="shared" si="42"/>
        <v>104.50616427295054</v>
      </c>
      <c r="D379" s="83">
        <f t="shared" si="47"/>
        <v>445.77777777777789</v>
      </c>
      <c r="E379">
        <f t="shared" si="43"/>
        <v>0</v>
      </c>
      <c r="G379">
        <v>329</v>
      </c>
      <c r="H379" s="13">
        <f t="shared" si="48"/>
        <v>1.8572577375266519E-2</v>
      </c>
      <c r="I379">
        <f t="shared" si="49"/>
        <v>110.61654222941323</v>
      </c>
      <c r="J379">
        <f t="shared" si="44"/>
        <v>456.4075079894298</v>
      </c>
      <c r="K379" s="27">
        <f t="shared" si="45"/>
        <v>3869.0516947033416</v>
      </c>
    </row>
    <row r="380" spans="1:11" x14ac:dyDescent="0.25">
      <c r="A380" s="26">
        <v>330</v>
      </c>
      <c r="B380" s="82">
        <f t="shared" si="46"/>
        <v>0</v>
      </c>
      <c r="C380" s="58">
        <f t="shared" si="42"/>
        <v>104.50616427295054</v>
      </c>
      <c r="D380" s="83">
        <f t="shared" si="47"/>
        <v>445.77777777777789</v>
      </c>
      <c r="E380">
        <f t="shared" si="43"/>
        <v>0</v>
      </c>
      <c r="G380">
        <v>330</v>
      </c>
      <c r="H380" s="13">
        <f t="shared" si="48"/>
        <v>1.8572577375266519E-2</v>
      </c>
      <c r="I380">
        <f t="shared" si="49"/>
        <v>110.63511480678849</v>
      </c>
      <c r="J380">
        <f t="shared" si="44"/>
        <v>456.43566865517784</v>
      </c>
      <c r="K380" s="27">
        <f t="shared" si="45"/>
        <v>3869.5289665847499</v>
      </c>
    </row>
    <row r="381" spans="1:11" x14ac:dyDescent="0.25">
      <c r="A381" s="26">
        <v>331</v>
      </c>
      <c r="B381" s="82">
        <f t="shared" si="46"/>
        <v>0</v>
      </c>
      <c r="C381" s="58">
        <f t="shared" si="42"/>
        <v>104.50616427295054</v>
      </c>
      <c r="D381" s="83">
        <f t="shared" si="47"/>
        <v>445.77777777777789</v>
      </c>
      <c r="E381">
        <f t="shared" si="43"/>
        <v>0</v>
      </c>
      <c r="G381">
        <v>331</v>
      </c>
      <c r="H381" s="13">
        <f t="shared" si="48"/>
        <v>1.8572577375266519E-2</v>
      </c>
      <c r="I381">
        <f t="shared" si="49"/>
        <v>110.65368738416376</v>
      </c>
      <c r="J381">
        <f t="shared" si="44"/>
        <v>456.46380872944763</v>
      </c>
      <c r="K381" s="27">
        <f t="shared" si="45"/>
        <v>3870.0059190202337</v>
      </c>
    </row>
    <row r="382" spans="1:11" x14ac:dyDescent="0.25">
      <c r="A382" s="26">
        <v>332</v>
      </c>
      <c r="B382" s="82">
        <f t="shared" si="46"/>
        <v>0</v>
      </c>
      <c r="C382" s="58">
        <f t="shared" si="42"/>
        <v>104.50616427295054</v>
      </c>
      <c r="D382" s="83">
        <f t="shared" si="47"/>
        <v>445.77777777777789</v>
      </c>
      <c r="E382">
        <f t="shared" si="43"/>
        <v>0</v>
      </c>
      <c r="G382">
        <v>332</v>
      </c>
      <c r="H382" s="13">
        <f t="shared" si="48"/>
        <v>1.8572577375266519E-2</v>
      </c>
      <c r="I382">
        <f t="shared" si="49"/>
        <v>110.67225996153903</v>
      </c>
      <c r="J382">
        <f t="shared" si="44"/>
        <v>456.4919282436785</v>
      </c>
      <c r="K382" s="27">
        <f t="shared" si="45"/>
        <v>3870.4825524776757</v>
      </c>
    </row>
    <row r="383" spans="1:11" x14ac:dyDescent="0.25">
      <c r="A383" s="26">
        <v>333</v>
      </c>
      <c r="B383" s="82">
        <f t="shared" si="46"/>
        <v>0</v>
      </c>
      <c r="C383" s="58">
        <f t="shared" si="42"/>
        <v>104.50616427295054</v>
      </c>
      <c r="D383" s="83">
        <f t="shared" si="47"/>
        <v>445.77777777777789</v>
      </c>
      <c r="E383">
        <f t="shared" si="43"/>
        <v>0</v>
      </c>
      <c r="G383">
        <v>333</v>
      </c>
      <c r="H383" s="13">
        <f t="shared" si="48"/>
        <v>1.8572577375266519E-2</v>
      </c>
      <c r="I383">
        <f t="shared" si="49"/>
        <v>110.69083253891429</v>
      </c>
      <c r="J383">
        <f t="shared" si="44"/>
        <v>456.52002722922282</v>
      </c>
      <c r="K383" s="27">
        <f t="shared" si="45"/>
        <v>3870.9588674236634</v>
      </c>
    </row>
    <row r="384" spans="1:11" x14ac:dyDescent="0.25">
      <c r="A384" s="26">
        <v>334</v>
      </c>
      <c r="B384" s="82">
        <f t="shared" si="46"/>
        <v>0</v>
      </c>
      <c r="C384" s="58">
        <f t="shared" si="42"/>
        <v>104.50616427295054</v>
      </c>
      <c r="D384" s="83">
        <f t="shared" si="47"/>
        <v>445.77777777777789</v>
      </c>
      <c r="E384">
        <f t="shared" si="43"/>
        <v>0</v>
      </c>
      <c r="G384">
        <v>334</v>
      </c>
      <c r="H384" s="13">
        <f t="shared" si="48"/>
        <v>1.8572577375266519E-2</v>
      </c>
      <c r="I384">
        <f t="shared" si="49"/>
        <v>110.70940511628956</v>
      </c>
      <c r="J384">
        <f t="shared" si="44"/>
        <v>456.5481057173464</v>
      </c>
      <c r="K384" s="27">
        <f t="shared" si="45"/>
        <v>3871.4348643234971</v>
      </c>
    </row>
    <row r="385" spans="1:11" x14ac:dyDescent="0.25">
      <c r="A385" s="26">
        <v>335</v>
      </c>
      <c r="B385" s="82">
        <f t="shared" si="46"/>
        <v>0</v>
      </c>
      <c r="C385" s="58">
        <f t="shared" si="42"/>
        <v>104.50616427295054</v>
      </c>
      <c r="D385" s="83">
        <f t="shared" si="47"/>
        <v>445.77777777777789</v>
      </c>
      <c r="E385">
        <f t="shared" si="43"/>
        <v>0</v>
      </c>
      <c r="G385">
        <v>335</v>
      </c>
      <c r="H385" s="13">
        <f t="shared" si="48"/>
        <v>1.8572577375266519E-2</v>
      </c>
      <c r="I385">
        <f t="shared" si="49"/>
        <v>110.72797769366483</v>
      </c>
      <c r="J385">
        <f t="shared" si="44"/>
        <v>456.57616373922889</v>
      </c>
      <c r="K385" s="27">
        <f t="shared" si="45"/>
        <v>3871.9105436411974</v>
      </c>
    </row>
    <row r="386" spans="1:11" x14ac:dyDescent="0.25">
      <c r="A386" s="26">
        <v>336</v>
      </c>
      <c r="B386" s="82">
        <f t="shared" si="46"/>
        <v>0</v>
      </c>
      <c r="C386" s="58">
        <f t="shared" si="42"/>
        <v>104.50616427295054</v>
      </c>
      <c r="D386" s="83">
        <f t="shared" si="47"/>
        <v>445.77777777777789</v>
      </c>
      <c r="E386">
        <f t="shared" si="43"/>
        <v>0</v>
      </c>
      <c r="G386">
        <v>336</v>
      </c>
      <c r="H386" s="13">
        <f t="shared" si="48"/>
        <v>1.8572577375266519E-2</v>
      </c>
      <c r="I386">
        <f t="shared" si="49"/>
        <v>110.74655027104009</v>
      </c>
      <c r="J386">
        <f t="shared" si="44"/>
        <v>456.60420132596414</v>
      </c>
      <c r="K386" s="27">
        <f t="shared" si="45"/>
        <v>3872.3859058395051</v>
      </c>
    </row>
    <row r="387" spans="1:11" x14ac:dyDescent="0.25">
      <c r="A387" s="26">
        <v>337</v>
      </c>
      <c r="B387" s="82">
        <f t="shared" si="46"/>
        <v>0</v>
      </c>
      <c r="C387" s="58">
        <f t="shared" si="42"/>
        <v>104.50616427295054</v>
      </c>
      <c r="D387" s="83">
        <f t="shared" si="47"/>
        <v>445.77777777777789</v>
      </c>
      <c r="E387">
        <f t="shared" si="43"/>
        <v>0</v>
      </c>
      <c r="G387">
        <v>337</v>
      </c>
      <c r="H387" s="13">
        <f t="shared" si="48"/>
        <v>1.8572577375266519E-2</v>
      </c>
      <c r="I387">
        <f t="shared" si="49"/>
        <v>110.76512284841536</v>
      </c>
      <c r="J387">
        <f t="shared" si="44"/>
        <v>456.63221850856036</v>
      </c>
      <c r="K387" s="27">
        <f t="shared" si="45"/>
        <v>3872.8609513798915</v>
      </c>
    </row>
    <row r="388" spans="1:11" x14ac:dyDescent="0.25">
      <c r="A388" s="26">
        <v>338</v>
      </c>
      <c r="B388" s="82">
        <f t="shared" si="46"/>
        <v>0</v>
      </c>
      <c r="C388" s="58">
        <f t="shared" si="42"/>
        <v>104.50616427295054</v>
      </c>
      <c r="D388" s="83">
        <f t="shared" si="47"/>
        <v>445.77777777777789</v>
      </c>
      <c r="E388">
        <f t="shared" si="43"/>
        <v>0</v>
      </c>
      <c r="G388">
        <v>338</v>
      </c>
      <c r="H388" s="13">
        <f t="shared" si="48"/>
        <v>1.8572577375266519E-2</v>
      </c>
      <c r="I388">
        <f t="shared" si="49"/>
        <v>110.78369542579063</v>
      </c>
      <c r="J388">
        <f t="shared" si="44"/>
        <v>456.66021531794058</v>
      </c>
      <c r="K388" s="27">
        <f t="shared" si="45"/>
        <v>3873.3356807225578</v>
      </c>
    </row>
    <row r="389" spans="1:11" x14ac:dyDescent="0.25">
      <c r="A389" s="26">
        <v>339</v>
      </c>
      <c r="B389" s="82">
        <f t="shared" si="46"/>
        <v>0</v>
      </c>
      <c r="C389" s="58">
        <f t="shared" si="42"/>
        <v>104.50616427295054</v>
      </c>
      <c r="D389" s="83">
        <f t="shared" si="47"/>
        <v>445.77777777777789</v>
      </c>
      <c r="E389">
        <f t="shared" si="43"/>
        <v>0</v>
      </c>
      <c r="G389">
        <v>339</v>
      </c>
      <c r="H389" s="13">
        <f t="shared" si="48"/>
        <v>1.8572577375266519E-2</v>
      </c>
      <c r="I389">
        <f t="shared" si="49"/>
        <v>110.80226800316589</v>
      </c>
      <c r="J389">
        <f t="shared" si="44"/>
        <v>456.68819178494311</v>
      </c>
      <c r="K389" s="27">
        <f t="shared" si="45"/>
        <v>3873.8100943264467</v>
      </c>
    </row>
    <row r="390" spans="1:11" x14ac:dyDescent="0.25">
      <c r="A390" s="26">
        <v>340</v>
      </c>
      <c r="B390" s="82">
        <f t="shared" si="46"/>
        <v>0</v>
      </c>
      <c r="C390" s="58">
        <f t="shared" si="42"/>
        <v>104.50616427295054</v>
      </c>
      <c r="D390" s="83">
        <f t="shared" si="47"/>
        <v>445.77777777777789</v>
      </c>
      <c r="E390">
        <f t="shared" si="43"/>
        <v>0</v>
      </c>
      <c r="G390">
        <v>340</v>
      </c>
      <c r="H390" s="13">
        <f t="shared" si="48"/>
        <v>1.8572577375266519E-2</v>
      </c>
      <c r="I390">
        <f t="shared" si="49"/>
        <v>110.82084058054116</v>
      </c>
      <c r="J390">
        <f t="shared" si="44"/>
        <v>456.71614794032149</v>
      </c>
      <c r="K390" s="27">
        <f t="shared" si="45"/>
        <v>3874.2841926492388</v>
      </c>
    </row>
    <row r="391" spans="1:11" x14ac:dyDescent="0.25">
      <c r="A391" s="26">
        <v>341</v>
      </c>
      <c r="B391" s="82">
        <f t="shared" si="46"/>
        <v>0</v>
      </c>
      <c r="C391" s="58">
        <f t="shared" si="42"/>
        <v>104.50616427295054</v>
      </c>
      <c r="D391" s="83">
        <f t="shared" si="47"/>
        <v>445.77777777777789</v>
      </c>
      <c r="E391">
        <f t="shared" si="43"/>
        <v>0</v>
      </c>
      <c r="G391">
        <v>341</v>
      </c>
      <c r="H391" s="13">
        <f t="shared" si="48"/>
        <v>1.8572577375266519E-2</v>
      </c>
      <c r="I391">
        <f t="shared" si="49"/>
        <v>110.83941315791643</v>
      </c>
      <c r="J391">
        <f t="shared" si="44"/>
        <v>456.74408381474518</v>
      </c>
      <c r="K391" s="27">
        <f t="shared" si="45"/>
        <v>3874.7579761473648</v>
      </c>
    </row>
    <row r="392" spans="1:11" x14ac:dyDescent="0.25">
      <c r="A392" s="26">
        <v>342</v>
      </c>
      <c r="B392" s="82">
        <f t="shared" si="46"/>
        <v>0</v>
      </c>
      <c r="C392" s="58">
        <f t="shared" si="42"/>
        <v>104.50616427295054</v>
      </c>
      <c r="D392" s="83">
        <f t="shared" si="47"/>
        <v>445.77777777777789</v>
      </c>
      <c r="E392">
        <f t="shared" si="43"/>
        <v>0</v>
      </c>
      <c r="G392">
        <v>342</v>
      </c>
      <c r="H392" s="13">
        <f t="shared" si="48"/>
        <v>1.8572577375266519E-2</v>
      </c>
      <c r="I392">
        <f t="shared" si="49"/>
        <v>110.85798573529169</v>
      </c>
      <c r="J392">
        <f t="shared" si="44"/>
        <v>456.77199943879964</v>
      </c>
      <c r="K392" s="27">
        <f t="shared" si="45"/>
        <v>3875.231445276007</v>
      </c>
    </row>
    <row r="393" spans="1:11" x14ac:dyDescent="0.25">
      <c r="A393" s="26">
        <v>343</v>
      </c>
      <c r="B393" s="82">
        <f t="shared" si="46"/>
        <v>0</v>
      </c>
      <c r="C393" s="58">
        <f t="shared" si="42"/>
        <v>104.50616427295054</v>
      </c>
      <c r="D393" s="83">
        <f t="shared" si="47"/>
        <v>445.77777777777789</v>
      </c>
      <c r="E393">
        <f t="shared" si="43"/>
        <v>0</v>
      </c>
      <c r="G393">
        <v>343</v>
      </c>
      <c r="H393" s="13">
        <f t="shared" si="48"/>
        <v>1.8572577375266519E-2</v>
      </c>
      <c r="I393">
        <f t="shared" si="49"/>
        <v>110.87655831266696</v>
      </c>
      <c r="J393">
        <f t="shared" si="44"/>
        <v>456.79989484298687</v>
      </c>
      <c r="K393" s="27">
        <f t="shared" si="45"/>
        <v>3875.7046004891049</v>
      </c>
    </row>
    <row r="394" spans="1:11" x14ac:dyDescent="0.25">
      <c r="A394" s="26">
        <v>344</v>
      </c>
      <c r="B394" s="82">
        <f t="shared" si="46"/>
        <v>0</v>
      </c>
      <c r="C394" s="58">
        <f t="shared" si="42"/>
        <v>104.50616427295054</v>
      </c>
      <c r="D394" s="83">
        <f t="shared" si="47"/>
        <v>445.77777777777789</v>
      </c>
      <c r="E394">
        <f t="shared" si="43"/>
        <v>0</v>
      </c>
      <c r="G394">
        <v>344</v>
      </c>
      <c r="H394" s="13">
        <f t="shared" si="48"/>
        <v>1.8572577375266519E-2</v>
      </c>
      <c r="I394">
        <f t="shared" si="49"/>
        <v>110.89513089004222</v>
      </c>
      <c r="J394">
        <f t="shared" si="44"/>
        <v>456.82777005772556</v>
      </c>
      <c r="K394" s="27">
        <f t="shared" si="45"/>
        <v>3876.1774422393587</v>
      </c>
    </row>
    <row r="395" spans="1:11" x14ac:dyDescent="0.25">
      <c r="A395" s="26">
        <v>345</v>
      </c>
      <c r="B395" s="82">
        <f t="shared" si="46"/>
        <v>0</v>
      </c>
      <c r="C395" s="58">
        <f t="shared" si="42"/>
        <v>104.50616427295054</v>
      </c>
      <c r="D395" s="83">
        <f t="shared" si="47"/>
        <v>445.77777777777789</v>
      </c>
      <c r="E395">
        <f t="shared" si="43"/>
        <v>0</v>
      </c>
      <c r="G395">
        <v>345</v>
      </c>
      <c r="H395" s="13">
        <f t="shared" si="48"/>
        <v>1.8572577375266519E-2</v>
      </c>
      <c r="I395">
        <f t="shared" si="49"/>
        <v>110.91370346741749</v>
      </c>
      <c r="J395">
        <f t="shared" si="44"/>
        <v>456.85562511335149</v>
      </c>
      <c r="K395" s="27">
        <f t="shared" si="45"/>
        <v>3876.6499709782361</v>
      </c>
    </row>
    <row r="396" spans="1:11" x14ac:dyDescent="0.25">
      <c r="A396" s="26">
        <v>346</v>
      </c>
      <c r="B396" s="82">
        <f t="shared" si="46"/>
        <v>0</v>
      </c>
      <c r="C396" s="58">
        <f t="shared" si="42"/>
        <v>104.50616427295054</v>
      </c>
      <c r="D396" s="83">
        <f t="shared" si="47"/>
        <v>445.77777777777789</v>
      </c>
      <c r="E396">
        <f t="shared" si="43"/>
        <v>0</v>
      </c>
      <c r="G396">
        <v>346</v>
      </c>
      <c r="H396" s="13">
        <f t="shared" si="48"/>
        <v>1.8572577375266519E-2</v>
      </c>
      <c r="I396">
        <f t="shared" si="49"/>
        <v>110.93227604479276</v>
      </c>
      <c r="J396">
        <f t="shared" si="44"/>
        <v>456.88346004011771</v>
      </c>
      <c r="K396" s="27">
        <f t="shared" si="45"/>
        <v>3877.1221871559742</v>
      </c>
    </row>
    <row r="397" spans="1:11" x14ac:dyDescent="0.25">
      <c r="A397" s="26">
        <v>347</v>
      </c>
      <c r="B397" s="82">
        <f t="shared" si="46"/>
        <v>0</v>
      </c>
      <c r="C397" s="58">
        <f t="shared" si="42"/>
        <v>104.50616427295054</v>
      </c>
      <c r="D397" s="83">
        <f t="shared" si="47"/>
        <v>445.77777777777789</v>
      </c>
      <c r="E397">
        <f t="shared" si="43"/>
        <v>0</v>
      </c>
      <c r="G397">
        <v>347</v>
      </c>
      <c r="H397" s="13">
        <f t="shared" si="48"/>
        <v>1.8572577375266519E-2</v>
      </c>
      <c r="I397">
        <f t="shared" si="49"/>
        <v>110.95084862216802</v>
      </c>
      <c r="J397">
        <f t="shared" si="44"/>
        <v>456.91127486819516</v>
      </c>
      <c r="K397" s="27">
        <f t="shared" si="45"/>
        <v>3877.5940912215888</v>
      </c>
    </row>
    <row r="398" spans="1:11" x14ac:dyDescent="0.25">
      <c r="A398" s="26">
        <v>348</v>
      </c>
      <c r="B398" s="82">
        <f t="shared" si="46"/>
        <v>0</v>
      </c>
      <c r="C398" s="58">
        <f t="shared" si="42"/>
        <v>104.50616427295054</v>
      </c>
      <c r="D398" s="83">
        <f t="shared" si="47"/>
        <v>445.77777777777789</v>
      </c>
      <c r="E398">
        <f t="shared" si="43"/>
        <v>0</v>
      </c>
      <c r="G398">
        <v>348</v>
      </c>
      <c r="H398" s="13">
        <f t="shared" si="48"/>
        <v>1.8572577375266519E-2</v>
      </c>
      <c r="I398">
        <f t="shared" si="49"/>
        <v>110.96942119954329</v>
      </c>
      <c r="J398">
        <f t="shared" si="44"/>
        <v>456.93906962767267</v>
      </c>
      <c r="K398" s="27">
        <f t="shared" si="45"/>
        <v>3878.0656836228736</v>
      </c>
    </row>
    <row r="399" spans="1:11" x14ac:dyDescent="0.25">
      <c r="A399" s="26">
        <v>349</v>
      </c>
      <c r="B399" s="82">
        <f t="shared" si="46"/>
        <v>0</v>
      </c>
      <c r="C399" s="58">
        <f t="shared" si="42"/>
        <v>104.50616427295054</v>
      </c>
      <c r="D399" s="83">
        <f t="shared" si="47"/>
        <v>445.77777777777789</v>
      </c>
      <c r="E399">
        <f t="shared" si="43"/>
        <v>0</v>
      </c>
      <c r="G399">
        <v>349</v>
      </c>
      <c r="H399" s="13">
        <f t="shared" si="48"/>
        <v>1.8572577375266519E-2</v>
      </c>
      <c r="I399">
        <f t="shared" si="49"/>
        <v>110.98799377691856</v>
      </c>
      <c r="J399">
        <f t="shared" si="44"/>
        <v>456.9668443485574</v>
      </c>
      <c r="K399" s="27">
        <f t="shared" si="45"/>
        <v>3878.5369648064093</v>
      </c>
    </row>
    <row r="400" spans="1:11" x14ac:dyDescent="0.25">
      <c r="A400" s="26">
        <v>350</v>
      </c>
      <c r="B400" s="82">
        <f t="shared" si="46"/>
        <v>0</v>
      </c>
      <c r="C400" s="58">
        <f t="shared" ref="C400:C463" si="50">($C$37-$C$36)/2000+C399</f>
        <v>104.50616427295054</v>
      </c>
      <c r="D400" s="83">
        <f t="shared" si="47"/>
        <v>445.77777777777789</v>
      </c>
      <c r="E400">
        <f t="shared" si="43"/>
        <v>0</v>
      </c>
      <c r="G400">
        <v>350</v>
      </c>
      <c r="H400" s="13">
        <f t="shared" si="48"/>
        <v>1.8572577375266519E-2</v>
      </c>
      <c r="I400">
        <f t="shared" si="49"/>
        <v>111.00656635429382</v>
      </c>
      <c r="J400">
        <f t="shared" si="44"/>
        <v>456.99459906077522</v>
      </c>
      <c r="K400" s="27">
        <f t="shared" si="45"/>
        <v>3879.0079352175649</v>
      </c>
    </row>
    <row r="401" spans="1:11" x14ac:dyDescent="0.25">
      <c r="A401" s="26">
        <v>351</v>
      </c>
      <c r="B401" s="82">
        <f t="shared" si="46"/>
        <v>0</v>
      </c>
      <c r="C401" s="58">
        <f t="shared" si="50"/>
        <v>104.50616427295054</v>
      </c>
      <c r="D401" s="83">
        <f t="shared" si="47"/>
        <v>445.77777777777789</v>
      </c>
      <c r="E401">
        <f t="shared" si="43"/>
        <v>0</v>
      </c>
      <c r="G401">
        <v>351</v>
      </c>
      <c r="H401" s="13">
        <f t="shared" si="48"/>
        <v>1.8572577375266519E-2</v>
      </c>
      <c r="I401">
        <f t="shared" si="49"/>
        <v>111.02513893166909</v>
      </c>
      <c r="J401">
        <f t="shared" si="44"/>
        <v>457.02233379417078</v>
      </c>
      <c r="K401" s="27">
        <f t="shared" si="45"/>
        <v>3879.4785953005035</v>
      </c>
    </row>
    <row r="402" spans="1:11" x14ac:dyDescent="0.25">
      <c r="A402" s="26">
        <v>352</v>
      </c>
      <c r="B402" s="82">
        <f t="shared" si="46"/>
        <v>0</v>
      </c>
      <c r="C402" s="58">
        <f t="shared" si="50"/>
        <v>104.50616427295054</v>
      </c>
      <c r="D402" s="83">
        <f t="shared" si="47"/>
        <v>445.77777777777789</v>
      </c>
      <c r="E402">
        <f t="shared" si="43"/>
        <v>0</v>
      </c>
      <c r="G402">
        <v>352</v>
      </c>
      <c r="H402" s="13">
        <f t="shared" si="48"/>
        <v>1.8572577375266519E-2</v>
      </c>
      <c r="I402">
        <f t="shared" si="49"/>
        <v>111.04371150904436</v>
      </c>
      <c r="J402">
        <f t="shared" si="44"/>
        <v>457.05004857850821</v>
      </c>
      <c r="K402" s="27">
        <f t="shared" si="45"/>
        <v>3879.9489454981904</v>
      </c>
    </row>
    <row r="403" spans="1:11" x14ac:dyDescent="0.25">
      <c r="A403" s="26">
        <v>353</v>
      </c>
      <c r="B403" s="82">
        <f t="shared" si="46"/>
        <v>0</v>
      </c>
      <c r="C403" s="58">
        <f t="shared" si="50"/>
        <v>104.50616427295054</v>
      </c>
      <c r="D403" s="83">
        <f t="shared" si="47"/>
        <v>445.77777777777789</v>
      </c>
      <c r="E403">
        <f t="shared" si="43"/>
        <v>0</v>
      </c>
      <c r="G403">
        <v>353</v>
      </c>
      <c r="H403" s="13">
        <f t="shared" si="48"/>
        <v>1.8572577375266519E-2</v>
      </c>
      <c r="I403">
        <f t="shared" si="49"/>
        <v>111.06228408641962</v>
      </c>
      <c r="J403">
        <f t="shared" si="44"/>
        <v>457.07774344347104</v>
      </c>
      <c r="K403" s="27">
        <f t="shared" si="45"/>
        <v>3880.4189862523895</v>
      </c>
    </row>
    <row r="404" spans="1:11" x14ac:dyDescent="0.25">
      <c r="A404" s="26">
        <v>354</v>
      </c>
      <c r="B404" s="82">
        <f t="shared" si="46"/>
        <v>0</v>
      </c>
      <c r="C404" s="58">
        <f t="shared" si="50"/>
        <v>104.50616427295054</v>
      </c>
      <c r="D404" s="83">
        <f t="shared" si="47"/>
        <v>445.77777777777789</v>
      </c>
      <c r="E404">
        <f t="shared" si="43"/>
        <v>0</v>
      </c>
      <c r="G404">
        <v>354</v>
      </c>
      <c r="H404" s="13">
        <f t="shared" si="48"/>
        <v>1.8572577375266519E-2</v>
      </c>
      <c r="I404">
        <f t="shared" si="49"/>
        <v>111.08085666379489</v>
      </c>
      <c r="J404">
        <f t="shared" si="44"/>
        <v>457.10541841866274</v>
      </c>
      <c r="K404" s="27">
        <f t="shared" si="45"/>
        <v>3880.8887180036782</v>
      </c>
    </row>
    <row r="405" spans="1:11" x14ac:dyDescent="0.25">
      <c r="A405" s="26">
        <v>355</v>
      </c>
      <c r="B405" s="82">
        <f t="shared" si="46"/>
        <v>0</v>
      </c>
      <c r="C405" s="58">
        <f t="shared" si="50"/>
        <v>104.50616427295054</v>
      </c>
      <c r="D405" s="83">
        <f t="shared" si="47"/>
        <v>445.77777777777789</v>
      </c>
      <c r="E405">
        <f t="shared" si="43"/>
        <v>0</v>
      </c>
      <c r="G405">
        <v>355</v>
      </c>
      <c r="H405" s="13">
        <f t="shared" si="48"/>
        <v>1.8572577375266519E-2</v>
      </c>
      <c r="I405">
        <f t="shared" si="49"/>
        <v>111.09942924117016</v>
      </c>
      <c r="J405">
        <f t="shared" si="44"/>
        <v>457.13307353360693</v>
      </c>
      <c r="K405" s="27">
        <f t="shared" si="45"/>
        <v>3881.3581411914415</v>
      </c>
    </row>
    <row r="406" spans="1:11" x14ac:dyDescent="0.25">
      <c r="A406" s="26">
        <v>356</v>
      </c>
      <c r="B406" s="82">
        <f t="shared" si="46"/>
        <v>0</v>
      </c>
      <c r="C406" s="58">
        <f t="shared" si="50"/>
        <v>104.50616427295054</v>
      </c>
      <c r="D406" s="83">
        <f t="shared" si="47"/>
        <v>445.77777777777789</v>
      </c>
      <c r="E406">
        <f t="shared" si="43"/>
        <v>0</v>
      </c>
      <c r="G406">
        <v>356</v>
      </c>
      <c r="H406" s="13">
        <f t="shared" si="48"/>
        <v>1.8572577375266519E-2</v>
      </c>
      <c r="I406">
        <f t="shared" si="49"/>
        <v>111.11800181854542</v>
      </c>
      <c r="J406">
        <f t="shared" si="44"/>
        <v>457.16070881774766</v>
      </c>
      <c r="K406" s="27">
        <f t="shared" si="45"/>
        <v>3881.8272562538841</v>
      </c>
    </row>
    <row r="407" spans="1:11" x14ac:dyDescent="0.25">
      <c r="A407" s="26">
        <v>357</v>
      </c>
      <c r="B407" s="82">
        <f t="shared" si="46"/>
        <v>0</v>
      </c>
      <c r="C407" s="58">
        <f t="shared" si="50"/>
        <v>104.50616427295054</v>
      </c>
      <c r="D407" s="83">
        <f t="shared" si="47"/>
        <v>445.77777777777789</v>
      </c>
      <c r="E407">
        <f t="shared" si="43"/>
        <v>0</v>
      </c>
      <c r="G407">
        <v>357</v>
      </c>
      <c r="H407" s="13">
        <f t="shared" si="48"/>
        <v>1.8572577375266519E-2</v>
      </c>
      <c r="I407">
        <f t="shared" si="49"/>
        <v>111.13657439592069</v>
      </c>
      <c r="J407">
        <f t="shared" si="44"/>
        <v>457.18832430044984</v>
      </c>
      <c r="K407" s="27">
        <f t="shared" si="45"/>
        <v>3882.2960636280327</v>
      </c>
    </row>
    <row r="408" spans="1:11" x14ac:dyDescent="0.25">
      <c r="A408" s="26">
        <v>358</v>
      </c>
      <c r="B408" s="82">
        <f t="shared" si="46"/>
        <v>0</v>
      </c>
      <c r="C408" s="58">
        <f t="shared" si="50"/>
        <v>104.50616427295054</v>
      </c>
      <c r="D408" s="83">
        <f t="shared" si="47"/>
        <v>445.77777777777789</v>
      </c>
      <c r="E408">
        <f t="shared" si="43"/>
        <v>0</v>
      </c>
      <c r="G408">
        <v>358</v>
      </c>
      <c r="H408" s="13">
        <f t="shared" si="48"/>
        <v>1.8572577375266519E-2</v>
      </c>
      <c r="I408">
        <f t="shared" si="49"/>
        <v>111.15514697329596</v>
      </c>
      <c r="J408">
        <f t="shared" si="44"/>
        <v>457.21592001099941</v>
      </c>
      <c r="K408" s="27">
        <f t="shared" si="45"/>
        <v>3882.7645637497376</v>
      </c>
    </row>
    <row r="409" spans="1:11" x14ac:dyDescent="0.25">
      <c r="A409" s="26">
        <v>359</v>
      </c>
      <c r="B409" s="82">
        <f t="shared" si="46"/>
        <v>0</v>
      </c>
      <c r="C409" s="58">
        <f t="shared" si="50"/>
        <v>104.50616427295054</v>
      </c>
      <c r="D409" s="83">
        <f t="shared" si="47"/>
        <v>445.77777777777789</v>
      </c>
      <c r="E409">
        <f t="shared" si="43"/>
        <v>0</v>
      </c>
      <c r="G409">
        <v>359</v>
      </c>
      <c r="H409" s="13">
        <f t="shared" si="48"/>
        <v>1.8572577375266519E-2</v>
      </c>
      <c r="I409">
        <f t="shared" si="49"/>
        <v>111.17371955067122</v>
      </c>
      <c r="J409">
        <f t="shared" si="44"/>
        <v>457.24349597860362</v>
      </c>
      <c r="K409" s="27">
        <f t="shared" si="45"/>
        <v>3883.2327570536831</v>
      </c>
    </row>
    <row r="410" spans="1:11" x14ac:dyDescent="0.25">
      <c r="A410" s="26">
        <v>360</v>
      </c>
      <c r="B410" s="82">
        <f t="shared" si="46"/>
        <v>0</v>
      </c>
      <c r="C410" s="58">
        <f t="shared" si="50"/>
        <v>104.50616427295054</v>
      </c>
      <c r="D410" s="83">
        <f t="shared" si="47"/>
        <v>445.77777777777789</v>
      </c>
      <c r="E410">
        <f t="shared" si="43"/>
        <v>0</v>
      </c>
      <c r="G410">
        <v>360</v>
      </c>
      <c r="H410" s="13">
        <f t="shared" si="48"/>
        <v>1.8572577375266519E-2</v>
      </c>
      <c r="I410">
        <f t="shared" si="49"/>
        <v>111.19229212804649</v>
      </c>
      <c r="J410">
        <f t="shared" si="44"/>
        <v>457.27105223239153</v>
      </c>
      <c r="K410" s="27">
        <f t="shared" si="45"/>
        <v>3883.700643973385</v>
      </c>
    </row>
    <row r="411" spans="1:11" x14ac:dyDescent="0.25">
      <c r="A411" s="26">
        <v>361</v>
      </c>
      <c r="B411" s="82">
        <f t="shared" si="46"/>
        <v>0</v>
      </c>
      <c r="C411" s="58">
        <f t="shared" si="50"/>
        <v>104.50616427295054</v>
      </c>
      <c r="D411" s="83">
        <f t="shared" si="47"/>
        <v>445.77777777777789</v>
      </c>
      <c r="E411">
        <f t="shared" si="43"/>
        <v>0</v>
      </c>
      <c r="G411">
        <v>361</v>
      </c>
      <c r="H411" s="13">
        <f t="shared" si="48"/>
        <v>1.8572577375266519E-2</v>
      </c>
      <c r="I411">
        <f t="shared" si="49"/>
        <v>111.21086470542176</v>
      </c>
      <c r="J411">
        <f t="shared" si="44"/>
        <v>457.2985888014141</v>
      </c>
      <c r="K411" s="27">
        <f t="shared" si="45"/>
        <v>3884.1682249411992</v>
      </c>
    </row>
    <row r="412" spans="1:11" x14ac:dyDescent="0.25">
      <c r="A412" s="26">
        <v>362</v>
      </c>
      <c r="B412" s="82">
        <f t="shared" si="46"/>
        <v>0</v>
      </c>
      <c r="C412" s="58">
        <f t="shared" si="50"/>
        <v>104.50616427295054</v>
      </c>
      <c r="D412" s="83">
        <f t="shared" si="47"/>
        <v>445.77777777777789</v>
      </c>
      <c r="E412">
        <f t="shared" si="43"/>
        <v>0</v>
      </c>
      <c r="G412">
        <v>362</v>
      </c>
      <c r="H412" s="13">
        <f t="shared" si="48"/>
        <v>1.8572577375266519E-2</v>
      </c>
      <c r="I412">
        <f t="shared" si="49"/>
        <v>111.22943728279702</v>
      </c>
      <c r="J412">
        <f t="shared" si="44"/>
        <v>457.32610571464437</v>
      </c>
      <c r="K412" s="27">
        <f t="shared" si="45"/>
        <v>3884.6355003883268</v>
      </c>
    </row>
    <row r="413" spans="1:11" x14ac:dyDescent="0.25">
      <c r="A413" s="26">
        <v>363</v>
      </c>
      <c r="B413" s="82">
        <f t="shared" si="46"/>
        <v>0</v>
      </c>
      <c r="C413" s="58">
        <f t="shared" si="50"/>
        <v>104.50616427295054</v>
      </c>
      <c r="D413" s="83">
        <f t="shared" si="47"/>
        <v>445.77777777777789</v>
      </c>
      <c r="E413">
        <f t="shared" si="43"/>
        <v>0</v>
      </c>
      <c r="G413">
        <v>363</v>
      </c>
      <c r="H413" s="13">
        <f t="shared" si="48"/>
        <v>1.8572577375266519E-2</v>
      </c>
      <c r="I413">
        <f t="shared" si="49"/>
        <v>111.24800986017229</v>
      </c>
      <c r="J413">
        <f t="shared" si="44"/>
        <v>457.35360300097824</v>
      </c>
      <c r="K413" s="27">
        <f t="shared" si="45"/>
        <v>3885.1024707448159</v>
      </c>
    </row>
    <row r="414" spans="1:11" x14ac:dyDescent="0.25">
      <c r="A414" s="26">
        <v>364</v>
      </c>
      <c r="B414" s="82">
        <f t="shared" si="46"/>
        <v>0</v>
      </c>
      <c r="C414" s="58">
        <f t="shared" si="50"/>
        <v>104.50616427295054</v>
      </c>
      <c r="D414" s="83">
        <f t="shared" si="47"/>
        <v>445.77777777777789</v>
      </c>
      <c r="E414">
        <f t="shared" si="43"/>
        <v>0</v>
      </c>
      <c r="G414">
        <v>364</v>
      </c>
      <c r="H414" s="13">
        <f t="shared" si="48"/>
        <v>1.8572577375266519E-2</v>
      </c>
      <c r="I414">
        <f t="shared" si="49"/>
        <v>111.26658243754756</v>
      </c>
      <c r="J414">
        <f t="shared" si="44"/>
        <v>457.38108068923424</v>
      </c>
      <c r="K414" s="27">
        <f t="shared" si="45"/>
        <v>3885.5691364395648</v>
      </c>
    </row>
    <row r="415" spans="1:11" x14ac:dyDescent="0.25">
      <c r="A415" s="26">
        <v>365</v>
      </c>
      <c r="B415" s="82">
        <f t="shared" si="46"/>
        <v>0</v>
      </c>
      <c r="C415" s="58">
        <f t="shared" si="50"/>
        <v>104.50616427295054</v>
      </c>
      <c r="D415" s="83">
        <f t="shared" si="47"/>
        <v>445.77777777777789</v>
      </c>
      <c r="E415">
        <f t="shared" si="43"/>
        <v>0</v>
      </c>
      <c r="G415">
        <v>365</v>
      </c>
      <c r="H415" s="13">
        <f t="shared" si="48"/>
        <v>1.8572577375266519E-2</v>
      </c>
      <c r="I415">
        <f t="shared" si="49"/>
        <v>111.28515501492282</v>
      </c>
      <c r="J415">
        <f t="shared" si="44"/>
        <v>457.40853880815411</v>
      </c>
      <c r="K415" s="27">
        <f t="shared" si="45"/>
        <v>3886.0354979003318</v>
      </c>
    </row>
    <row r="416" spans="1:11" x14ac:dyDescent="0.25">
      <c r="A416" s="26">
        <v>366</v>
      </c>
      <c r="B416" s="82">
        <f t="shared" si="46"/>
        <v>0</v>
      </c>
      <c r="C416" s="58">
        <f t="shared" si="50"/>
        <v>104.50616427295054</v>
      </c>
      <c r="D416" s="83">
        <f t="shared" si="47"/>
        <v>445.77777777777789</v>
      </c>
      <c r="E416">
        <f t="shared" si="43"/>
        <v>0</v>
      </c>
      <c r="G416">
        <v>366</v>
      </c>
      <c r="H416" s="13">
        <f t="shared" si="48"/>
        <v>1.8572577375266519E-2</v>
      </c>
      <c r="I416">
        <f t="shared" si="49"/>
        <v>111.30372759229809</v>
      </c>
      <c r="J416">
        <f t="shared" si="44"/>
        <v>457.4359773864029</v>
      </c>
      <c r="K416" s="27">
        <f t="shared" si="45"/>
        <v>3886.5015555537334</v>
      </c>
    </row>
    <row r="417" spans="1:11" x14ac:dyDescent="0.25">
      <c r="A417" s="26">
        <v>367</v>
      </c>
      <c r="B417" s="82">
        <f t="shared" si="46"/>
        <v>0</v>
      </c>
      <c r="C417" s="58">
        <f t="shared" si="50"/>
        <v>104.50616427295054</v>
      </c>
      <c r="D417" s="83">
        <f t="shared" si="47"/>
        <v>445.77777777777789</v>
      </c>
      <c r="E417">
        <f t="shared" si="43"/>
        <v>0</v>
      </c>
      <c r="G417">
        <v>367</v>
      </c>
      <c r="H417" s="13">
        <f t="shared" si="48"/>
        <v>1.8572577375266519E-2</v>
      </c>
      <c r="I417">
        <f t="shared" si="49"/>
        <v>111.32230016967335</v>
      </c>
      <c r="J417">
        <f t="shared" si="44"/>
        <v>457.46339645256955</v>
      </c>
      <c r="K417" s="27">
        <f t="shared" si="45"/>
        <v>3886.9673098252533</v>
      </c>
    </row>
    <row r="418" spans="1:11" x14ac:dyDescent="0.25">
      <c r="A418" s="26">
        <v>368</v>
      </c>
      <c r="B418" s="82">
        <f t="shared" si="46"/>
        <v>0</v>
      </c>
      <c r="C418" s="58">
        <f t="shared" si="50"/>
        <v>104.50616427295054</v>
      </c>
      <c r="D418" s="83">
        <f t="shared" si="47"/>
        <v>445.77777777777789</v>
      </c>
      <c r="E418">
        <f t="shared" si="43"/>
        <v>0</v>
      </c>
      <c r="G418">
        <v>368</v>
      </c>
      <c r="H418" s="13">
        <f t="shared" si="48"/>
        <v>1.8572577375266519E-2</v>
      </c>
      <c r="I418">
        <f t="shared" si="49"/>
        <v>111.34087274704862</v>
      </c>
      <c r="J418">
        <f t="shared" si="44"/>
        <v>457.4907960351668</v>
      </c>
      <c r="K418" s="27">
        <f t="shared" si="45"/>
        <v>3887.4327611392414</v>
      </c>
    </row>
    <row r="419" spans="1:11" x14ac:dyDescent="0.25">
      <c r="A419" s="26">
        <v>369</v>
      </c>
      <c r="B419" s="82">
        <f t="shared" si="46"/>
        <v>0</v>
      </c>
      <c r="C419" s="58">
        <f t="shared" si="50"/>
        <v>104.50616427295054</v>
      </c>
      <c r="D419" s="83">
        <f t="shared" si="47"/>
        <v>445.77777777777789</v>
      </c>
      <c r="E419">
        <f t="shared" si="43"/>
        <v>0</v>
      </c>
      <c r="G419">
        <v>369</v>
      </c>
      <c r="H419" s="13">
        <f t="shared" si="48"/>
        <v>1.8572577375266519E-2</v>
      </c>
      <c r="I419">
        <f t="shared" si="49"/>
        <v>111.35944532442389</v>
      </c>
      <c r="J419">
        <f t="shared" si="44"/>
        <v>457.51817616263173</v>
      </c>
      <c r="K419" s="27">
        <f t="shared" si="45"/>
        <v>3887.8979099189255</v>
      </c>
    </row>
    <row r="420" spans="1:11" x14ac:dyDescent="0.25">
      <c r="A420" s="26">
        <v>370</v>
      </c>
      <c r="B420" s="82">
        <f t="shared" si="46"/>
        <v>0</v>
      </c>
      <c r="C420" s="58">
        <f t="shared" si="50"/>
        <v>104.50616427295054</v>
      </c>
      <c r="D420" s="83">
        <f t="shared" si="47"/>
        <v>445.77777777777789</v>
      </c>
      <c r="E420">
        <f t="shared" si="43"/>
        <v>0</v>
      </c>
      <c r="G420">
        <v>370</v>
      </c>
      <c r="H420" s="13">
        <f t="shared" si="48"/>
        <v>1.8572577375266519E-2</v>
      </c>
      <c r="I420">
        <f t="shared" si="49"/>
        <v>111.37801790179915</v>
      </c>
      <c r="J420">
        <f t="shared" si="44"/>
        <v>457.54553686332605</v>
      </c>
      <c r="K420" s="27">
        <f t="shared" si="45"/>
        <v>3888.3627565864062</v>
      </c>
    </row>
    <row r="421" spans="1:11" x14ac:dyDescent="0.25">
      <c r="A421" s="26">
        <v>371</v>
      </c>
      <c r="B421" s="82">
        <f t="shared" si="46"/>
        <v>0</v>
      </c>
      <c r="C421" s="58">
        <f t="shared" si="50"/>
        <v>104.50616427295054</v>
      </c>
      <c r="D421" s="83">
        <f t="shared" si="47"/>
        <v>445.77777777777789</v>
      </c>
      <c r="E421">
        <f t="shared" si="43"/>
        <v>0</v>
      </c>
      <c r="G421">
        <v>371</v>
      </c>
      <c r="H421" s="13">
        <f t="shared" si="48"/>
        <v>1.8572577375266519E-2</v>
      </c>
      <c r="I421">
        <f t="shared" si="49"/>
        <v>111.39659047917442</v>
      </c>
      <c r="J421">
        <f t="shared" si="44"/>
        <v>457.57287816553617</v>
      </c>
      <c r="K421" s="27">
        <f t="shared" si="45"/>
        <v>3888.827301562671</v>
      </c>
    </row>
    <row r="422" spans="1:11" x14ac:dyDescent="0.25">
      <c r="A422" s="26">
        <v>372</v>
      </c>
      <c r="B422" s="82">
        <f t="shared" si="46"/>
        <v>0</v>
      </c>
      <c r="C422" s="58">
        <f t="shared" si="50"/>
        <v>104.50616427295054</v>
      </c>
      <c r="D422" s="83">
        <f t="shared" si="47"/>
        <v>445.77777777777789</v>
      </c>
      <c r="E422">
        <f t="shared" si="43"/>
        <v>0</v>
      </c>
      <c r="G422">
        <v>372</v>
      </c>
      <c r="H422" s="13">
        <f t="shared" si="48"/>
        <v>1.8572577375266519E-2</v>
      </c>
      <c r="I422">
        <f t="shared" si="49"/>
        <v>111.41516305654969</v>
      </c>
      <c r="J422">
        <f t="shared" si="44"/>
        <v>457.6002000974737</v>
      </c>
      <c r="K422" s="27">
        <f t="shared" si="45"/>
        <v>3889.2915452675902</v>
      </c>
    </row>
    <row r="423" spans="1:11" x14ac:dyDescent="0.25">
      <c r="A423" s="26">
        <v>373</v>
      </c>
      <c r="B423" s="82">
        <f t="shared" si="46"/>
        <v>0</v>
      </c>
      <c r="C423" s="58">
        <f t="shared" si="50"/>
        <v>104.50616427295054</v>
      </c>
      <c r="D423" s="83">
        <f t="shared" si="47"/>
        <v>445.77777777777789</v>
      </c>
      <c r="E423">
        <f t="shared" si="43"/>
        <v>0</v>
      </c>
      <c r="G423">
        <v>373</v>
      </c>
      <c r="H423" s="13">
        <f t="shared" si="48"/>
        <v>1.8572577375266519E-2</v>
      </c>
      <c r="I423">
        <f t="shared" si="49"/>
        <v>111.43373563392495</v>
      </c>
      <c r="J423">
        <f t="shared" si="44"/>
        <v>457.62750268727569</v>
      </c>
      <c r="K423" s="27">
        <f t="shared" si="45"/>
        <v>3889.7554881199248</v>
      </c>
    </row>
    <row r="424" spans="1:11" x14ac:dyDescent="0.25">
      <c r="A424" s="26">
        <v>374</v>
      </c>
      <c r="B424" s="82">
        <f t="shared" si="46"/>
        <v>0</v>
      </c>
      <c r="C424" s="58">
        <f t="shared" si="50"/>
        <v>104.50616427295054</v>
      </c>
      <c r="D424" s="83">
        <f t="shared" si="47"/>
        <v>445.77777777777789</v>
      </c>
      <c r="E424">
        <f t="shared" si="43"/>
        <v>0</v>
      </c>
      <c r="G424">
        <v>374</v>
      </c>
      <c r="H424" s="13">
        <f t="shared" si="48"/>
        <v>1.8572577375266519E-2</v>
      </c>
      <c r="I424">
        <f t="shared" si="49"/>
        <v>111.45230821130022</v>
      </c>
      <c r="J424">
        <f t="shared" si="44"/>
        <v>457.65478596300471</v>
      </c>
      <c r="K424" s="27">
        <f t="shared" si="45"/>
        <v>3890.2191305373312</v>
      </c>
    </row>
    <row r="425" spans="1:11" x14ac:dyDescent="0.25">
      <c r="A425" s="26">
        <v>375</v>
      </c>
      <c r="B425" s="82">
        <f t="shared" si="46"/>
        <v>0</v>
      </c>
      <c r="C425" s="58">
        <f t="shared" si="50"/>
        <v>104.50616427295054</v>
      </c>
      <c r="D425" s="83">
        <f t="shared" si="47"/>
        <v>445.77777777777789</v>
      </c>
      <c r="E425">
        <f t="shared" si="43"/>
        <v>0</v>
      </c>
      <c r="G425">
        <v>375</v>
      </c>
      <c r="H425" s="13">
        <f t="shared" si="48"/>
        <v>1.8572577375266519E-2</v>
      </c>
      <c r="I425">
        <f t="shared" si="49"/>
        <v>111.47088078867549</v>
      </c>
      <c r="J425">
        <f t="shared" si="44"/>
        <v>457.68204995264938</v>
      </c>
      <c r="K425" s="27">
        <f t="shared" si="45"/>
        <v>3890.682472936363</v>
      </c>
    </row>
    <row r="426" spans="1:11" x14ac:dyDescent="0.25">
      <c r="A426" s="26">
        <v>376</v>
      </c>
      <c r="B426" s="82">
        <f t="shared" si="46"/>
        <v>0</v>
      </c>
      <c r="C426" s="58">
        <f t="shared" si="50"/>
        <v>104.50616427295054</v>
      </c>
      <c r="D426" s="83">
        <f t="shared" si="47"/>
        <v>445.77777777777789</v>
      </c>
      <c r="E426">
        <f t="shared" si="43"/>
        <v>0</v>
      </c>
      <c r="G426">
        <v>376</v>
      </c>
      <c r="H426" s="13">
        <f t="shared" si="48"/>
        <v>1.8572577375266519E-2</v>
      </c>
      <c r="I426">
        <f t="shared" si="49"/>
        <v>111.48945336605075</v>
      </c>
      <c r="J426">
        <f t="shared" si="44"/>
        <v>457.70929468412459</v>
      </c>
      <c r="K426" s="27">
        <f t="shared" si="45"/>
        <v>3891.1455157324776</v>
      </c>
    </row>
    <row r="427" spans="1:11" x14ac:dyDescent="0.25">
      <c r="A427" s="26">
        <v>377</v>
      </c>
      <c r="B427" s="82">
        <f t="shared" si="46"/>
        <v>0</v>
      </c>
      <c r="C427" s="58">
        <f t="shared" si="50"/>
        <v>104.50616427295054</v>
      </c>
      <c r="D427" s="83">
        <f t="shared" si="47"/>
        <v>445.77777777777789</v>
      </c>
      <c r="E427">
        <f t="shared" si="43"/>
        <v>0</v>
      </c>
      <c r="G427">
        <v>377</v>
      </c>
      <c r="H427" s="13">
        <f t="shared" si="48"/>
        <v>1.8572577375266519E-2</v>
      </c>
      <c r="I427">
        <f t="shared" si="49"/>
        <v>111.50802594342602</v>
      </c>
      <c r="J427">
        <f t="shared" si="44"/>
        <v>457.7365201852715</v>
      </c>
      <c r="K427" s="27">
        <f t="shared" si="45"/>
        <v>3891.608259340037</v>
      </c>
    </row>
    <row r="428" spans="1:11" x14ac:dyDescent="0.25">
      <c r="A428" s="26">
        <v>378</v>
      </c>
      <c r="B428" s="82">
        <f t="shared" si="46"/>
        <v>0</v>
      </c>
      <c r="C428" s="58">
        <f t="shared" si="50"/>
        <v>104.50616427295054</v>
      </c>
      <c r="D428" s="83">
        <f t="shared" si="47"/>
        <v>445.77777777777789</v>
      </c>
      <c r="E428">
        <f t="shared" si="43"/>
        <v>0</v>
      </c>
      <c r="G428">
        <v>378</v>
      </c>
      <c r="H428" s="13">
        <f t="shared" si="48"/>
        <v>1.8572577375266519E-2</v>
      </c>
      <c r="I428">
        <f t="shared" si="49"/>
        <v>111.52659852080129</v>
      </c>
      <c r="J428">
        <f t="shared" si="44"/>
        <v>457.76372648385836</v>
      </c>
      <c r="K428" s="27">
        <f t="shared" si="45"/>
        <v>3892.0707041723163</v>
      </c>
    </row>
    <row r="429" spans="1:11" x14ac:dyDescent="0.25">
      <c r="A429" s="26">
        <v>379</v>
      </c>
      <c r="B429" s="82">
        <f t="shared" si="46"/>
        <v>0</v>
      </c>
      <c r="C429" s="58">
        <f t="shared" si="50"/>
        <v>104.50616427295054</v>
      </c>
      <c r="D429" s="83">
        <f t="shared" si="47"/>
        <v>445.77777777777789</v>
      </c>
      <c r="E429">
        <f t="shared" si="43"/>
        <v>0</v>
      </c>
      <c r="G429">
        <v>379</v>
      </c>
      <c r="H429" s="13">
        <f t="shared" si="48"/>
        <v>1.8572577375266519E-2</v>
      </c>
      <c r="I429">
        <f t="shared" si="49"/>
        <v>111.54517109817655</v>
      </c>
      <c r="J429">
        <f t="shared" si="44"/>
        <v>457.79091360758019</v>
      </c>
      <c r="K429" s="27">
        <f t="shared" si="45"/>
        <v>3892.5328506415049</v>
      </c>
    </row>
    <row r="430" spans="1:11" x14ac:dyDescent="0.25">
      <c r="A430" s="26">
        <v>380</v>
      </c>
      <c r="B430" s="82">
        <f t="shared" si="46"/>
        <v>0</v>
      </c>
      <c r="C430" s="58">
        <f t="shared" si="50"/>
        <v>104.50616427295054</v>
      </c>
      <c r="D430" s="83">
        <f t="shared" si="47"/>
        <v>445.77777777777789</v>
      </c>
      <c r="E430">
        <f t="shared" si="43"/>
        <v>0</v>
      </c>
      <c r="G430">
        <v>380</v>
      </c>
      <c r="H430" s="13">
        <f t="shared" si="48"/>
        <v>1.8572577375266519E-2</v>
      </c>
      <c r="I430">
        <f t="shared" si="49"/>
        <v>111.56374367555182</v>
      </c>
      <c r="J430">
        <f t="shared" si="44"/>
        <v>457.81808158405943</v>
      </c>
      <c r="K430" s="27">
        <f t="shared" si="45"/>
        <v>3892.9946991587076</v>
      </c>
    </row>
    <row r="431" spans="1:11" x14ac:dyDescent="0.25">
      <c r="A431" s="26">
        <v>381</v>
      </c>
      <c r="B431" s="82">
        <f t="shared" si="46"/>
        <v>0</v>
      </c>
      <c r="C431" s="58">
        <f t="shared" si="50"/>
        <v>104.50616427295054</v>
      </c>
      <c r="D431" s="83">
        <f t="shared" si="47"/>
        <v>445.77777777777789</v>
      </c>
      <c r="E431">
        <f t="shared" si="43"/>
        <v>0</v>
      </c>
      <c r="G431">
        <v>381</v>
      </c>
      <c r="H431" s="13">
        <f t="shared" si="48"/>
        <v>1.8572577375266519E-2</v>
      </c>
      <c r="I431">
        <f t="shared" si="49"/>
        <v>111.58231625292709</v>
      </c>
      <c r="J431">
        <f t="shared" si="44"/>
        <v>457.84523044084608</v>
      </c>
      <c r="K431" s="27">
        <f t="shared" si="45"/>
        <v>3893.4562501339556</v>
      </c>
    </row>
    <row r="432" spans="1:11" x14ac:dyDescent="0.25">
      <c r="A432" s="26">
        <v>382</v>
      </c>
      <c r="B432" s="82">
        <f t="shared" si="46"/>
        <v>0</v>
      </c>
      <c r="C432" s="58">
        <f t="shared" si="50"/>
        <v>104.50616427295054</v>
      </c>
      <c r="D432" s="83">
        <f t="shared" si="47"/>
        <v>445.77777777777789</v>
      </c>
      <c r="E432">
        <f t="shared" si="43"/>
        <v>0</v>
      </c>
      <c r="G432">
        <v>382</v>
      </c>
      <c r="H432" s="13">
        <f t="shared" si="48"/>
        <v>1.8572577375266519E-2</v>
      </c>
      <c r="I432">
        <f t="shared" si="49"/>
        <v>111.60088883030235</v>
      </c>
      <c r="J432">
        <f t="shared" si="44"/>
        <v>457.87236020541792</v>
      </c>
      <c r="K432" s="27">
        <f t="shared" si="45"/>
        <v>3893.9175039762063</v>
      </c>
    </row>
    <row r="433" spans="1:11" x14ac:dyDescent="0.25">
      <c r="A433" s="26">
        <v>383</v>
      </c>
      <c r="B433" s="82">
        <f t="shared" si="46"/>
        <v>0</v>
      </c>
      <c r="C433" s="58">
        <f t="shared" si="50"/>
        <v>104.50616427295054</v>
      </c>
      <c r="D433" s="83">
        <f t="shared" si="47"/>
        <v>445.77777777777789</v>
      </c>
      <c r="E433">
        <f t="shared" si="43"/>
        <v>0</v>
      </c>
      <c r="G433">
        <v>383</v>
      </c>
      <c r="H433" s="13">
        <f t="shared" si="48"/>
        <v>1.8572577375266519E-2</v>
      </c>
      <c r="I433">
        <f t="shared" si="49"/>
        <v>111.61946140767762</v>
      </c>
      <c r="J433">
        <f t="shared" si="44"/>
        <v>457.89947090518098</v>
      </c>
      <c r="K433" s="27">
        <f t="shared" si="45"/>
        <v>3894.378461093344</v>
      </c>
    </row>
    <row r="434" spans="1:11" x14ac:dyDescent="0.25">
      <c r="A434" s="26">
        <v>384</v>
      </c>
      <c r="B434" s="82">
        <f t="shared" si="46"/>
        <v>0</v>
      </c>
      <c r="C434" s="58">
        <f t="shared" si="50"/>
        <v>104.50616427295054</v>
      </c>
      <c r="D434" s="83">
        <f t="shared" si="47"/>
        <v>445.77777777777789</v>
      </c>
      <c r="E434">
        <f t="shared" si="43"/>
        <v>0</v>
      </c>
      <c r="G434">
        <v>384</v>
      </c>
      <c r="H434" s="13">
        <f t="shared" si="48"/>
        <v>1.8572577375266519E-2</v>
      </c>
      <c r="I434">
        <f t="shared" si="49"/>
        <v>111.63803398505289</v>
      </c>
      <c r="J434">
        <f t="shared" si="44"/>
        <v>457.92656256746943</v>
      </c>
      <c r="K434" s="27">
        <f t="shared" si="45"/>
        <v>3894.839121892192</v>
      </c>
    </row>
    <row r="435" spans="1:11" x14ac:dyDescent="0.25">
      <c r="A435" s="26">
        <v>385</v>
      </c>
      <c r="B435" s="82">
        <f t="shared" si="46"/>
        <v>0</v>
      </c>
      <c r="C435" s="58">
        <f t="shared" si="50"/>
        <v>104.50616427295054</v>
      </c>
      <c r="D435" s="83">
        <f t="shared" si="47"/>
        <v>445.77777777777789</v>
      </c>
      <c r="E435">
        <f t="shared" ref="E435:E498" si="51">((D435^2)+(D435*D436)+(D436^2))*B436/3</f>
        <v>0</v>
      </c>
      <c r="G435">
        <v>385</v>
      </c>
      <c r="H435" s="13">
        <f t="shared" si="48"/>
        <v>1.8572577375266519E-2</v>
      </c>
      <c r="I435">
        <f t="shared" si="49"/>
        <v>111.65660656242815</v>
      </c>
      <c r="J435">
        <f t="shared" ref="J435:J498" si="52">IF($G$28&lt;$C$14,0,((($C$11^2)-((I435-$C$13)^2))^0.5)+$C$16)</f>
        <v>457.9536352195463</v>
      </c>
      <c r="K435" s="27">
        <f t="shared" ref="K435:K498" si="53">((J435^2)+(J435*J436)+(J436^2))*H436/3</f>
        <v>3895.2994867785096</v>
      </c>
    </row>
    <row r="436" spans="1:11" x14ac:dyDescent="0.25">
      <c r="A436" s="26">
        <v>386</v>
      </c>
      <c r="B436" s="82">
        <f t="shared" ref="B436:B499" si="54">C436-C435</f>
        <v>0</v>
      </c>
      <c r="C436" s="58">
        <f t="shared" si="50"/>
        <v>104.50616427295054</v>
      </c>
      <c r="D436" s="83">
        <f t="shared" ref="D436:D499" si="55">IF($G$28&lt;$C$14,0,((($C$11^2)-((C436-$C$13)^2))^0.5)+$C$16)</f>
        <v>445.77777777777789</v>
      </c>
      <c r="E436">
        <f t="shared" si="51"/>
        <v>0</v>
      </c>
      <c r="G436">
        <v>386</v>
      </c>
      <c r="H436" s="13">
        <f t="shared" ref="H436:H499" si="56">I436-I435</f>
        <v>1.8572577375266519E-2</v>
      </c>
      <c r="I436">
        <f t="shared" ref="I436:I499" si="57">($G$27-$C$14)/2000+I435</f>
        <v>111.67517913980342</v>
      </c>
      <c r="J436">
        <f t="shared" si="52"/>
        <v>457.98068888860337</v>
      </c>
      <c r="K436" s="27">
        <f t="shared" si="53"/>
        <v>3895.7595561569983</v>
      </c>
    </row>
    <row r="437" spans="1:11" x14ac:dyDescent="0.25">
      <c r="A437" s="26">
        <v>387</v>
      </c>
      <c r="B437" s="82">
        <f t="shared" si="54"/>
        <v>0</v>
      </c>
      <c r="C437" s="58">
        <f t="shared" si="50"/>
        <v>104.50616427295054</v>
      </c>
      <c r="D437" s="83">
        <f t="shared" si="55"/>
        <v>445.77777777777789</v>
      </c>
      <c r="E437">
        <f t="shared" si="51"/>
        <v>0</v>
      </c>
      <c r="G437">
        <v>387</v>
      </c>
      <c r="H437" s="13">
        <f t="shared" si="56"/>
        <v>1.8572577375266519E-2</v>
      </c>
      <c r="I437">
        <f t="shared" si="57"/>
        <v>111.69375171717869</v>
      </c>
      <c r="J437">
        <f t="shared" si="52"/>
        <v>458.0077236017616</v>
      </c>
      <c r="K437" s="27">
        <f t="shared" si="53"/>
        <v>3896.2193304313064</v>
      </c>
    </row>
    <row r="438" spans="1:11" x14ac:dyDescent="0.25">
      <c r="A438" s="26">
        <v>388</v>
      </c>
      <c r="B438" s="82">
        <f t="shared" si="54"/>
        <v>0</v>
      </c>
      <c r="C438" s="58">
        <f t="shared" si="50"/>
        <v>104.50616427295054</v>
      </c>
      <c r="D438" s="83">
        <f t="shared" si="55"/>
        <v>445.77777777777789</v>
      </c>
      <c r="E438">
        <f t="shared" si="51"/>
        <v>0</v>
      </c>
      <c r="G438">
        <v>388</v>
      </c>
      <c r="H438" s="13">
        <f t="shared" si="56"/>
        <v>1.8572577375266519E-2</v>
      </c>
      <c r="I438">
        <f t="shared" si="57"/>
        <v>111.71232429455395</v>
      </c>
      <c r="J438">
        <f t="shared" si="52"/>
        <v>458.03473938607146</v>
      </c>
      <c r="K438" s="27">
        <f t="shared" si="53"/>
        <v>3896.6788100040326</v>
      </c>
    </row>
    <row r="439" spans="1:11" x14ac:dyDescent="0.25">
      <c r="A439" s="26">
        <v>389</v>
      </c>
      <c r="B439" s="82">
        <f t="shared" si="54"/>
        <v>0</v>
      </c>
      <c r="C439" s="58">
        <f t="shared" si="50"/>
        <v>104.50616427295054</v>
      </c>
      <c r="D439" s="83">
        <f t="shared" si="55"/>
        <v>445.77777777777789</v>
      </c>
      <c r="E439">
        <f t="shared" si="51"/>
        <v>0</v>
      </c>
      <c r="G439">
        <v>389</v>
      </c>
      <c r="H439" s="13">
        <f t="shared" si="56"/>
        <v>1.8572577375266519E-2</v>
      </c>
      <c r="I439">
        <f t="shared" si="57"/>
        <v>111.73089687192922</v>
      </c>
      <c r="J439">
        <f t="shared" si="52"/>
        <v>458.06173626851296</v>
      </c>
      <c r="K439" s="27">
        <f t="shared" si="53"/>
        <v>3897.1379952767279</v>
      </c>
    </row>
    <row r="440" spans="1:11" x14ac:dyDescent="0.25">
      <c r="A440" s="26">
        <v>390</v>
      </c>
      <c r="B440" s="82">
        <f t="shared" si="54"/>
        <v>0</v>
      </c>
      <c r="C440" s="58">
        <f t="shared" si="50"/>
        <v>104.50616427295054</v>
      </c>
      <c r="D440" s="83">
        <f t="shared" si="55"/>
        <v>445.77777777777789</v>
      </c>
      <c r="E440">
        <f t="shared" si="51"/>
        <v>0</v>
      </c>
      <c r="G440">
        <v>390</v>
      </c>
      <c r="H440" s="13">
        <f t="shared" si="56"/>
        <v>1.8572577375266519E-2</v>
      </c>
      <c r="I440">
        <f t="shared" si="57"/>
        <v>111.74946944930448</v>
      </c>
      <c r="J440">
        <f t="shared" si="52"/>
        <v>458.08871427599604</v>
      </c>
      <c r="K440" s="27">
        <f t="shared" si="53"/>
        <v>3897.5968866499038</v>
      </c>
    </row>
    <row r="441" spans="1:11" x14ac:dyDescent="0.25">
      <c r="A441" s="26">
        <v>391</v>
      </c>
      <c r="B441" s="82">
        <f t="shared" si="54"/>
        <v>0</v>
      </c>
      <c r="C441" s="58">
        <f t="shared" si="50"/>
        <v>104.50616427295054</v>
      </c>
      <c r="D441" s="83">
        <f t="shared" si="55"/>
        <v>445.77777777777789</v>
      </c>
      <c r="E441">
        <f t="shared" si="51"/>
        <v>0</v>
      </c>
      <c r="G441">
        <v>391</v>
      </c>
      <c r="H441" s="13">
        <f t="shared" si="56"/>
        <v>1.8572577375266519E-2</v>
      </c>
      <c r="I441">
        <f t="shared" si="57"/>
        <v>111.76804202667975</v>
      </c>
      <c r="J441">
        <f t="shared" si="52"/>
        <v>458.11567343536097</v>
      </c>
      <c r="K441" s="27">
        <f t="shared" si="53"/>
        <v>3898.0554845230276</v>
      </c>
    </row>
    <row r="442" spans="1:11" x14ac:dyDescent="0.25">
      <c r="A442" s="26">
        <v>392</v>
      </c>
      <c r="B442" s="82">
        <f t="shared" si="54"/>
        <v>0</v>
      </c>
      <c r="C442" s="58">
        <f t="shared" si="50"/>
        <v>104.50616427295054</v>
      </c>
      <c r="D442" s="83">
        <f t="shared" si="55"/>
        <v>445.77777777777789</v>
      </c>
      <c r="E442">
        <f t="shared" si="51"/>
        <v>0</v>
      </c>
      <c r="G442">
        <v>392</v>
      </c>
      <c r="H442" s="13">
        <f t="shared" si="56"/>
        <v>1.8572577375266519E-2</v>
      </c>
      <c r="I442">
        <f t="shared" si="57"/>
        <v>111.78661460405502</v>
      </c>
      <c r="J442">
        <f t="shared" si="52"/>
        <v>458.14261377337829</v>
      </c>
      <c r="K442" s="27">
        <f t="shared" si="53"/>
        <v>3898.513789294539</v>
      </c>
    </row>
    <row r="443" spans="1:11" x14ac:dyDescent="0.25">
      <c r="A443" s="26">
        <v>393</v>
      </c>
      <c r="B443" s="82">
        <f t="shared" si="54"/>
        <v>0</v>
      </c>
      <c r="C443" s="58">
        <f t="shared" si="50"/>
        <v>104.50616427295054</v>
      </c>
      <c r="D443" s="83">
        <f t="shared" si="55"/>
        <v>445.77777777777789</v>
      </c>
      <c r="E443">
        <f t="shared" si="51"/>
        <v>0</v>
      </c>
      <c r="G443">
        <v>393</v>
      </c>
      <c r="H443" s="13">
        <f t="shared" si="56"/>
        <v>1.8572577375266519E-2</v>
      </c>
      <c r="I443">
        <f t="shared" si="57"/>
        <v>111.80518718143028</v>
      </c>
      <c r="J443">
        <f t="shared" si="52"/>
        <v>458.16953531674932</v>
      </c>
      <c r="K443" s="27">
        <f t="shared" si="53"/>
        <v>3898.9718013618417</v>
      </c>
    </row>
    <row r="444" spans="1:11" x14ac:dyDescent="0.25">
      <c r="A444" s="26">
        <v>394</v>
      </c>
      <c r="B444" s="82">
        <f t="shared" si="54"/>
        <v>0</v>
      </c>
      <c r="C444" s="58">
        <f t="shared" si="50"/>
        <v>104.50616427295054</v>
      </c>
      <c r="D444" s="83">
        <f t="shared" si="55"/>
        <v>445.77777777777789</v>
      </c>
      <c r="E444">
        <f t="shared" si="51"/>
        <v>0</v>
      </c>
      <c r="G444">
        <v>394</v>
      </c>
      <c r="H444" s="13">
        <f t="shared" si="56"/>
        <v>1.8572577375266519E-2</v>
      </c>
      <c r="I444">
        <f t="shared" si="57"/>
        <v>111.82375975880555</v>
      </c>
      <c r="J444">
        <f t="shared" si="52"/>
        <v>458.19643809210623</v>
      </c>
      <c r="K444" s="27">
        <f t="shared" si="53"/>
        <v>3899.4295211213125</v>
      </c>
    </row>
    <row r="445" spans="1:11" x14ac:dyDescent="0.25">
      <c r="A445" s="26">
        <v>395</v>
      </c>
      <c r="B445" s="82">
        <f t="shared" si="54"/>
        <v>0</v>
      </c>
      <c r="C445" s="58">
        <f t="shared" si="50"/>
        <v>104.50616427295054</v>
      </c>
      <c r="D445" s="83">
        <f t="shared" si="55"/>
        <v>445.77777777777789</v>
      </c>
      <c r="E445">
        <f t="shared" si="51"/>
        <v>0</v>
      </c>
      <c r="G445">
        <v>395</v>
      </c>
      <c r="H445" s="13">
        <f t="shared" si="56"/>
        <v>1.8572577375266519E-2</v>
      </c>
      <c r="I445">
        <f t="shared" si="57"/>
        <v>111.84233233618082</v>
      </c>
      <c r="J445">
        <f t="shared" si="52"/>
        <v>458.22332212601259</v>
      </c>
      <c r="K445" s="27">
        <f t="shared" si="53"/>
        <v>3899.8869489683079</v>
      </c>
    </row>
    <row r="446" spans="1:11" x14ac:dyDescent="0.25">
      <c r="A446" s="26">
        <v>396</v>
      </c>
      <c r="B446" s="82">
        <f t="shared" si="54"/>
        <v>0</v>
      </c>
      <c r="C446" s="58">
        <f t="shared" si="50"/>
        <v>104.50616427295054</v>
      </c>
      <c r="D446" s="83">
        <f t="shared" si="55"/>
        <v>445.77777777777789</v>
      </c>
      <c r="E446">
        <f t="shared" si="51"/>
        <v>0</v>
      </c>
      <c r="G446">
        <v>396</v>
      </c>
      <c r="H446" s="13">
        <f t="shared" si="56"/>
        <v>1.8572577375266519E-2</v>
      </c>
      <c r="I446">
        <f t="shared" si="57"/>
        <v>111.86090491355608</v>
      </c>
      <c r="J446">
        <f t="shared" si="52"/>
        <v>458.2501874449631</v>
      </c>
      <c r="K446" s="27">
        <f t="shared" si="53"/>
        <v>3900.3440852971612</v>
      </c>
    </row>
    <row r="447" spans="1:11" x14ac:dyDescent="0.25">
      <c r="A447" s="26">
        <v>397</v>
      </c>
      <c r="B447" s="82">
        <f t="shared" si="54"/>
        <v>0</v>
      </c>
      <c r="C447" s="58">
        <f t="shared" si="50"/>
        <v>104.50616427295054</v>
      </c>
      <c r="D447" s="83">
        <f t="shared" si="55"/>
        <v>445.77777777777789</v>
      </c>
      <c r="E447">
        <f t="shared" si="51"/>
        <v>0</v>
      </c>
      <c r="G447">
        <v>397</v>
      </c>
      <c r="H447" s="13">
        <f t="shared" si="56"/>
        <v>1.8572577375266519E-2</v>
      </c>
      <c r="I447">
        <f t="shared" si="57"/>
        <v>111.87947749093135</v>
      </c>
      <c r="J447">
        <f t="shared" si="52"/>
        <v>458.27703407538445</v>
      </c>
      <c r="K447" s="27">
        <f t="shared" si="53"/>
        <v>3900.800930501191</v>
      </c>
    </row>
    <row r="448" spans="1:11" x14ac:dyDescent="0.25">
      <c r="A448" s="26">
        <v>398</v>
      </c>
      <c r="B448" s="82">
        <f t="shared" si="54"/>
        <v>0</v>
      </c>
      <c r="C448" s="58">
        <f t="shared" si="50"/>
        <v>104.50616427295054</v>
      </c>
      <c r="D448" s="83">
        <f t="shared" si="55"/>
        <v>445.77777777777789</v>
      </c>
      <c r="E448">
        <f t="shared" si="51"/>
        <v>0</v>
      </c>
      <c r="G448">
        <v>398</v>
      </c>
      <c r="H448" s="13">
        <f t="shared" si="56"/>
        <v>1.8572577375266519E-2</v>
      </c>
      <c r="I448">
        <f t="shared" si="57"/>
        <v>111.89805006830662</v>
      </c>
      <c r="J448">
        <f t="shared" si="52"/>
        <v>458.30386204363515</v>
      </c>
      <c r="K448" s="27">
        <f t="shared" si="53"/>
        <v>3901.2574849727025</v>
      </c>
    </row>
    <row r="449" spans="1:11" x14ac:dyDescent="0.25">
      <c r="A449" s="26">
        <v>399</v>
      </c>
      <c r="B449" s="82">
        <f t="shared" si="54"/>
        <v>0</v>
      </c>
      <c r="C449" s="58">
        <f t="shared" si="50"/>
        <v>104.50616427295054</v>
      </c>
      <c r="D449" s="83">
        <f t="shared" si="55"/>
        <v>445.77777777777789</v>
      </c>
      <c r="E449">
        <f t="shared" si="51"/>
        <v>0</v>
      </c>
      <c r="G449">
        <v>399</v>
      </c>
      <c r="H449" s="13">
        <f t="shared" si="56"/>
        <v>1.8572577375266519E-2</v>
      </c>
      <c r="I449">
        <f t="shared" si="57"/>
        <v>111.91662264568188</v>
      </c>
      <c r="J449">
        <f t="shared" si="52"/>
        <v>458.33067137600574</v>
      </c>
      <c r="K449" s="27">
        <f t="shared" si="53"/>
        <v>3901.713749102993</v>
      </c>
    </row>
    <row r="450" spans="1:11" x14ac:dyDescent="0.25">
      <c r="A450" s="26">
        <v>400</v>
      </c>
      <c r="B450" s="82">
        <f t="shared" si="54"/>
        <v>0</v>
      </c>
      <c r="C450" s="58">
        <f t="shared" si="50"/>
        <v>104.50616427295054</v>
      </c>
      <c r="D450" s="83">
        <f t="shared" si="55"/>
        <v>445.77777777777789</v>
      </c>
      <c r="E450">
        <f t="shared" si="51"/>
        <v>0</v>
      </c>
      <c r="G450">
        <v>400</v>
      </c>
      <c r="H450" s="13">
        <f t="shared" si="56"/>
        <v>1.8572577375266519E-2</v>
      </c>
      <c r="I450">
        <f t="shared" si="57"/>
        <v>111.93519522305715</v>
      </c>
      <c r="J450">
        <f t="shared" si="52"/>
        <v>458.35746209871945</v>
      </c>
      <c r="K450" s="27">
        <f t="shared" si="53"/>
        <v>3902.1697232823549</v>
      </c>
    </row>
    <row r="451" spans="1:11" x14ac:dyDescent="0.25">
      <c r="A451" s="26">
        <v>401</v>
      </c>
      <c r="B451" s="82">
        <f t="shared" si="54"/>
        <v>0</v>
      </c>
      <c r="C451" s="58">
        <f t="shared" si="50"/>
        <v>104.50616427295054</v>
      </c>
      <c r="D451" s="83">
        <f t="shared" si="55"/>
        <v>445.77777777777789</v>
      </c>
      <c r="E451">
        <f t="shared" si="51"/>
        <v>0</v>
      </c>
      <c r="G451">
        <v>401</v>
      </c>
      <c r="H451" s="13">
        <f t="shared" si="56"/>
        <v>1.8572577375266519E-2</v>
      </c>
      <c r="I451">
        <f t="shared" si="57"/>
        <v>111.95376780043242</v>
      </c>
      <c r="J451">
        <f t="shared" si="52"/>
        <v>458.38423423793211</v>
      </c>
      <c r="K451" s="27">
        <f t="shared" si="53"/>
        <v>3902.6254079000778</v>
      </c>
    </row>
    <row r="452" spans="1:11" x14ac:dyDescent="0.25">
      <c r="A452" s="26">
        <v>402</v>
      </c>
      <c r="B452" s="82">
        <f t="shared" si="54"/>
        <v>0</v>
      </c>
      <c r="C452" s="58">
        <f t="shared" si="50"/>
        <v>104.50616427295054</v>
      </c>
      <c r="D452" s="83">
        <f t="shared" si="55"/>
        <v>445.77777777777789</v>
      </c>
      <c r="E452">
        <f t="shared" si="51"/>
        <v>0</v>
      </c>
      <c r="G452">
        <v>402</v>
      </c>
      <c r="H452" s="13">
        <f t="shared" si="56"/>
        <v>1.8572577375266519E-2</v>
      </c>
      <c r="I452">
        <f t="shared" si="57"/>
        <v>111.97234037780768</v>
      </c>
      <c r="J452">
        <f t="shared" si="52"/>
        <v>458.41098781973227</v>
      </c>
      <c r="K452" s="27">
        <f t="shared" si="53"/>
        <v>3903.0808033444532</v>
      </c>
    </row>
    <row r="453" spans="1:11" x14ac:dyDescent="0.25">
      <c r="A453" s="26">
        <v>403</v>
      </c>
      <c r="B453" s="82">
        <f t="shared" si="54"/>
        <v>0</v>
      </c>
      <c r="C453" s="58">
        <f t="shared" si="50"/>
        <v>104.50616427295054</v>
      </c>
      <c r="D453" s="83">
        <f t="shared" si="55"/>
        <v>445.77777777777789</v>
      </c>
      <c r="E453">
        <f t="shared" si="51"/>
        <v>0</v>
      </c>
      <c r="G453">
        <v>403</v>
      </c>
      <c r="H453" s="13">
        <f t="shared" si="56"/>
        <v>1.8572577375266519E-2</v>
      </c>
      <c r="I453">
        <f t="shared" si="57"/>
        <v>111.99091295518295</v>
      </c>
      <c r="J453">
        <f t="shared" si="52"/>
        <v>458.43772287014184</v>
      </c>
      <c r="K453" s="27">
        <f t="shared" si="53"/>
        <v>3903.5359100027804</v>
      </c>
    </row>
    <row r="454" spans="1:11" x14ac:dyDescent="0.25">
      <c r="A454" s="26">
        <v>404</v>
      </c>
      <c r="B454" s="82">
        <f t="shared" si="54"/>
        <v>0</v>
      </c>
      <c r="C454" s="58">
        <f t="shared" si="50"/>
        <v>104.50616427295054</v>
      </c>
      <c r="D454" s="83">
        <f t="shared" si="55"/>
        <v>445.77777777777789</v>
      </c>
      <c r="E454">
        <f t="shared" si="51"/>
        <v>0</v>
      </c>
      <c r="G454">
        <v>404</v>
      </c>
      <c r="H454" s="13">
        <f t="shared" si="56"/>
        <v>1.8572577375266519E-2</v>
      </c>
      <c r="I454">
        <f t="shared" si="57"/>
        <v>112.00948553255822</v>
      </c>
      <c r="J454">
        <f t="shared" si="52"/>
        <v>458.46443941511615</v>
      </c>
      <c r="K454" s="27">
        <f t="shared" si="53"/>
        <v>3903.9907282613676</v>
      </c>
    </row>
    <row r="455" spans="1:11" x14ac:dyDescent="0.25">
      <c r="A455" s="26">
        <v>405</v>
      </c>
      <c r="B455" s="82">
        <f t="shared" si="54"/>
        <v>0</v>
      </c>
      <c r="C455" s="58">
        <f t="shared" si="50"/>
        <v>104.50616427295054</v>
      </c>
      <c r="D455" s="83">
        <f t="shared" si="55"/>
        <v>445.77777777777789</v>
      </c>
      <c r="E455">
        <f t="shared" si="51"/>
        <v>0</v>
      </c>
      <c r="G455">
        <v>405</v>
      </c>
      <c r="H455" s="13">
        <f t="shared" si="56"/>
        <v>1.8572577375266519E-2</v>
      </c>
      <c r="I455">
        <f t="shared" si="57"/>
        <v>112.02805810993348</v>
      </c>
      <c r="J455">
        <f t="shared" si="52"/>
        <v>458.49113748054401</v>
      </c>
      <c r="K455" s="27">
        <f t="shared" si="53"/>
        <v>3904.4452585055328</v>
      </c>
    </row>
    <row r="456" spans="1:11" x14ac:dyDescent="0.25">
      <c r="A456" s="26">
        <v>406</v>
      </c>
      <c r="B456" s="82">
        <f t="shared" si="54"/>
        <v>0</v>
      </c>
      <c r="C456" s="58">
        <f t="shared" si="50"/>
        <v>104.50616427295054</v>
      </c>
      <c r="D456" s="83">
        <f t="shared" si="55"/>
        <v>445.77777777777789</v>
      </c>
      <c r="E456">
        <f t="shared" si="51"/>
        <v>0</v>
      </c>
      <c r="G456">
        <v>406</v>
      </c>
      <c r="H456" s="13">
        <f t="shared" si="56"/>
        <v>1.8572577375266519E-2</v>
      </c>
      <c r="I456">
        <f t="shared" si="57"/>
        <v>112.04663068730875</v>
      </c>
      <c r="J456">
        <f t="shared" si="52"/>
        <v>458.51781709224821</v>
      </c>
      <c r="K456" s="27">
        <f t="shared" si="53"/>
        <v>3904.899501119613</v>
      </c>
    </row>
    <row r="457" spans="1:11" x14ac:dyDescent="0.25">
      <c r="A457" s="26">
        <v>407</v>
      </c>
      <c r="B457" s="82">
        <f t="shared" si="54"/>
        <v>0</v>
      </c>
      <c r="C457" s="58">
        <f t="shared" si="50"/>
        <v>104.50616427295054</v>
      </c>
      <c r="D457" s="83">
        <f t="shared" si="55"/>
        <v>445.77777777777789</v>
      </c>
      <c r="E457">
        <f t="shared" si="51"/>
        <v>0</v>
      </c>
      <c r="G457">
        <v>407</v>
      </c>
      <c r="H457" s="13">
        <f t="shared" si="56"/>
        <v>1.8572577375266519E-2</v>
      </c>
      <c r="I457">
        <f t="shared" si="57"/>
        <v>112.06520326468402</v>
      </c>
      <c r="J457">
        <f t="shared" si="52"/>
        <v>458.54447827598563</v>
      </c>
      <c r="K457" s="27">
        <f t="shared" si="53"/>
        <v>3905.3534564869642</v>
      </c>
    </row>
    <row r="458" spans="1:11" x14ac:dyDescent="0.25">
      <c r="A458" s="26">
        <v>408</v>
      </c>
      <c r="B458" s="82">
        <f t="shared" si="54"/>
        <v>0</v>
      </c>
      <c r="C458" s="58">
        <f t="shared" si="50"/>
        <v>104.50616427295054</v>
      </c>
      <c r="D458" s="83">
        <f t="shared" si="55"/>
        <v>445.77777777777789</v>
      </c>
      <c r="E458">
        <f t="shared" si="51"/>
        <v>0</v>
      </c>
      <c r="G458">
        <v>408</v>
      </c>
      <c r="H458" s="13">
        <f t="shared" si="56"/>
        <v>1.8572577375266519E-2</v>
      </c>
      <c r="I458">
        <f t="shared" si="57"/>
        <v>112.08377584205928</v>
      </c>
      <c r="J458">
        <f t="shared" si="52"/>
        <v>458.57112105744744</v>
      </c>
      <c r="K458" s="27">
        <f t="shared" si="53"/>
        <v>3905.8071249899658</v>
      </c>
    </row>
    <row r="459" spans="1:11" x14ac:dyDescent="0.25">
      <c r="A459" s="26">
        <v>409</v>
      </c>
      <c r="B459" s="82">
        <f t="shared" si="54"/>
        <v>0</v>
      </c>
      <c r="C459" s="58">
        <f t="shared" si="50"/>
        <v>104.50616427295054</v>
      </c>
      <c r="D459" s="83">
        <f t="shared" si="55"/>
        <v>445.77777777777789</v>
      </c>
      <c r="E459">
        <f t="shared" si="51"/>
        <v>0</v>
      </c>
      <c r="G459">
        <v>409</v>
      </c>
      <c r="H459" s="13">
        <f t="shared" si="56"/>
        <v>1.8572577375266519E-2</v>
      </c>
      <c r="I459">
        <f t="shared" si="57"/>
        <v>112.10234841943455</v>
      </c>
      <c r="J459">
        <f t="shared" si="52"/>
        <v>458.59774546225952</v>
      </c>
      <c r="K459" s="27">
        <f t="shared" si="53"/>
        <v>3906.2605070100249</v>
      </c>
    </row>
    <row r="460" spans="1:11" x14ac:dyDescent="0.25">
      <c r="A460" s="26">
        <v>410</v>
      </c>
      <c r="B460" s="82">
        <f t="shared" si="54"/>
        <v>0</v>
      </c>
      <c r="C460" s="58">
        <f t="shared" si="50"/>
        <v>104.50616427295054</v>
      </c>
      <c r="D460" s="83">
        <f t="shared" si="55"/>
        <v>445.77777777777789</v>
      </c>
      <c r="E460">
        <f t="shared" si="51"/>
        <v>0</v>
      </c>
      <c r="G460">
        <v>410</v>
      </c>
      <c r="H460" s="13">
        <f t="shared" si="56"/>
        <v>1.8572577375266519E-2</v>
      </c>
      <c r="I460">
        <f t="shared" si="57"/>
        <v>112.12092099680982</v>
      </c>
      <c r="J460">
        <f t="shared" si="52"/>
        <v>458.62435151598248</v>
      </c>
      <c r="K460" s="27">
        <f t="shared" si="53"/>
        <v>3906.7136029275775</v>
      </c>
    </row>
    <row r="461" spans="1:11" x14ac:dyDescent="0.25">
      <c r="A461" s="26">
        <v>411</v>
      </c>
      <c r="B461" s="82">
        <f t="shared" si="54"/>
        <v>0</v>
      </c>
      <c r="C461" s="58">
        <f t="shared" si="50"/>
        <v>104.50616427295054</v>
      </c>
      <c r="D461" s="83">
        <f t="shared" si="55"/>
        <v>445.77777777777789</v>
      </c>
      <c r="E461">
        <f t="shared" si="51"/>
        <v>0</v>
      </c>
      <c r="G461">
        <v>411</v>
      </c>
      <c r="H461" s="13">
        <f t="shared" si="56"/>
        <v>1.8572577375266519E-2</v>
      </c>
      <c r="I461">
        <f t="shared" si="57"/>
        <v>112.13949357418508</v>
      </c>
      <c r="J461">
        <f t="shared" si="52"/>
        <v>458.6509392441119</v>
      </c>
      <c r="K461" s="27">
        <f t="shared" si="53"/>
        <v>3907.166413122095</v>
      </c>
    </row>
    <row r="462" spans="1:11" x14ac:dyDescent="0.25">
      <c r="A462" s="26">
        <v>412</v>
      </c>
      <c r="B462" s="82">
        <f t="shared" si="54"/>
        <v>0</v>
      </c>
      <c r="C462" s="58">
        <f t="shared" si="50"/>
        <v>104.50616427295054</v>
      </c>
      <c r="D462" s="83">
        <f t="shared" si="55"/>
        <v>445.77777777777789</v>
      </c>
      <c r="E462">
        <f t="shared" si="51"/>
        <v>0</v>
      </c>
      <c r="G462">
        <v>412</v>
      </c>
      <c r="H462" s="13">
        <f t="shared" si="56"/>
        <v>1.8572577375266519E-2</v>
      </c>
      <c r="I462">
        <f t="shared" si="57"/>
        <v>112.15806615156035</v>
      </c>
      <c r="J462">
        <f t="shared" si="52"/>
        <v>458.67750867207889</v>
      </c>
      <c r="K462" s="27">
        <f t="shared" si="53"/>
        <v>3907.6189379720836</v>
      </c>
    </row>
    <row r="463" spans="1:11" x14ac:dyDescent="0.25">
      <c r="A463" s="26">
        <v>413</v>
      </c>
      <c r="B463" s="82">
        <f t="shared" si="54"/>
        <v>0</v>
      </c>
      <c r="C463" s="58">
        <f t="shared" si="50"/>
        <v>104.50616427295054</v>
      </c>
      <c r="D463" s="83">
        <f t="shared" si="55"/>
        <v>445.77777777777789</v>
      </c>
      <c r="E463">
        <f t="shared" si="51"/>
        <v>0</v>
      </c>
      <c r="G463">
        <v>413</v>
      </c>
      <c r="H463" s="13">
        <f t="shared" si="56"/>
        <v>1.8572577375266519E-2</v>
      </c>
      <c r="I463">
        <f t="shared" si="57"/>
        <v>112.17663872893561</v>
      </c>
      <c r="J463">
        <f t="shared" si="52"/>
        <v>458.70405982524971</v>
      </c>
      <c r="K463" s="27">
        <f t="shared" si="53"/>
        <v>3908.0711778550926</v>
      </c>
    </row>
    <row r="464" spans="1:11" x14ac:dyDescent="0.25">
      <c r="A464" s="26">
        <v>414</v>
      </c>
      <c r="B464" s="82">
        <f t="shared" si="54"/>
        <v>0</v>
      </c>
      <c r="C464" s="58">
        <f t="shared" ref="C464:C527" si="58">($C$37-$C$36)/2000+C463</f>
        <v>104.50616427295054</v>
      </c>
      <c r="D464" s="83">
        <f t="shared" si="55"/>
        <v>445.77777777777789</v>
      </c>
      <c r="E464">
        <f t="shared" si="51"/>
        <v>0</v>
      </c>
      <c r="G464">
        <v>414</v>
      </c>
      <c r="H464" s="13">
        <f t="shared" si="56"/>
        <v>1.8572577375266519E-2</v>
      </c>
      <c r="I464">
        <f t="shared" si="57"/>
        <v>112.19521130631088</v>
      </c>
      <c r="J464">
        <f t="shared" si="52"/>
        <v>458.73059272892681</v>
      </c>
      <c r="K464" s="27">
        <f t="shared" si="53"/>
        <v>3908.5231331477139</v>
      </c>
    </row>
    <row r="465" spans="1:11" x14ac:dyDescent="0.25">
      <c r="A465" s="26">
        <v>415</v>
      </c>
      <c r="B465" s="82">
        <f t="shared" si="54"/>
        <v>0</v>
      </c>
      <c r="C465" s="58">
        <f t="shared" si="58"/>
        <v>104.50616427295054</v>
      </c>
      <c r="D465" s="83">
        <f t="shared" si="55"/>
        <v>445.77777777777789</v>
      </c>
      <c r="E465">
        <f t="shared" si="51"/>
        <v>0</v>
      </c>
      <c r="G465">
        <v>415</v>
      </c>
      <c r="H465" s="13">
        <f t="shared" si="56"/>
        <v>1.8572577375266519E-2</v>
      </c>
      <c r="I465">
        <f t="shared" si="57"/>
        <v>112.21378388368615</v>
      </c>
      <c r="J465">
        <f t="shared" si="52"/>
        <v>458.75710740834813</v>
      </c>
      <c r="K465" s="27">
        <f t="shared" si="53"/>
        <v>3908.9748042255883</v>
      </c>
    </row>
    <row r="466" spans="1:11" x14ac:dyDescent="0.25">
      <c r="A466" s="26">
        <v>416</v>
      </c>
      <c r="B466" s="82">
        <f t="shared" si="54"/>
        <v>0</v>
      </c>
      <c r="C466" s="58">
        <f t="shared" si="58"/>
        <v>104.50616427295054</v>
      </c>
      <c r="D466" s="83">
        <f t="shared" si="55"/>
        <v>445.77777777777789</v>
      </c>
      <c r="E466">
        <f t="shared" si="51"/>
        <v>0</v>
      </c>
      <c r="G466">
        <v>416</v>
      </c>
      <c r="H466" s="13">
        <f t="shared" si="56"/>
        <v>1.8572577375266519E-2</v>
      </c>
      <c r="I466">
        <f t="shared" si="57"/>
        <v>112.23235646106141</v>
      </c>
      <c r="J466">
        <f t="shared" si="52"/>
        <v>458.78360388868816</v>
      </c>
      <c r="K466" s="27">
        <f t="shared" si="53"/>
        <v>3909.4261914634058</v>
      </c>
    </row>
    <row r="467" spans="1:11" x14ac:dyDescent="0.25">
      <c r="A467" s="26">
        <v>417</v>
      </c>
      <c r="B467" s="82">
        <f t="shared" si="54"/>
        <v>0</v>
      </c>
      <c r="C467" s="58">
        <f t="shared" si="58"/>
        <v>104.50616427295054</v>
      </c>
      <c r="D467" s="83">
        <f t="shared" si="55"/>
        <v>445.77777777777789</v>
      </c>
      <c r="E467">
        <f t="shared" si="51"/>
        <v>0</v>
      </c>
      <c r="G467">
        <v>417</v>
      </c>
      <c r="H467" s="13">
        <f t="shared" si="56"/>
        <v>1.8572577375266519E-2</v>
      </c>
      <c r="I467">
        <f t="shared" si="57"/>
        <v>112.25092903843668</v>
      </c>
      <c r="J467">
        <f t="shared" si="52"/>
        <v>458.81008219505765</v>
      </c>
      <c r="K467" s="27">
        <f t="shared" si="53"/>
        <v>3909.8772952349113</v>
      </c>
    </row>
    <row r="468" spans="1:11" x14ac:dyDescent="0.25">
      <c r="A468" s="26">
        <v>418</v>
      </c>
      <c r="B468" s="82">
        <f t="shared" si="54"/>
        <v>0</v>
      </c>
      <c r="C468" s="58">
        <f t="shared" si="58"/>
        <v>104.50616427295054</v>
      </c>
      <c r="D468" s="83">
        <f t="shared" si="55"/>
        <v>445.77777777777789</v>
      </c>
      <c r="E468">
        <f t="shared" si="51"/>
        <v>0</v>
      </c>
      <c r="G468">
        <v>418</v>
      </c>
      <c r="H468" s="13">
        <f t="shared" si="56"/>
        <v>1.8572577375266519E-2</v>
      </c>
      <c r="I468">
        <f t="shared" si="57"/>
        <v>112.26950161581195</v>
      </c>
      <c r="J468">
        <f t="shared" si="52"/>
        <v>458.83654235250407</v>
      </c>
      <c r="K468" s="27">
        <f t="shared" si="53"/>
        <v>3910.3281159129078</v>
      </c>
    </row>
    <row r="469" spans="1:11" x14ac:dyDescent="0.25">
      <c r="A469" s="26">
        <v>419</v>
      </c>
      <c r="B469" s="82">
        <f t="shared" si="54"/>
        <v>0</v>
      </c>
      <c r="C469" s="58">
        <f t="shared" si="58"/>
        <v>104.50616427295054</v>
      </c>
      <c r="D469" s="83">
        <f t="shared" si="55"/>
        <v>445.77777777777789</v>
      </c>
      <c r="E469">
        <f t="shared" si="51"/>
        <v>0</v>
      </c>
      <c r="G469">
        <v>419</v>
      </c>
      <c r="H469" s="13">
        <f t="shared" si="56"/>
        <v>1.8572577375266519E-2</v>
      </c>
      <c r="I469">
        <f t="shared" si="57"/>
        <v>112.28807419318721</v>
      </c>
      <c r="J469">
        <f t="shared" si="52"/>
        <v>458.8629843860117</v>
      </c>
      <c r="K469" s="27">
        <f t="shared" si="53"/>
        <v>3910.7786538692585</v>
      </c>
    </row>
    <row r="470" spans="1:11" x14ac:dyDescent="0.25">
      <c r="A470" s="26">
        <v>420</v>
      </c>
      <c r="B470" s="82">
        <f t="shared" si="54"/>
        <v>0</v>
      </c>
      <c r="C470" s="58">
        <f t="shared" si="58"/>
        <v>104.50616427295054</v>
      </c>
      <c r="D470" s="83">
        <f t="shared" si="55"/>
        <v>445.77777777777789</v>
      </c>
      <c r="E470">
        <f t="shared" si="51"/>
        <v>0</v>
      </c>
      <c r="G470">
        <v>420</v>
      </c>
      <c r="H470" s="13">
        <f t="shared" si="56"/>
        <v>1.8572577375266519E-2</v>
      </c>
      <c r="I470">
        <f t="shared" si="57"/>
        <v>112.30664677056248</v>
      </c>
      <c r="J470">
        <f t="shared" si="52"/>
        <v>458.88940832050201</v>
      </c>
      <c r="K470" s="27">
        <f t="shared" si="53"/>
        <v>3911.2289094748921</v>
      </c>
    </row>
    <row r="471" spans="1:11" x14ac:dyDescent="0.25">
      <c r="A471" s="26">
        <v>421</v>
      </c>
      <c r="B471" s="82">
        <f t="shared" si="54"/>
        <v>0</v>
      </c>
      <c r="C471" s="58">
        <f t="shared" si="58"/>
        <v>104.50616427295054</v>
      </c>
      <c r="D471" s="83">
        <f t="shared" si="55"/>
        <v>445.77777777777789</v>
      </c>
      <c r="E471">
        <f t="shared" si="51"/>
        <v>0</v>
      </c>
      <c r="G471">
        <v>421</v>
      </c>
      <c r="H471" s="13">
        <f t="shared" si="56"/>
        <v>1.8572577375266519E-2</v>
      </c>
      <c r="I471">
        <f t="shared" si="57"/>
        <v>112.32521934793775</v>
      </c>
      <c r="J471">
        <f t="shared" si="52"/>
        <v>458.91581418083371</v>
      </c>
      <c r="K471" s="27">
        <f t="shared" si="53"/>
        <v>3911.6788830998012</v>
      </c>
    </row>
    <row r="472" spans="1:11" x14ac:dyDescent="0.25">
      <c r="A472" s="26">
        <v>422</v>
      </c>
      <c r="B472" s="82">
        <f t="shared" si="54"/>
        <v>0</v>
      </c>
      <c r="C472" s="58">
        <f t="shared" si="58"/>
        <v>104.50616427295054</v>
      </c>
      <c r="D472" s="83">
        <f t="shared" si="55"/>
        <v>445.77777777777789</v>
      </c>
      <c r="E472">
        <f t="shared" si="51"/>
        <v>0</v>
      </c>
      <c r="G472">
        <v>422</v>
      </c>
      <c r="H472" s="13">
        <f t="shared" si="56"/>
        <v>1.8572577375266519E-2</v>
      </c>
      <c r="I472">
        <f t="shared" si="57"/>
        <v>112.34379192531301</v>
      </c>
      <c r="J472">
        <f t="shared" si="52"/>
        <v>458.94220199180302</v>
      </c>
      <c r="K472" s="27">
        <f t="shared" si="53"/>
        <v>3912.1285751130545</v>
      </c>
    </row>
    <row r="473" spans="1:11" x14ac:dyDescent="0.25">
      <c r="A473" s="26">
        <v>423</v>
      </c>
      <c r="B473" s="82">
        <f t="shared" si="54"/>
        <v>0</v>
      </c>
      <c r="C473" s="58">
        <f t="shared" si="58"/>
        <v>104.50616427295054</v>
      </c>
      <c r="D473" s="83">
        <f t="shared" si="55"/>
        <v>445.77777777777789</v>
      </c>
      <c r="E473">
        <f t="shared" si="51"/>
        <v>0</v>
      </c>
      <c r="G473">
        <v>423</v>
      </c>
      <c r="H473" s="13">
        <f t="shared" si="56"/>
        <v>1.8572577375266519E-2</v>
      </c>
      <c r="I473">
        <f t="shared" si="57"/>
        <v>112.36236450268828</v>
      </c>
      <c r="J473">
        <f t="shared" si="52"/>
        <v>458.96857177814394</v>
      </c>
      <c r="K473" s="27">
        <f t="shared" si="53"/>
        <v>3912.57798588279</v>
      </c>
    </row>
    <row r="474" spans="1:11" x14ac:dyDescent="0.25">
      <c r="A474" s="26">
        <v>424</v>
      </c>
      <c r="B474" s="82">
        <f t="shared" si="54"/>
        <v>0</v>
      </c>
      <c r="C474" s="58">
        <f t="shared" si="58"/>
        <v>104.50616427295054</v>
      </c>
      <c r="D474" s="83">
        <f t="shared" si="55"/>
        <v>445.77777777777789</v>
      </c>
      <c r="E474">
        <f t="shared" si="51"/>
        <v>0</v>
      </c>
      <c r="G474">
        <v>424</v>
      </c>
      <c r="H474" s="13">
        <f t="shared" si="56"/>
        <v>1.8572577375266519E-2</v>
      </c>
      <c r="I474">
        <f t="shared" si="57"/>
        <v>112.38093708006355</v>
      </c>
      <c r="J474">
        <f t="shared" si="52"/>
        <v>458.99492356452862</v>
      </c>
      <c r="K474" s="27">
        <f t="shared" si="53"/>
        <v>3913.0271157762272</v>
      </c>
    </row>
    <row r="475" spans="1:11" x14ac:dyDescent="0.25">
      <c r="A475" s="26">
        <v>425</v>
      </c>
      <c r="B475" s="82">
        <f t="shared" si="54"/>
        <v>0</v>
      </c>
      <c r="C475" s="58">
        <f t="shared" si="58"/>
        <v>104.50616427295054</v>
      </c>
      <c r="D475" s="83">
        <f t="shared" si="55"/>
        <v>445.77777777777789</v>
      </c>
      <c r="E475">
        <f t="shared" si="51"/>
        <v>0</v>
      </c>
      <c r="G475">
        <v>425</v>
      </c>
      <c r="H475" s="13">
        <f t="shared" si="56"/>
        <v>1.8572577375266519E-2</v>
      </c>
      <c r="I475">
        <f t="shared" si="57"/>
        <v>112.39950965743881</v>
      </c>
      <c r="J475">
        <f t="shared" si="52"/>
        <v>459.02125737556713</v>
      </c>
      <c r="K475" s="27">
        <f t="shared" si="53"/>
        <v>3913.4759651596619</v>
      </c>
    </row>
    <row r="476" spans="1:11" x14ac:dyDescent="0.25">
      <c r="A476" s="26">
        <v>426</v>
      </c>
      <c r="B476" s="82">
        <f t="shared" si="54"/>
        <v>0</v>
      </c>
      <c r="C476" s="58">
        <f t="shared" si="58"/>
        <v>104.50616427295054</v>
      </c>
      <c r="D476" s="83">
        <f t="shared" si="55"/>
        <v>445.77777777777789</v>
      </c>
      <c r="E476">
        <f t="shared" si="51"/>
        <v>0</v>
      </c>
      <c r="G476">
        <v>426</v>
      </c>
      <c r="H476" s="13">
        <f t="shared" si="56"/>
        <v>1.8572577375266519E-2</v>
      </c>
      <c r="I476">
        <f t="shared" si="57"/>
        <v>112.41808223481408</v>
      </c>
      <c r="J476">
        <f t="shared" si="52"/>
        <v>459.04757323580816</v>
      </c>
      <c r="K476" s="27">
        <f t="shared" si="53"/>
        <v>3913.9245343984785</v>
      </c>
    </row>
    <row r="477" spans="1:11" x14ac:dyDescent="0.25">
      <c r="A477" s="26">
        <v>427</v>
      </c>
      <c r="B477" s="82">
        <f t="shared" si="54"/>
        <v>0</v>
      </c>
      <c r="C477" s="58">
        <f t="shared" si="58"/>
        <v>104.50616427295054</v>
      </c>
      <c r="D477" s="83">
        <f t="shared" si="55"/>
        <v>445.77777777777789</v>
      </c>
      <c r="E477">
        <f t="shared" si="51"/>
        <v>0</v>
      </c>
      <c r="G477">
        <v>427</v>
      </c>
      <c r="H477" s="13">
        <f t="shared" si="56"/>
        <v>1.8572577375266519E-2</v>
      </c>
      <c r="I477">
        <f t="shared" si="57"/>
        <v>112.43665481218935</v>
      </c>
      <c r="J477">
        <f t="shared" si="52"/>
        <v>459.07387116973894</v>
      </c>
      <c r="K477" s="27">
        <f t="shared" si="53"/>
        <v>3914.3728238571439</v>
      </c>
    </row>
    <row r="478" spans="1:11" x14ac:dyDescent="0.25">
      <c r="A478" s="26">
        <v>428</v>
      </c>
      <c r="B478" s="82">
        <f t="shared" si="54"/>
        <v>0</v>
      </c>
      <c r="C478" s="58">
        <f t="shared" si="58"/>
        <v>104.50616427295054</v>
      </c>
      <c r="D478" s="83">
        <f t="shared" si="55"/>
        <v>445.77777777777789</v>
      </c>
      <c r="E478">
        <f t="shared" si="51"/>
        <v>0</v>
      </c>
      <c r="G478">
        <v>428</v>
      </c>
      <c r="H478" s="13">
        <f t="shared" si="56"/>
        <v>1.8572577375266519E-2</v>
      </c>
      <c r="I478">
        <f t="shared" si="57"/>
        <v>112.45522738956461</v>
      </c>
      <c r="J478">
        <f t="shared" si="52"/>
        <v>459.10015120178554</v>
      </c>
      <c r="K478" s="27">
        <f t="shared" si="53"/>
        <v>3914.820833899219</v>
      </c>
    </row>
    <row r="479" spans="1:11" x14ac:dyDescent="0.25">
      <c r="A479" s="26">
        <v>429</v>
      </c>
      <c r="B479" s="82">
        <f t="shared" si="54"/>
        <v>0</v>
      </c>
      <c r="C479" s="58">
        <f t="shared" si="58"/>
        <v>104.50616427295054</v>
      </c>
      <c r="D479" s="83">
        <f t="shared" si="55"/>
        <v>445.77777777777789</v>
      </c>
      <c r="E479">
        <f t="shared" si="51"/>
        <v>0</v>
      </c>
      <c r="G479">
        <v>429</v>
      </c>
      <c r="H479" s="13">
        <f t="shared" si="56"/>
        <v>1.8572577375266519E-2</v>
      </c>
      <c r="I479">
        <f t="shared" si="57"/>
        <v>112.47379996693988</v>
      </c>
      <c r="J479">
        <f t="shared" si="52"/>
        <v>459.12641335631321</v>
      </c>
      <c r="K479" s="27">
        <f t="shared" si="53"/>
        <v>3915.2685648873544</v>
      </c>
    </row>
    <row r="480" spans="1:11" x14ac:dyDescent="0.25">
      <c r="A480" s="26">
        <v>430</v>
      </c>
      <c r="B480" s="82">
        <f t="shared" si="54"/>
        <v>0</v>
      </c>
      <c r="C480" s="58">
        <f t="shared" si="58"/>
        <v>104.50616427295054</v>
      </c>
      <c r="D480" s="83">
        <f t="shared" si="55"/>
        <v>445.77777777777789</v>
      </c>
      <c r="E480">
        <f t="shared" si="51"/>
        <v>0</v>
      </c>
      <c r="G480">
        <v>430</v>
      </c>
      <c r="H480" s="13">
        <f t="shared" si="56"/>
        <v>1.8572577375266519E-2</v>
      </c>
      <c r="I480">
        <f t="shared" si="57"/>
        <v>112.49237254431515</v>
      </c>
      <c r="J480">
        <f t="shared" si="52"/>
        <v>459.15265765762626</v>
      </c>
      <c r="K480" s="27">
        <f t="shared" si="53"/>
        <v>3915.7160171833007</v>
      </c>
    </row>
    <row r="481" spans="1:11" x14ac:dyDescent="0.25">
      <c r="A481" s="26">
        <v>431</v>
      </c>
      <c r="B481" s="82">
        <f t="shared" si="54"/>
        <v>0</v>
      </c>
      <c r="C481" s="58">
        <f t="shared" si="58"/>
        <v>104.50616427295054</v>
      </c>
      <c r="D481" s="83">
        <f t="shared" si="55"/>
        <v>445.77777777777789</v>
      </c>
      <c r="E481">
        <f t="shared" si="51"/>
        <v>0</v>
      </c>
      <c r="G481">
        <v>431</v>
      </c>
      <c r="H481" s="13">
        <f t="shared" si="56"/>
        <v>1.8572577375266519E-2</v>
      </c>
      <c r="I481">
        <f t="shared" si="57"/>
        <v>112.51094512169041</v>
      </c>
      <c r="J481">
        <f t="shared" si="52"/>
        <v>459.17888412996871</v>
      </c>
      <c r="K481" s="27">
        <f t="shared" si="53"/>
        <v>3916.1631911479071</v>
      </c>
    </row>
    <row r="482" spans="1:11" x14ac:dyDescent="0.25">
      <c r="A482" s="26">
        <v>432</v>
      </c>
      <c r="B482" s="82">
        <f t="shared" si="54"/>
        <v>0</v>
      </c>
      <c r="C482" s="58">
        <f t="shared" si="58"/>
        <v>104.50616427295054</v>
      </c>
      <c r="D482" s="83">
        <f t="shared" si="55"/>
        <v>445.77777777777789</v>
      </c>
      <c r="E482">
        <f t="shared" si="51"/>
        <v>0</v>
      </c>
      <c r="G482">
        <v>432</v>
      </c>
      <c r="H482" s="13">
        <f t="shared" si="56"/>
        <v>1.8572577375266519E-2</v>
      </c>
      <c r="I482">
        <f t="shared" si="57"/>
        <v>112.52951769906568</v>
      </c>
      <c r="J482">
        <f t="shared" si="52"/>
        <v>459.20509279752412</v>
      </c>
      <c r="K482" s="27">
        <f t="shared" si="53"/>
        <v>3916.6100871411249</v>
      </c>
    </row>
    <row r="483" spans="1:11" x14ac:dyDescent="0.25">
      <c r="A483" s="26">
        <v>433</v>
      </c>
      <c r="B483" s="82">
        <f t="shared" si="54"/>
        <v>0</v>
      </c>
      <c r="C483" s="58">
        <f t="shared" si="58"/>
        <v>104.50616427295054</v>
      </c>
      <c r="D483" s="83">
        <f t="shared" si="55"/>
        <v>445.77777777777789</v>
      </c>
      <c r="E483">
        <f t="shared" si="51"/>
        <v>0</v>
      </c>
      <c r="G483">
        <v>433</v>
      </c>
      <c r="H483" s="13">
        <f t="shared" si="56"/>
        <v>1.8572577375266519E-2</v>
      </c>
      <c r="I483">
        <f t="shared" si="57"/>
        <v>112.54809027644094</v>
      </c>
      <c r="J483">
        <f t="shared" si="52"/>
        <v>459.23128368441604</v>
      </c>
      <c r="K483" s="27">
        <f t="shared" si="53"/>
        <v>3917.0567055220113</v>
      </c>
    </row>
    <row r="484" spans="1:11" x14ac:dyDescent="0.25">
      <c r="A484" s="26">
        <v>434</v>
      </c>
      <c r="B484" s="82">
        <f t="shared" si="54"/>
        <v>0</v>
      </c>
      <c r="C484" s="58">
        <f t="shared" si="58"/>
        <v>104.50616427295054</v>
      </c>
      <c r="D484" s="83">
        <f t="shared" si="55"/>
        <v>445.77777777777789</v>
      </c>
      <c r="E484">
        <f t="shared" si="51"/>
        <v>0</v>
      </c>
      <c r="G484">
        <v>434</v>
      </c>
      <c r="H484" s="13">
        <f t="shared" si="56"/>
        <v>1.8572577375266519E-2</v>
      </c>
      <c r="I484">
        <f t="shared" si="57"/>
        <v>112.56666285381621</v>
      </c>
      <c r="J484">
        <f t="shared" si="52"/>
        <v>459.25745681470806</v>
      </c>
      <c r="K484" s="27">
        <f t="shared" si="53"/>
        <v>3917.5030466487351</v>
      </c>
    </row>
    <row r="485" spans="1:11" x14ac:dyDescent="0.25">
      <c r="A485" s="26">
        <v>435</v>
      </c>
      <c r="B485" s="82">
        <f t="shared" si="54"/>
        <v>0</v>
      </c>
      <c r="C485" s="58">
        <f t="shared" si="58"/>
        <v>104.50616427295054</v>
      </c>
      <c r="D485" s="83">
        <f t="shared" si="55"/>
        <v>445.77777777777789</v>
      </c>
      <c r="E485">
        <f t="shared" si="51"/>
        <v>0</v>
      </c>
      <c r="G485">
        <v>435</v>
      </c>
      <c r="H485" s="13">
        <f t="shared" si="56"/>
        <v>1.8572577375266519E-2</v>
      </c>
      <c r="I485">
        <f t="shared" si="57"/>
        <v>112.58523543119148</v>
      </c>
      <c r="J485">
        <f t="shared" si="52"/>
        <v>459.28361221240425</v>
      </c>
      <c r="K485" s="27">
        <f t="shared" si="53"/>
        <v>3917.9491108785746</v>
      </c>
    </row>
    <row r="486" spans="1:11" x14ac:dyDescent="0.25">
      <c r="A486" s="26">
        <v>436</v>
      </c>
      <c r="B486" s="82">
        <f t="shared" si="54"/>
        <v>0</v>
      </c>
      <c r="C486" s="58">
        <f t="shared" si="58"/>
        <v>104.50616427295054</v>
      </c>
      <c r="D486" s="83">
        <f t="shared" si="55"/>
        <v>445.77777777777789</v>
      </c>
      <c r="E486">
        <f t="shared" si="51"/>
        <v>0</v>
      </c>
      <c r="G486">
        <v>436</v>
      </c>
      <c r="H486" s="13">
        <f t="shared" si="56"/>
        <v>1.8572577375266519E-2</v>
      </c>
      <c r="I486">
        <f t="shared" si="57"/>
        <v>112.60380800856674</v>
      </c>
      <c r="J486">
        <f t="shared" si="52"/>
        <v>459.30974990144909</v>
      </c>
      <c r="K486" s="27">
        <f t="shared" si="53"/>
        <v>3918.3948985679253</v>
      </c>
    </row>
    <row r="487" spans="1:11" x14ac:dyDescent="0.25">
      <c r="A487" s="26">
        <v>437</v>
      </c>
      <c r="B487" s="82">
        <f t="shared" si="54"/>
        <v>0</v>
      </c>
      <c r="C487" s="58">
        <f t="shared" si="58"/>
        <v>104.50616427295054</v>
      </c>
      <c r="D487" s="83">
        <f t="shared" si="55"/>
        <v>445.77777777777789</v>
      </c>
      <c r="E487">
        <f t="shared" si="51"/>
        <v>0</v>
      </c>
      <c r="G487">
        <v>437</v>
      </c>
      <c r="H487" s="13">
        <f t="shared" si="56"/>
        <v>1.8572577375266519E-2</v>
      </c>
      <c r="I487">
        <f t="shared" si="57"/>
        <v>112.62238058594201</v>
      </c>
      <c r="J487">
        <f t="shared" si="52"/>
        <v>459.3358699057278</v>
      </c>
      <c r="K487" s="27">
        <f t="shared" si="53"/>
        <v>3918.8404100723001</v>
      </c>
    </row>
    <row r="488" spans="1:11" x14ac:dyDescent="0.25">
      <c r="A488" s="26">
        <v>438</v>
      </c>
      <c r="B488" s="82">
        <f t="shared" si="54"/>
        <v>0</v>
      </c>
      <c r="C488" s="58">
        <f t="shared" si="58"/>
        <v>104.50616427295054</v>
      </c>
      <c r="D488" s="83">
        <f t="shared" si="55"/>
        <v>445.77777777777789</v>
      </c>
      <c r="E488">
        <f t="shared" si="51"/>
        <v>0</v>
      </c>
      <c r="G488">
        <v>438</v>
      </c>
      <c r="H488" s="13">
        <f t="shared" si="56"/>
        <v>1.8572577375266519E-2</v>
      </c>
      <c r="I488">
        <f t="shared" si="57"/>
        <v>112.64095316331728</v>
      </c>
      <c r="J488">
        <f t="shared" si="52"/>
        <v>459.36197224906658</v>
      </c>
      <c r="K488" s="27">
        <f t="shared" si="53"/>
        <v>3919.2856457463326</v>
      </c>
    </row>
    <row r="489" spans="1:11" x14ac:dyDescent="0.25">
      <c r="A489" s="26">
        <v>439</v>
      </c>
      <c r="B489" s="82">
        <f t="shared" si="54"/>
        <v>0</v>
      </c>
      <c r="C489" s="58">
        <f t="shared" si="58"/>
        <v>104.50616427295054</v>
      </c>
      <c r="D489" s="83">
        <f t="shared" si="55"/>
        <v>445.77777777777789</v>
      </c>
      <c r="E489">
        <f t="shared" si="51"/>
        <v>0</v>
      </c>
      <c r="G489">
        <v>439</v>
      </c>
      <c r="H489" s="13">
        <f t="shared" si="56"/>
        <v>1.8572577375266519E-2</v>
      </c>
      <c r="I489">
        <f t="shared" si="57"/>
        <v>112.65952574069254</v>
      </c>
      <c r="J489">
        <f t="shared" si="52"/>
        <v>459.38805695523274</v>
      </c>
      <c r="K489" s="27">
        <f t="shared" si="53"/>
        <v>3919.7306059437833</v>
      </c>
    </row>
    <row r="490" spans="1:11" x14ac:dyDescent="0.25">
      <c r="A490" s="26">
        <v>440</v>
      </c>
      <c r="B490" s="82">
        <f t="shared" si="54"/>
        <v>0</v>
      </c>
      <c r="C490" s="58">
        <f t="shared" si="58"/>
        <v>104.50616427295054</v>
      </c>
      <c r="D490" s="83">
        <f t="shared" si="55"/>
        <v>445.77777777777789</v>
      </c>
      <c r="E490">
        <f t="shared" si="51"/>
        <v>0</v>
      </c>
      <c r="G490">
        <v>440</v>
      </c>
      <c r="H490" s="13">
        <f t="shared" si="56"/>
        <v>1.8572577375266519E-2</v>
      </c>
      <c r="I490">
        <f t="shared" si="57"/>
        <v>112.67809831806781</v>
      </c>
      <c r="J490">
        <f t="shared" si="52"/>
        <v>459.4141240479351</v>
      </c>
      <c r="K490" s="27">
        <f t="shared" si="53"/>
        <v>3920.1752910175387</v>
      </c>
    </row>
    <row r="491" spans="1:11" x14ac:dyDescent="0.25">
      <c r="A491" s="26">
        <v>441</v>
      </c>
      <c r="B491" s="82">
        <f t="shared" si="54"/>
        <v>0</v>
      </c>
      <c r="C491" s="58">
        <f t="shared" si="58"/>
        <v>104.50616427295054</v>
      </c>
      <c r="D491" s="83">
        <f t="shared" si="55"/>
        <v>445.77777777777789</v>
      </c>
      <c r="E491">
        <f t="shared" si="51"/>
        <v>0</v>
      </c>
      <c r="G491">
        <v>441</v>
      </c>
      <c r="H491" s="13">
        <f t="shared" si="56"/>
        <v>1.8572577375266519E-2</v>
      </c>
      <c r="I491">
        <f t="shared" si="57"/>
        <v>112.69667089544308</v>
      </c>
      <c r="J491">
        <f t="shared" si="52"/>
        <v>459.44017355082377</v>
      </c>
      <c r="K491" s="27">
        <f t="shared" si="53"/>
        <v>3920.6197013196147</v>
      </c>
    </row>
    <row r="492" spans="1:11" x14ac:dyDescent="0.25">
      <c r="A492" s="26">
        <v>442</v>
      </c>
      <c r="B492" s="82">
        <f t="shared" si="54"/>
        <v>0</v>
      </c>
      <c r="C492" s="58">
        <f t="shared" si="58"/>
        <v>104.50616427295054</v>
      </c>
      <c r="D492" s="83">
        <f t="shared" si="55"/>
        <v>445.77777777777789</v>
      </c>
      <c r="E492">
        <f t="shared" si="51"/>
        <v>0</v>
      </c>
      <c r="G492">
        <v>442</v>
      </c>
      <c r="H492" s="13">
        <f t="shared" si="56"/>
        <v>1.8572577375266519E-2</v>
      </c>
      <c r="I492">
        <f t="shared" si="57"/>
        <v>112.71524347281834</v>
      </c>
      <c r="J492">
        <f t="shared" si="52"/>
        <v>459.46620548749092</v>
      </c>
      <c r="K492" s="27">
        <f t="shared" si="53"/>
        <v>3921.0638372011649</v>
      </c>
    </row>
    <row r="493" spans="1:11" x14ac:dyDescent="0.25">
      <c r="A493" s="26">
        <v>443</v>
      </c>
      <c r="B493" s="82">
        <f t="shared" si="54"/>
        <v>0</v>
      </c>
      <c r="C493" s="58">
        <f t="shared" si="58"/>
        <v>104.50616427295054</v>
      </c>
      <c r="D493" s="83">
        <f t="shared" si="55"/>
        <v>445.77777777777789</v>
      </c>
      <c r="E493">
        <f t="shared" si="51"/>
        <v>0</v>
      </c>
      <c r="G493">
        <v>443</v>
      </c>
      <c r="H493" s="13">
        <f t="shared" si="56"/>
        <v>1.8572577375266519E-2</v>
      </c>
      <c r="I493">
        <f t="shared" si="57"/>
        <v>112.73381605019361</v>
      </c>
      <c r="J493">
        <f t="shared" si="52"/>
        <v>459.49221988147042</v>
      </c>
      <c r="K493" s="27">
        <f t="shared" si="53"/>
        <v>3921.5076990124739</v>
      </c>
    </row>
    <row r="494" spans="1:11" x14ac:dyDescent="0.25">
      <c r="A494" s="26">
        <v>444</v>
      </c>
      <c r="B494" s="82">
        <f t="shared" si="54"/>
        <v>0</v>
      </c>
      <c r="C494" s="58">
        <f t="shared" si="58"/>
        <v>104.50616427295054</v>
      </c>
      <c r="D494" s="83">
        <f t="shared" si="55"/>
        <v>445.77777777777789</v>
      </c>
      <c r="E494">
        <f t="shared" si="51"/>
        <v>0</v>
      </c>
      <c r="G494">
        <v>444</v>
      </c>
      <c r="H494" s="13">
        <f t="shared" si="56"/>
        <v>1.8572577375266519E-2</v>
      </c>
      <c r="I494">
        <f t="shared" si="57"/>
        <v>112.75238862756888</v>
      </c>
      <c r="J494">
        <f t="shared" si="52"/>
        <v>459.51821675623847</v>
      </c>
      <c r="K494" s="27">
        <f t="shared" si="53"/>
        <v>3921.9512871029706</v>
      </c>
    </row>
    <row r="495" spans="1:11" x14ac:dyDescent="0.25">
      <c r="A495" s="26">
        <v>445</v>
      </c>
      <c r="B495" s="82">
        <f t="shared" si="54"/>
        <v>0</v>
      </c>
      <c r="C495" s="58">
        <f t="shared" si="58"/>
        <v>104.50616427295054</v>
      </c>
      <c r="D495" s="83">
        <f t="shared" si="55"/>
        <v>445.77777777777789</v>
      </c>
      <c r="E495">
        <f t="shared" si="51"/>
        <v>0</v>
      </c>
      <c r="G495">
        <v>445</v>
      </c>
      <c r="H495" s="13">
        <f t="shared" si="56"/>
        <v>1.8572577375266519E-2</v>
      </c>
      <c r="I495">
        <f t="shared" si="57"/>
        <v>112.77096120494414</v>
      </c>
      <c r="J495">
        <f t="shared" si="52"/>
        <v>459.54419613521355</v>
      </c>
      <c r="K495" s="27">
        <f t="shared" si="53"/>
        <v>3922.3946018212246</v>
      </c>
    </row>
    <row r="496" spans="1:11" x14ac:dyDescent="0.25">
      <c r="A496" s="26">
        <v>446</v>
      </c>
      <c r="B496" s="82">
        <f t="shared" si="54"/>
        <v>0</v>
      </c>
      <c r="C496" s="58">
        <f t="shared" si="58"/>
        <v>104.50616427295054</v>
      </c>
      <c r="D496" s="83">
        <f t="shared" si="55"/>
        <v>445.77777777777789</v>
      </c>
      <c r="E496">
        <f t="shared" si="51"/>
        <v>0</v>
      </c>
      <c r="G496">
        <v>446</v>
      </c>
      <c r="H496" s="13">
        <f t="shared" si="56"/>
        <v>1.8572577375266519E-2</v>
      </c>
      <c r="I496">
        <f t="shared" si="57"/>
        <v>112.78953378231941</v>
      </c>
      <c r="J496">
        <f t="shared" si="52"/>
        <v>459.57015804175683</v>
      </c>
      <c r="K496" s="27">
        <f t="shared" si="53"/>
        <v>3922.8376435149498</v>
      </c>
    </row>
    <row r="497" spans="1:11" x14ac:dyDescent="0.25">
      <c r="A497" s="26">
        <v>447</v>
      </c>
      <c r="B497" s="82">
        <f t="shared" si="54"/>
        <v>0</v>
      </c>
      <c r="C497" s="58">
        <f t="shared" si="58"/>
        <v>104.50616427295054</v>
      </c>
      <c r="D497" s="83">
        <f t="shared" si="55"/>
        <v>445.77777777777789</v>
      </c>
      <c r="E497">
        <f t="shared" si="51"/>
        <v>0</v>
      </c>
      <c r="G497">
        <v>447</v>
      </c>
      <c r="H497" s="13">
        <f t="shared" si="56"/>
        <v>1.8572577375266519E-2</v>
      </c>
      <c r="I497">
        <f t="shared" si="57"/>
        <v>112.80810635969468</v>
      </c>
      <c r="J497">
        <f t="shared" si="52"/>
        <v>459.59610249917205</v>
      </c>
      <c r="K497" s="27">
        <f t="shared" si="53"/>
        <v>3923.2804125310108</v>
      </c>
    </row>
    <row r="498" spans="1:11" x14ac:dyDescent="0.25">
      <c r="A498" s="26">
        <v>448</v>
      </c>
      <c r="B498" s="82">
        <f t="shared" si="54"/>
        <v>0</v>
      </c>
      <c r="C498" s="58">
        <f t="shared" si="58"/>
        <v>104.50616427295054</v>
      </c>
      <c r="D498" s="83">
        <f t="shared" si="55"/>
        <v>445.77777777777789</v>
      </c>
      <c r="E498">
        <f t="shared" si="51"/>
        <v>0</v>
      </c>
      <c r="G498">
        <v>448</v>
      </c>
      <c r="H498" s="13">
        <f t="shared" si="56"/>
        <v>1.8572577375266519E-2</v>
      </c>
      <c r="I498">
        <f t="shared" si="57"/>
        <v>112.82667893706994</v>
      </c>
      <c r="J498">
        <f t="shared" si="52"/>
        <v>459.62202953070596</v>
      </c>
      <c r="K498" s="27">
        <f t="shared" si="53"/>
        <v>3923.7229092154225</v>
      </c>
    </row>
    <row r="499" spans="1:11" x14ac:dyDescent="0.25">
      <c r="A499" s="26">
        <v>449</v>
      </c>
      <c r="B499" s="82">
        <f t="shared" si="54"/>
        <v>0</v>
      </c>
      <c r="C499" s="58">
        <f t="shared" si="58"/>
        <v>104.50616427295054</v>
      </c>
      <c r="D499" s="83">
        <f t="shared" si="55"/>
        <v>445.77777777777789</v>
      </c>
      <c r="E499">
        <f t="shared" ref="E499:E562" si="59">((D499^2)+(D499*D500)+(D500^2))*B500/3</f>
        <v>0</v>
      </c>
      <c r="G499">
        <v>449</v>
      </c>
      <c r="H499" s="13">
        <f t="shared" si="56"/>
        <v>1.8572577375266519E-2</v>
      </c>
      <c r="I499">
        <f t="shared" si="57"/>
        <v>112.84525151444521</v>
      </c>
      <c r="J499">
        <f t="shared" ref="J499:J562" si="60">IF($G$28&lt;$C$14,0,((($C$11^2)-((I499-$C$13)^2))^0.5)+$C$16)</f>
        <v>459.64793915954863</v>
      </c>
      <c r="K499" s="27">
        <f t="shared" ref="K499:K562" si="61">((J499^2)+(J499*J500)+(J500^2))*H500/3</f>
        <v>3924.1651339133518</v>
      </c>
    </row>
    <row r="500" spans="1:11" x14ac:dyDescent="0.25">
      <c r="A500" s="26">
        <v>450</v>
      </c>
      <c r="B500" s="82">
        <f t="shared" ref="B500:B563" si="62">C500-C499</f>
        <v>0</v>
      </c>
      <c r="C500" s="58">
        <f t="shared" si="58"/>
        <v>104.50616427295054</v>
      </c>
      <c r="D500" s="83">
        <f t="shared" ref="D500:D563" si="63">IF($G$28&lt;$C$14,0,((($C$11^2)-((C500-$C$13)^2))^0.5)+$C$16)</f>
        <v>445.77777777777789</v>
      </c>
      <c r="E500">
        <f t="shared" si="59"/>
        <v>0</v>
      </c>
      <c r="G500">
        <v>450</v>
      </c>
      <c r="H500" s="13">
        <f t="shared" ref="H500:H563" si="64">I500-I499</f>
        <v>1.8572577375266519E-2</v>
      </c>
      <c r="I500">
        <f t="shared" ref="I500:I563" si="65">($G$27-$C$14)/2000+I499</f>
        <v>112.86382409182048</v>
      </c>
      <c r="J500">
        <f t="shared" si="60"/>
        <v>459.67383140883322</v>
      </c>
      <c r="K500" s="27">
        <f t="shared" si="61"/>
        <v>3924.6070869691271</v>
      </c>
    </row>
    <row r="501" spans="1:11" x14ac:dyDescent="0.25">
      <c r="A501" s="26">
        <v>451</v>
      </c>
      <c r="B501" s="82">
        <f t="shared" si="62"/>
        <v>0</v>
      </c>
      <c r="C501" s="58">
        <f t="shared" si="58"/>
        <v>104.50616427295054</v>
      </c>
      <c r="D501" s="83">
        <f t="shared" si="63"/>
        <v>445.77777777777789</v>
      </c>
      <c r="E501">
        <f t="shared" si="59"/>
        <v>0</v>
      </c>
      <c r="G501">
        <v>451</v>
      </c>
      <c r="H501" s="13">
        <f t="shared" si="64"/>
        <v>1.8572577375266519E-2</v>
      </c>
      <c r="I501">
        <f t="shared" si="65"/>
        <v>112.88239666919574</v>
      </c>
      <c r="J501">
        <f t="shared" si="60"/>
        <v>459.69970630163664</v>
      </c>
      <c r="K501" s="27">
        <f t="shared" si="61"/>
        <v>3925.0487687262344</v>
      </c>
    </row>
    <row r="502" spans="1:11" x14ac:dyDescent="0.25">
      <c r="A502" s="26">
        <v>452</v>
      </c>
      <c r="B502" s="82">
        <f t="shared" si="62"/>
        <v>0</v>
      </c>
      <c r="C502" s="58">
        <f t="shared" si="58"/>
        <v>104.50616427295054</v>
      </c>
      <c r="D502" s="83">
        <f t="shared" si="63"/>
        <v>445.77777777777789</v>
      </c>
      <c r="E502">
        <f t="shared" si="59"/>
        <v>0</v>
      </c>
      <c r="G502">
        <v>452</v>
      </c>
      <c r="H502" s="13">
        <f t="shared" si="64"/>
        <v>1.8572577375266519E-2</v>
      </c>
      <c r="I502">
        <f t="shared" si="65"/>
        <v>112.90096924657101</v>
      </c>
      <c r="J502">
        <f t="shared" si="60"/>
        <v>459.72556386097938</v>
      </c>
      <c r="K502" s="27">
        <f t="shared" si="61"/>
        <v>3925.4901795273231</v>
      </c>
    </row>
    <row r="503" spans="1:11" x14ac:dyDescent="0.25">
      <c r="A503" s="26">
        <v>453</v>
      </c>
      <c r="B503" s="82">
        <f t="shared" si="62"/>
        <v>0</v>
      </c>
      <c r="C503" s="58">
        <f t="shared" si="58"/>
        <v>104.50616427295054</v>
      </c>
      <c r="D503" s="83">
        <f t="shared" si="63"/>
        <v>445.77777777777789</v>
      </c>
      <c r="E503">
        <f t="shared" si="59"/>
        <v>0</v>
      </c>
      <c r="G503">
        <v>453</v>
      </c>
      <c r="H503" s="13">
        <f t="shared" si="64"/>
        <v>1.8572577375266519E-2</v>
      </c>
      <c r="I503">
        <f t="shared" si="65"/>
        <v>112.91954182394628</v>
      </c>
      <c r="J503">
        <f t="shared" si="60"/>
        <v>459.75140410982601</v>
      </c>
      <c r="K503" s="27">
        <f t="shared" si="61"/>
        <v>3925.9313197142069</v>
      </c>
    </row>
    <row r="504" spans="1:11" x14ac:dyDescent="0.25">
      <c r="A504" s="26">
        <v>454</v>
      </c>
      <c r="B504" s="82">
        <f t="shared" si="62"/>
        <v>0</v>
      </c>
      <c r="C504" s="58">
        <f t="shared" si="58"/>
        <v>104.50616427295054</v>
      </c>
      <c r="D504" s="83">
        <f t="shared" si="63"/>
        <v>445.77777777777789</v>
      </c>
      <c r="E504">
        <f t="shared" si="59"/>
        <v>0</v>
      </c>
      <c r="G504">
        <v>454</v>
      </c>
      <c r="H504" s="13">
        <f t="shared" si="64"/>
        <v>1.8572577375266519E-2</v>
      </c>
      <c r="I504">
        <f t="shared" si="65"/>
        <v>112.93811440132154</v>
      </c>
      <c r="J504">
        <f t="shared" si="60"/>
        <v>459.77722707108506</v>
      </c>
      <c r="K504" s="27">
        <f t="shared" si="61"/>
        <v>3926.3721896278712</v>
      </c>
    </row>
    <row r="505" spans="1:11" x14ac:dyDescent="0.25">
      <c r="A505" s="26">
        <v>455</v>
      </c>
      <c r="B505" s="82">
        <f t="shared" si="62"/>
        <v>0</v>
      </c>
      <c r="C505" s="58">
        <f t="shared" si="58"/>
        <v>104.50616427295054</v>
      </c>
      <c r="D505" s="83">
        <f t="shared" si="63"/>
        <v>445.77777777777789</v>
      </c>
      <c r="E505">
        <f t="shared" si="59"/>
        <v>0</v>
      </c>
      <c r="G505">
        <v>455</v>
      </c>
      <c r="H505" s="13">
        <f t="shared" si="64"/>
        <v>1.8572577375266519E-2</v>
      </c>
      <c r="I505">
        <f t="shared" si="65"/>
        <v>112.95668697869681</v>
      </c>
      <c r="J505">
        <f t="shared" si="60"/>
        <v>459.80303276760947</v>
      </c>
      <c r="K505" s="27">
        <f t="shared" si="61"/>
        <v>3926.8127896084698</v>
      </c>
    </row>
    <row r="506" spans="1:11" x14ac:dyDescent="0.25">
      <c r="A506" s="26">
        <v>456</v>
      </c>
      <c r="B506" s="82">
        <f t="shared" si="62"/>
        <v>0</v>
      </c>
      <c r="C506" s="58">
        <f t="shared" si="58"/>
        <v>104.50616427295054</v>
      </c>
      <c r="D506" s="83">
        <f t="shared" si="63"/>
        <v>445.77777777777789</v>
      </c>
      <c r="E506">
        <f t="shared" si="59"/>
        <v>0</v>
      </c>
      <c r="G506">
        <v>456</v>
      </c>
      <c r="H506" s="13">
        <f t="shared" si="64"/>
        <v>1.8572577375266519E-2</v>
      </c>
      <c r="I506">
        <f t="shared" si="65"/>
        <v>112.97525955607207</v>
      </c>
      <c r="J506">
        <f t="shared" si="60"/>
        <v>459.82882122219667</v>
      </c>
      <c r="K506" s="27">
        <f t="shared" si="61"/>
        <v>3927.2531199953332</v>
      </c>
    </row>
    <row r="507" spans="1:11" x14ac:dyDescent="0.25">
      <c r="A507" s="26">
        <v>457</v>
      </c>
      <c r="B507" s="82">
        <f t="shared" si="62"/>
        <v>0</v>
      </c>
      <c r="C507" s="58">
        <f t="shared" si="58"/>
        <v>104.50616427295054</v>
      </c>
      <c r="D507" s="83">
        <f t="shared" si="63"/>
        <v>445.77777777777789</v>
      </c>
      <c r="E507">
        <f t="shared" si="59"/>
        <v>0</v>
      </c>
      <c r="G507">
        <v>457</v>
      </c>
      <c r="H507" s="13">
        <f t="shared" si="64"/>
        <v>1.8572577375266519E-2</v>
      </c>
      <c r="I507">
        <f t="shared" si="65"/>
        <v>112.99383213344734</v>
      </c>
      <c r="J507">
        <f t="shared" si="60"/>
        <v>459.85459245758875</v>
      </c>
      <c r="K507" s="27">
        <f t="shared" si="61"/>
        <v>3927.6931811269674</v>
      </c>
    </row>
    <row r="508" spans="1:11" x14ac:dyDescent="0.25">
      <c r="A508" s="26">
        <v>458</v>
      </c>
      <c r="B508" s="82">
        <f t="shared" si="62"/>
        <v>0</v>
      </c>
      <c r="C508" s="58">
        <f t="shared" si="58"/>
        <v>104.50616427295054</v>
      </c>
      <c r="D508" s="83">
        <f t="shared" si="63"/>
        <v>445.77777777777789</v>
      </c>
      <c r="E508">
        <f t="shared" si="59"/>
        <v>0</v>
      </c>
      <c r="G508">
        <v>458</v>
      </c>
      <c r="H508" s="13">
        <f t="shared" si="64"/>
        <v>1.8572577375266519E-2</v>
      </c>
      <c r="I508">
        <f t="shared" si="65"/>
        <v>113.01240471082261</v>
      </c>
      <c r="J508">
        <f t="shared" si="60"/>
        <v>459.88034649647273</v>
      </c>
      <c r="K508" s="27">
        <f t="shared" si="61"/>
        <v>3928.1329733410589</v>
      </c>
    </row>
    <row r="509" spans="1:11" x14ac:dyDescent="0.25">
      <c r="A509" s="26">
        <v>459</v>
      </c>
      <c r="B509" s="82">
        <f t="shared" si="62"/>
        <v>0</v>
      </c>
      <c r="C509" s="58">
        <f t="shared" si="58"/>
        <v>104.50616427295054</v>
      </c>
      <c r="D509" s="83">
        <f t="shared" si="63"/>
        <v>445.77777777777789</v>
      </c>
      <c r="E509">
        <f t="shared" si="59"/>
        <v>0</v>
      </c>
      <c r="G509">
        <v>459</v>
      </c>
      <c r="H509" s="13">
        <f t="shared" si="64"/>
        <v>1.8572577375266519E-2</v>
      </c>
      <c r="I509">
        <f t="shared" si="65"/>
        <v>113.03097728819787</v>
      </c>
      <c r="J509">
        <f t="shared" si="60"/>
        <v>459.90608336148057</v>
      </c>
      <c r="K509" s="27">
        <f t="shared" si="61"/>
        <v>3928.5724969744765</v>
      </c>
    </row>
    <row r="510" spans="1:11" x14ac:dyDescent="0.25">
      <c r="A510" s="26">
        <v>460</v>
      </c>
      <c r="B510" s="82">
        <f t="shared" si="62"/>
        <v>0</v>
      </c>
      <c r="C510" s="58">
        <f t="shared" si="58"/>
        <v>104.50616427295054</v>
      </c>
      <c r="D510" s="83">
        <f t="shared" si="63"/>
        <v>445.77777777777789</v>
      </c>
      <c r="E510">
        <f t="shared" si="59"/>
        <v>0</v>
      </c>
      <c r="G510">
        <v>460</v>
      </c>
      <c r="H510" s="13">
        <f t="shared" si="64"/>
        <v>1.8572577375266519E-2</v>
      </c>
      <c r="I510">
        <f t="shared" si="65"/>
        <v>113.04954986557314</v>
      </c>
      <c r="J510">
        <f t="shared" si="60"/>
        <v>459.93180307518963</v>
      </c>
      <c r="K510" s="27">
        <f t="shared" si="61"/>
        <v>3929.0117523632744</v>
      </c>
    </row>
    <row r="511" spans="1:11" x14ac:dyDescent="0.25">
      <c r="A511" s="26">
        <v>461</v>
      </c>
      <c r="B511" s="82">
        <f t="shared" si="62"/>
        <v>0</v>
      </c>
      <c r="C511" s="58">
        <f t="shared" si="58"/>
        <v>104.50616427295054</v>
      </c>
      <c r="D511" s="83">
        <f t="shared" si="63"/>
        <v>445.77777777777789</v>
      </c>
      <c r="E511">
        <f t="shared" si="59"/>
        <v>0</v>
      </c>
      <c r="G511">
        <v>461</v>
      </c>
      <c r="H511" s="13">
        <f t="shared" si="64"/>
        <v>1.8572577375266519E-2</v>
      </c>
      <c r="I511">
        <f t="shared" si="65"/>
        <v>113.06812244294841</v>
      </c>
      <c r="J511">
        <f t="shared" si="60"/>
        <v>459.95750566012259</v>
      </c>
      <c r="K511" s="27">
        <f t="shared" si="61"/>
        <v>3929.4507398426977</v>
      </c>
    </row>
    <row r="512" spans="1:11" x14ac:dyDescent="0.25">
      <c r="A512" s="26">
        <v>462</v>
      </c>
      <c r="B512" s="82">
        <f t="shared" si="62"/>
        <v>0</v>
      </c>
      <c r="C512" s="58">
        <f t="shared" si="58"/>
        <v>104.50616427295054</v>
      </c>
      <c r="D512" s="83">
        <f t="shared" si="63"/>
        <v>445.77777777777789</v>
      </c>
      <c r="E512">
        <f t="shared" si="59"/>
        <v>0</v>
      </c>
      <c r="G512">
        <v>462</v>
      </c>
      <c r="H512" s="13">
        <f t="shared" si="64"/>
        <v>1.8572577375266519E-2</v>
      </c>
      <c r="I512">
        <f t="shared" si="65"/>
        <v>113.08669502032367</v>
      </c>
      <c r="J512">
        <f t="shared" si="60"/>
        <v>459.98319113874788</v>
      </c>
      <c r="K512" s="27">
        <f t="shared" si="61"/>
        <v>3929.8894597471785</v>
      </c>
    </row>
    <row r="513" spans="1:11" x14ac:dyDescent="0.25">
      <c r="A513" s="26">
        <v>463</v>
      </c>
      <c r="B513" s="82">
        <f t="shared" si="62"/>
        <v>0</v>
      </c>
      <c r="C513" s="58">
        <f t="shared" si="58"/>
        <v>104.50616427295054</v>
      </c>
      <c r="D513" s="83">
        <f t="shared" si="63"/>
        <v>445.77777777777789</v>
      </c>
      <c r="E513">
        <f t="shared" si="59"/>
        <v>0</v>
      </c>
      <c r="G513">
        <v>463</v>
      </c>
      <c r="H513" s="13">
        <f t="shared" si="64"/>
        <v>1.8572577375266519E-2</v>
      </c>
      <c r="I513">
        <f t="shared" si="65"/>
        <v>113.10526759769894</v>
      </c>
      <c r="J513">
        <f t="shared" si="60"/>
        <v>460.00885953347955</v>
      </c>
      <c r="K513" s="27">
        <f t="shared" si="61"/>
        <v>3930.3279124103442</v>
      </c>
    </row>
    <row r="514" spans="1:11" x14ac:dyDescent="0.25">
      <c r="A514" s="26">
        <v>464</v>
      </c>
      <c r="B514" s="82">
        <f t="shared" si="62"/>
        <v>0</v>
      </c>
      <c r="C514" s="58">
        <f t="shared" si="58"/>
        <v>104.50616427295054</v>
      </c>
      <c r="D514" s="83">
        <f t="shared" si="63"/>
        <v>445.77777777777789</v>
      </c>
      <c r="E514">
        <f t="shared" si="59"/>
        <v>0</v>
      </c>
      <c r="G514">
        <v>464</v>
      </c>
      <c r="H514" s="13">
        <f t="shared" si="64"/>
        <v>1.8572577375266519E-2</v>
      </c>
      <c r="I514">
        <f t="shared" si="65"/>
        <v>113.12384017507421</v>
      </c>
      <c r="J514">
        <f t="shared" si="60"/>
        <v>460.03451086667781</v>
      </c>
      <c r="K514" s="27">
        <f t="shared" si="61"/>
        <v>3930.7660981650192</v>
      </c>
    </row>
    <row r="515" spans="1:11" x14ac:dyDescent="0.25">
      <c r="A515" s="26">
        <v>465</v>
      </c>
      <c r="B515" s="82">
        <f t="shared" si="62"/>
        <v>0</v>
      </c>
      <c r="C515" s="58">
        <f t="shared" si="58"/>
        <v>104.50616427295054</v>
      </c>
      <c r="D515" s="83">
        <f t="shared" si="63"/>
        <v>445.77777777777789</v>
      </c>
      <c r="E515">
        <f t="shared" si="59"/>
        <v>0</v>
      </c>
      <c r="G515">
        <v>465</v>
      </c>
      <c r="H515" s="13">
        <f t="shared" si="64"/>
        <v>1.8572577375266519E-2</v>
      </c>
      <c r="I515">
        <f t="shared" si="65"/>
        <v>113.14241275244947</v>
      </c>
      <c r="J515">
        <f t="shared" si="60"/>
        <v>460.06014516064903</v>
      </c>
      <c r="K515" s="27">
        <f t="shared" si="61"/>
        <v>3931.2040173432283</v>
      </c>
    </row>
    <row r="516" spans="1:11" x14ac:dyDescent="0.25">
      <c r="A516" s="26">
        <v>466</v>
      </c>
      <c r="B516" s="82">
        <f t="shared" si="62"/>
        <v>0</v>
      </c>
      <c r="C516" s="58">
        <f t="shared" si="58"/>
        <v>104.50616427295054</v>
      </c>
      <c r="D516" s="83">
        <f t="shared" si="63"/>
        <v>445.77777777777789</v>
      </c>
      <c r="E516">
        <f t="shared" si="59"/>
        <v>0</v>
      </c>
      <c r="G516">
        <v>466</v>
      </c>
      <c r="H516" s="13">
        <f t="shared" si="64"/>
        <v>1.8572577375266519E-2</v>
      </c>
      <c r="I516">
        <f t="shared" si="65"/>
        <v>113.16098532982474</v>
      </c>
      <c r="J516">
        <f t="shared" si="60"/>
        <v>460.08576243764583</v>
      </c>
      <c r="K516" s="27">
        <f t="shared" si="61"/>
        <v>3931.6416702761944</v>
      </c>
    </row>
    <row r="517" spans="1:11" x14ac:dyDescent="0.25">
      <c r="A517" s="26">
        <v>467</v>
      </c>
      <c r="B517" s="82">
        <f t="shared" si="62"/>
        <v>0</v>
      </c>
      <c r="C517" s="58">
        <f t="shared" si="58"/>
        <v>104.50616427295054</v>
      </c>
      <c r="D517" s="83">
        <f t="shared" si="63"/>
        <v>445.77777777777789</v>
      </c>
      <c r="E517">
        <f t="shared" si="59"/>
        <v>0</v>
      </c>
      <c r="G517">
        <v>467</v>
      </c>
      <c r="H517" s="13">
        <f t="shared" si="64"/>
        <v>1.8572577375266519E-2</v>
      </c>
      <c r="I517">
        <f t="shared" si="65"/>
        <v>113.17955790720001</v>
      </c>
      <c r="J517">
        <f t="shared" si="60"/>
        <v>460.11136271986737</v>
      </c>
      <c r="K517" s="27">
        <f t="shared" si="61"/>
        <v>3932.0790572943483</v>
      </c>
    </row>
    <row r="518" spans="1:11" x14ac:dyDescent="0.25">
      <c r="A518" s="26">
        <v>468</v>
      </c>
      <c r="B518" s="82">
        <f t="shared" si="62"/>
        <v>0</v>
      </c>
      <c r="C518" s="58">
        <f t="shared" si="58"/>
        <v>104.50616427295054</v>
      </c>
      <c r="D518" s="83">
        <f t="shared" si="63"/>
        <v>445.77777777777789</v>
      </c>
      <c r="E518">
        <f t="shared" si="59"/>
        <v>0</v>
      </c>
      <c r="G518">
        <v>468</v>
      </c>
      <c r="H518" s="13">
        <f t="shared" si="64"/>
        <v>1.8572577375266519E-2</v>
      </c>
      <c r="I518">
        <f t="shared" si="65"/>
        <v>113.19813048457527</v>
      </c>
      <c r="J518">
        <f t="shared" si="60"/>
        <v>460.13694602945969</v>
      </c>
      <c r="K518" s="27">
        <f t="shared" si="61"/>
        <v>3932.5161787273269</v>
      </c>
    </row>
    <row r="519" spans="1:11" x14ac:dyDescent="0.25">
      <c r="A519" s="26">
        <v>469</v>
      </c>
      <c r="B519" s="82">
        <f t="shared" si="62"/>
        <v>0</v>
      </c>
      <c r="C519" s="58">
        <f t="shared" si="58"/>
        <v>104.50616427295054</v>
      </c>
      <c r="D519" s="83">
        <f t="shared" si="63"/>
        <v>445.77777777777789</v>
      </c>
      <c r="E519">
        <f t="shared" si="59"/>
        <v>0</v>
      </c>
      <c r="G519">
        <v>469</v>
      </c>
      <c r="H519" s="13">
        <f t="shared" si="64"/>
        <v>1.8572577375266519E-2</v>
      </c>
      <c r="I519">
        <f t="shared" si="65"/>
        <v>113.21670306195054</v>
      </c>
      <c r="J519">
        <f t="shared" si="60"/>
        <v>460.16251238851549</v>
      </c>
      <c r="K519" s="27">
        <f t="shared" si="61"/>
        <v>3932.9530349039765</v>
      </c>
    </row>
    <row r="520" spans="1:11" x14ac:dyDescent="0.25">
      <c r="A520" s="26">
        <v>470</v>
      </c>
      <c r="B520" s="82">
        <f t="shared" si="62"/>
        <v>0</v>
      </c>
      <c r="C520" s="58">
        <f t="shared" si="58"/>
        <v>104.50616427295054</v>
      </c>
      <c r="D520" s="83">
        <f t="shared" si="63"/>
        <v>445.77777777777789</v>
      </c>
      <c r="E520">
        <f t="shared" si="59"/>
        <v>0</v>
      </c>
      <c r="G520">
        <v>470</v>
      </c>
      <c r="H520" s="13">
        <f t="shared" si="64"/>
        <v>1.8572577375266519E-2</v>
      </c>
      <c r="I520">
        <f t="shared" si="65"/>
        <v>113.23527563932581</v>
      </c>
      <c r="J520">
        <f t="shared" si="60"/>
        <v>460.18806181907473</v>
      </c>
      <c r="K520" s="27">
        <f t="shared" si="61"/>
        <v>3933.3896261523582</v>
      </c>
    </row>
    <row r="521" spans="1:11" x14ac:dyDescent="0.25">
      <c r="A521" s="26">
        <v>471</v>
      </c>
      <c r="B521" s="82">
        <f t="shared" si="62"/>
        <v>0</v>
      </c>
      <c r="C521" s="58">
        <f t="shared" si="58"/>
        <v>104.50616427295054</v>
      </c>
      <c r="D521" s="83">
        <f t="shared" si="63"/>
        <v>445.77777777777789</v>
      </c>
      <c r="E521">
        <f t="shared" si="59"/>
        <v>0</v>
      </c>
      <c r="G521">
        <v>471</v>
      </c>
      <c r="H521" s="13">
        <f t="shared" si="64"/>
        <v>1.8572577375266519E-2</v>
      </c>
      <c r="I521">
        <f t="shared" si="65"/>
        <v>113.25384821670107</v>
      </c>
      <c r="J521">
        <f t="shared" si="60"/>
        <v>460.21359434312456</v>
      </c>
      <c r="K521" s="27">
        <f t="shared" si="61"/>
        <v>3933.8259527997448</v>
      </c>
    </row>
    <row r="522" spans="1:11" x14ac:dyDescent="0.25">
      <c r="A522" s="26">
        <v>472</v>
      </c>
      <c r="B522" s="82">
        <f t="shared" si="62"/>
        <v>0</v>
      </c>
      <c r="C522" s="58">
        <f t="shared" si="58"/>
        <v>104.50616427295054</v>
      </c>
      <c r="D522" s="83">
        <f t="shared" si="63"/>
        <v>445.77777777777789</v>
      </c>
      <c r="E522">
        <f t="shared" si="59"/>
        <v>0</v>
      </c>
      <c r="G522">
        <v>472</v>
      </c>
      <c r="H522" s="13">
        <f t="shared" si="64"/>
        <v>1.8572577375266519E-2</v>
      </c>
      <c r="I522">
        <f t="shared" si="65"/>
        <v>113.27242079407634</v>
      </c>
      <c r="J522">
        <f t="shared" si="60"/>
        <v>460.23910998259953</v>
      </c>
      <c r="K522" s="27">
        <f t="shared" si="61"/>
        <v>3934.2620151726296</v>
      </c>
    </row>
    <row r="523" spans="1:11" x14ac:dyDescent="0.25">
      <c r="A523" s="26">
        <v>473</v>
      </c>
      <c r="B523" s="82">
        <f t="shared" si="62"/>
        <v>0</v>
      </c>
      <c r="C523" s="58">
        <f t="shared" si="58"/>
        <v>104.50616427295054</v>
      </c>
      <c r="D523" s="83">
        <f t="shared" si="63"/>
        <v>445.77777777777789</v>
      </c>
      <c r="E523">
        <f t="shared" si="59"/>
        <v>0</v>
      </c>
      <c r="G523">
        <v>473</v>
      </c>
      <c r="H523" s="13">
        <f t="shared" si="64"/>
        <v>1.8572577375266519E-2</v>
      </c>
      <c r="I523">
        <f t="shared" si="65"/>
        <v>113.29099337145161</v>
      </c>
      <c r="J523">
        <f t="shared" si="60"/>
        <v>460.26460875938176</v>
      </c>
      <c r="K523" s="27">
        <f t="shared" si="61"/>
        <v>3934.6978135967252</v>
      </c>
    </row>
    <row r="524" spans="1:11" x14ac:dyDescent="0.25">
      <c r="A524" s="26">
        <v>474</v>
      </c>
      <c r="B524" s="82">
        <f t="shared" si="62"/>
        <v>0</v>
      </c>
      <c r="C524" s="58">
        <f t="shared" si="58"/>
        <v>104.50616427295054</v>
      </c>
      <c r="D524" s="83">
        <f t="shared" si="63"/>
        <v>445.77777777777789</v>
      </c>
      <c r="E524">
        <f t="shared" si="59"/>
        <v>0</v>
      </c>
      <c r="G524">
        <v>474</v>
      </c>
      <c r="H524" s="13">
        <f t="shared" si="64"/>
        <v>1.8572577375266519E-2</v>
      </c>
      <c r="I524">
        <f t="shared" si="65"/>
        <v>113.30956594882687</v>
      </c>
      <c r="J524">
        <f t="shared" si="60"/>
        <v>460.29009069530133</v>
      </c>
      <c r="K524" s="27">
        <f t="shared" si="61"/>
        <v>3935.1333483969684</v>
      </c>
    </row>
    <row r="525" spans="1:11" x14ac:dyDescent="0.25">
      <c r="A525" s="26">
        <v>475</v>
      </c>
      <c r="B525" s="82">
        <f t="shared" si="62"/>
        <v>0</v>
      </c>
      <c r="C525" s="58">
        <f t="shared" si="58"/>
        <v>104.50616427295054</v>
      </c>
      <c r="D525" s="83">
        <f t="shared" si="63"/>
        <v>445.77777777777789</v>
      </c>
      <c r="E525">
        <f t="shared" si="59"/>
        <v>0</v>
      </c>
      <c r="G525">
        <v>475</v>
      </c>
      <c r="H525" s="13">
        <f t="shared" si="64"/>
        <v>1.8572577375266519E-2</v>
      </c>
      <c r="I525">
        <f t="shared" si="65"/>
        <v>113.32813852620214</v>
      </c>
      <c r="J525">
        <f t="shared" si="60"/>
        <v>460.31555581213604</v>
      </c>
      <c r="K525" s="27">
        <f t="shared" si="61"/>
        <v>3935.5686198975204</v>
      </c>
    </row>
    <row r="526" spans="1:11" x14ac:dyDescent="0.25">
      <c r="A526" s="26">
        <v>476</v>
      </c>
      <c r="B526" s="82">
        <f t="shared" si="62"/>
        <v>0</v>
      </c>
      <c r="C526" s="58">
        <f t="shared" si="58"/>
        <v>104.50616427295054</v>
      </c>
      <c r="D526" s="83">
        <f t="shared" si="63"/>
        <v>445.77777777777789</v>
      </c>
      <c r="E526">
        <f t="shared" si="59"/>
        <v>0</v>
      </c>
      <c r="G526">
        <v>476</v>
      </c>
      <c r="H526" s="13">
        <f t="shared" si="64"/>
        <v>1.8572577375266519E-2</v>
      </c>
      <c r="I526">
        <f t="shared" si="65"/>
        <v>113.34671110357741</v>
      </c>
      <c r="J526">
        <f t="shared" si="60"/>
        <v>460.34100413161201</v>
      </c>
      <c r="K526" s="27">
        <f t="shared" si="61"/>
        <v>3936.0036284217717</v>
      </c>
    </row>
    <row r="527" spans="1:11" x14ac:dyDescent="0.25">
      <c r="A527" s="26">
        <v>477</v>
      </c>
      <c r="B527" s="82">
        <f t="shared" si="62"/>
        <v>0</v>
      </c>
      <c r="C527" s="58">
        <f t="shared" si="58"/>
        <v>104.50616427295054</v>
      </c>
      <c r="D527" s="83">
        <f t="shared" si="63"/>
        <v>445.77777777777789</v>
      </c>
      <c r="E527">
        <f t="shared" si="59"/>
        <v>0</v>
      </c>
      <c r="G527">
        <v>477</v>
      </c>
      <c r="H527" s="13">
        <f t="shared" si="64"/>
        <v>1.8572577375266519E-2</v>
      </c>
      <c r="I527">
        <f t="shared" si="65"/>
        <v>113.36528368095267</v>
      </c>
      <c r="J527">
        <f t="shared" si="60"/>
        <v>460.36643567540352</v>
      </c>
      <c r="K527" s="27">
        <f t="shared" si="61"/>
        <v>3936.4383742923433</v>
      </c>
    </row>
    <row r="528" spans="1:11" x14ac:dyDescent="0.25">
      <c r="A528" s="26">
        <v>478</v>
      </c>
      <c r="B528" s="82">
        <f t="shared" si="62"/>
        <v>0</v>
      </c>
      <c r="C528" s="58">
        <f t="shared" ref="C528:C591" si="66">($C$37-$C$36)/2000+C527</f>
        <v>104.50616427295054</v>
      </c>
      <c r="D528" s="83">
        <f t="shared" si="63"/>
        <v>445.77777777777789</v>
      </c>
      <c r="E528">
        <f t="shared" si="59"/>
        <v>0</v>
      </c>
      <c r="G528">
        <v>478</v>
      </c>
      <c r="H528" s="13">
        <f t="shared" si="64"/>
        <v>1.8572577375266519E-2</v>
      </c>
      <c r="I528">
        <f t="shared" si="65"/>
        <v>113.38385625832794</v>
      </c>
      <c r="J528">
        <f t="shared" si="60"/>
        <v>460.39185046513342</v>
      </c>
      <c r="K528" s="27">
        <f t="shared" si="61"/>
        <v>3936.8728578310888</v>
      </c>
    </row>
    <row r="529" spans="1:11" x14ac:dyDescent="0.25">
      <c r="A529" s="26">
        <v>479</v>
      </c>
      <c r="B529" s="82">
        <f t="shared" si="62"/>
        <v>0</v>
      </c>
      <c r="C529" s="58">
        <f t="shared" si="66"/>
        <v>104.50616427295054</v>
      </c>
      <c r="D529" s="83">
        <f t="shared" si="63"/>
        <v>445.77777777777789</v>
      </c>
      <c r="E529">
        <f t="shared" si="59"/>
        <v>0</v>
      </c>
      <c r="G529">
        <v>479</v>
      </c>
      <c r="H529" s="13">
        <f t="shared" si="64"/>
        <v>1.8572577375266519E-2</v>
      </c>
      <c r="I529">
        <f t="shared" si="65"/>
        <v>113.4024288357032</v>
      </c>
      <c r="J529">
        <f t="shared" si="60"/>
        <v>460.4172485223732</v>
      </c>
      <c r="K529" s="27">
        <f t="shared" si="61"/>
        <v>3937.3070793590996</v>
      </c>
    </row>
    <row r="530" spans="1:11" x14ac:dyDescent="0.25">
      <c r="A530" s="26">
        <v>480</v>
      </c>
      <c r="B530" s="82">
        <f t="shared" si="62"/>
        <v>0</v>
      </c>
      <c r="C530" s="58">
        <f t="shared" si="66"/>
        <v>104.50616427295054</v>
      </c>
      <c r="D530" s="83">
        <f t="shared" si="63"/>
        <v>445.77777777777789</v>
      </c>
      <c r="E530">
        <f t="shared" si="59"/>
        <v>0</v>
      </c>
      <c r="G530">
        <v>480</v>
      </c>
      <c r="H530" s="13">
        <f t="shared" si="64"/>
        <v>1.8572577375266519E-2</v>
      </c>
      <c r="I530">
        <f t="shared" si="65"/>
        <v>113.42100141307847</v>
      </c>
      <c r="J530">
        <f t="shared" si="60"/>
        <v>460.44262986864305</v>
      </c>
      <c r="K530" s="27">
        <f t="shared" si="61"/>
        <v>3937.7410391967037</v>
      </c>
    </row>
    <row r="531" spans="1:11" x14ac:dyDescent="0.25">
      <c r="A531" s="26">
        <v>481</v>
      </c>
      <c r="B531" s="82">
        <f t="shared" si="62"/>
        <v>0</v>
      </c>
      <c r="C531" s="58">
        <f t="shared" si="66"/>
        <v>104.50616427295054</v>
      </c>
      <c r="D531" s="83">
        <f t="shared" si="63"/>
        <v>445.77777777777789</v>
      </c>
      <c r="E531">
        <f t="shared" si="59"/>
        <v>0</v>
      </c>
      <c r="G531">
        <v>481</v>
      </c>
      <c r="H531" s="13">
        <f t="shared" si="64"/>
        <v>1.8572577375266519E-2</v>
      </c>
      <c r="I531">
        <f t="shared" si="65"/>
        <v>113.43957399045374</v>
      </c>
      <c r="J531">
        <f t="shared" si="60"/>
        <v>460.46799452541239</v>
      </c>
      <c r="K531" s="27">
        <f t="shared" si="61"/>
        <v>3938.1747376634721</v>
      </c>
    </row>
    <row r="532" spans="1:11" x14ac:dyDescent="0.25">
      <c r="A532" s="26">
        <v>482</v>
      </c>
      <c r="B532" s="82">
        <f t="shared" si="62"/>
        <v>0</v>
      </c>
      <c r="C532" s="58">
        <f t="shared" si="66"/>
        <v>104.50616427295054</v>
      </c>
      <c r="D532" s="83">
        <f t="shared" si="63"/>
        <v>445.77777777777789</v>
      </c>
      <c r="E532">
        <f t="shared" si="59"/>
        <v>0</v>
      </c>
      <c r="G532">
        <v>482</v>
      </c>
      <c r="H532" s="13">
        <f t="shared" si="64"/>
        <v>1.8572577375266519E-2</v>
      </c>
      <c r="I532">
        <f t="shared" si="65"/>
        <v>113.458146567829</v>
      </c>
      <c r="J532">
        <f t="shared" si="60"/>
        <v>460.49334251409954</v>
      </c>
      <c r="K532" s="27">
        <f t="shared" si="61"/>
        <v>3938.6081750782173</v>
      </c>
    </row>
    <row r="533" spans="1:11" x14ac:dyDescent="0.25">
      <c r="A533" s="26">
        <v>483</v>
      </c>
      <c r="B533" s="82">
        <f t="shared" si="62"/>
        <v>0</v>
      </c>
      <c r="C533" s="58">
        <f t="shared" si="66"/>
        <v>104.50616427295054</v>
      </c>
      <c r="D533" s="83">
        <f t="shared" si="63"/>
        <v>445.77777777777789</v>
      </c>
      <c r="E533">
        <f t="shared" si="59"/>
        <v>0</v>
      </c>
      <c r="G533">
        <v>483</v>
      </c>
      <c r="H533" s="13">
        <f t="shared" si="64"/>
        <v>1.8572577375266519E-2</v>
      </c>
      <c r="I533">
        <f t="shared" si="65"/>
        <v>113.47671914520427</v>
      </c>
      <c r="J533">
        <f t="shared" si="60"/>
        <v>460.51867385607227</v>
      </c>
      <c r="K533" s="27">
        <f t="shared" si="61"/>
        <v>3939.0413517589986</v>
      </c>
    </row>
    <row r="534" spans="1:11" x14ac:dyDescent="0.25">
      <c r="A534" s="26">
        <v>484</v>
      </c>
      <c r="B534" s="82">
        <f t="shared" si="62"/>
        <v>0</v>
      </c>
      <c r="C534" s="58">
        <f t="shared" si="66"/>
        <v>104.50616427295054</v>
      </c>
      <c r="D534" s="83">
        <f t="shared" si="63"/>
        <v>445.77777777777789</v>
      </c>
      <c r="E534">
        <f t="shared" si="59"/>
        <v>0</v>
      </c>
      <c r="G534">
        <v>484</v>
      </c>
      <c r="H534" s="13">
        <f t="shared" si="64"/>
        <v>1.8572577375266519E-2</v>
      </c>
      <c r="I534">
        <f t="shared" si="65"/>
        <v>113.49529172257954</v>
      </c>
      <c r="J534">
        <f t="shared" si="60"/>
        <v>460.54398857264789</v>
      </c>
      <c r="K534" s="27">
        <f t="shared" si="61"/>
        <v>3939.4742680231252</v>
      </c>
    </row>
    <row r="535" spans="1:11" x14ac:dyDescent="0.25">
      <c r="A535" s="26">
        <v>485</v>
      </c>
      <c r="B535" s="82">
        <f t="shared" si="62"/>
        <v>0</v>
      </c>
      <c r="C535" s="58">
        <f t="shared" si="66"/>
        <v>104.50616427295054</v>
      </c>
      <c r="D535" s="83">
        <f t="shared" si="63"/>
        <v>445.77777777777789</v>
      </c>
      <c r="E535">
        <f t="shared" si="59"/>
        <v>0</v>
      </c>
      <c r="G535">
        <v>485</v>
      </c>
      <c r="H535" s="13">
        <f t="shared" si="64"/>
        <v>1.8572577375266519E-2</v>
      </c>
      <c r="I535">
        <f t="shared" si="65"/>
        <v>113.5138642999548</v>
      </c>
      <c r="J535">
        <f t="shared" si="60"/>
        <v>460.56928668509329</v>
      </c>
      <c r="K535" s="27">
        <f t="shared" si="61"/>
        <v>3939.9069241871571</v>
      </c>
    </row>
    <row r="536" spans="1:11" x14ac:dyDescent="0.25">
      <c r="A536" s="26">
        <v>486</v>
      </c>
      <c r="B536" s="82">
        <f t="shared" si="62"/>
        <v>0</v>
      </c>
      <c r="C536" s="58">
        <f t="shared" si="66"/>
        <v>104.50616427295054</v>
      </c>
      <c r="D536" s="83">
        <f t="shared" si="63"/>
        <v>445.77777777777789</v>
      </c>
      <c r="E536">
        <f t="shared" si="59"/>
        <v>0</v>
      </c>
      <c r="G536">
        <v>486</v>
      </c>
      <c r="H536" s="13">
        <f t="shared" si="64"/>
        <v>1.8572577375266519E-2</v>
      </c>
      <c r="I536">
        <f t="shared" si="65"/>
        <v>113.53243687733007</v>
      </c>
      <c r="J536">
        <f t="shared" si="60"/>
        <v>460.59456821462516</v>
      </c>
      <c r="K536" s="27">
        <f t="shared" si="61"/>
        <v>3940.3393205669054</v>
      </c>
    </row>
    <row r="537" spans="1:11" x14ac:dyDescent="0.25">
      <c r="A537" s="26">
        <v>487</v>
      </c>
      <c r="B537" s="82">
        <f t="shared" si="62"/>
        <v>0</v>
      </c>
      <c r="C537" s="58">
        <f t="shared" si="66"/>
        <v>104.50616427295054</v>
      </c>
      <c r="D537" s="83">
        <f t="shared" si="63"/>
        <v>445.77777777777789</v>
      </c>
      <c r="E537">
        <f t="shared" si="59"/>
        <v>0</v>
      </c>
      <c r="G537">
        <v>487</v>
      </c>
      <c r="H537" s="13">
        <f t="shared" si="64"/>
        <v>1.8572577375266519E-2</v>
      </c>
      <c r="I537">
        <f t="shared" si="65"/>
        <v>113.55100945470534</v>
      </c>
      <c r="J537">
        <f t="shared" si="60"/>
        <v>460.61983318241033</v>
      </c>
      <c r="K537" s="27">
        <f t="shared" si="61"/>
        <v>3940.7714574774395</v>
      </c>
    </row>
    <row r="538" spans="1:11" x14ac:dyDescent="0.25">
      <c r="A538" s="26">
        <v>488</v>
      </c>
      <c r="B538" s="82">
        <f t="shared" si="62"/>
        <v>0</v>
      </c>
      <c r="C538" s="58">
        <f t="shared" si="66"/>
        <v>104.50616427295054</v>
      </c>
      <c r="D538" s="83">
        <f t="shared" si="63"/>
        <v>445.77777777777789</v>
      </c>
      <c r="E538">
        <f t="shared" si="59"/>
        <v>0</v>
      </c>
      <c r="G538">
        <v>488</v>
      </c>
      <c r="H538" s="13">
        <f t="shared" si="64"/>
        <v>1.8572577375266519E-2</v>
      </c>
      <c r="I538">
        <f t="shared" si="65"/>
        <v>113.5695820320806</v>
      </c>
      <c r="J538">
        <f t="shared" si="60"/>
        <v>460.64508160956564</v>
      </c>
      <c r="K538" s="27">
        <f t="shared" si="61"/>
        <v>3941.2033352330868</v>
      </c>
    </row>
    <row r="539" spans="1:11" x14ac:dyDescent="0.25">
      <c r="A539" s="26">
        <v>489</v>
      </c>
      <c r="B539" s="82">
        <f t="shared" si="62"/>
        <v>0</v>
      </c>
      <c r="C539" s="58">
        <f t="shared" si="66"/>
        <v>104.50616427295054</v>
      </c>
      <c r="D539" s="83">
        <f t="shared" si="63"/>
        <v>445.77777777777789</v>
      </c>
      <c r="E539">
        <f t="shared" si="59"/>
        <v>0</v>
      </c>
      <c r="G539">
        <v>489</v>
      </c>
      <c r="H539" s="13">
        <f t="shared" si="64"/>
        <v>1.8572577375266519E-2</v>
      </c>
      <c r="I539">
        <f t="shared" si="65"/>
        <v>113.58815460945587</v>
      </c>
      <c r="J539">
        <f t="shared" si="60"/>
        <v>460.67031351715832</v>
      </c>
      <c r="K539" s="27">
        <f t="shared" si="61"/>
        <v>3941.634954147436</v>
      </c>
    </row>
    <row r="540" spans="1:11" x14ac:dyDescent="0.25">
      <c r="A540" s="26">
        <v>490</v>
      </c>
      <c r="B540" s="82">
        <f t="shared" si="62"/>
        <v>0</v>
      </c>
      <c r="C540" s="58">
        <f t="shared" si="66"/>
        <v>104.50616427295054</v>
      </c>
      <c r="D540" s="83">
        <f t="shared" si="63"/>
        <v>445.77777777777789</v>
      </c>
      <c r="E540">
        <f t="shared" si="59"/>
        <v>0</v>
      </c>
      <c r="G540">
        <v>490</v>
      </c>
      <c r="H540" s="13">
        <f t="shared" si="64"/>
        <v>1.8572577375266519E-2</v>
      </c>
      <c r="I540">
        <f t="shared" si="65"/>
        <v>113.60672718683114</v>
      </c>
      <c r="J540">
        <f t="shared" si="60"/>
        <v>460.69552892620612</v>
      </c>
      <c r="K540" s="27">
        <f t="shared" si="61"/>
        <v>3942.0663145333388</v>
      </c>
    </row>
    <row r="541" spans="1:11" x14ac:dyDescent="0.25">
      <c r="A541" s="26">
        <v>491</v>
      </c>
      <c r="B541" s="82">
        <f t="shared" si="62"/>
        <v>0</v>
      </c>
      <c r="C541" s="58">
        <f t="shared" si="66"/>
        <v>104.50616427295054</v>
      </c>
      <c r="D541" s="83">
        <f t="shared" si="63"/>
        <v>445.77777777777789</v>
      </c>
      <c r="E541">
        <f t="shared" si="59"/>
        <v>0</v>
      </c>
      <c r="G541">
        <v>491</v>
      </c>
      <c r="H541" s="13">
        <f t="shared" si="64"/>
        <v>1.8572577375266519E-2</v>
      </c>
      <c r="I541">
        <f t="shared" si="65"/>
        <v>113.6252997642064</v>
      </c>
      <c r="J541">
        <f t="shared" si="60"/>
        <v>460.72072785767739</v>
      </c>
      <c r="K541" s="27">
        <f t="shared" si="61"/>
        <v>3942.4974167029122</v>
      </c>
    </row>
    <row r="542" spans="1:11" x14ac:dyDescent="0.25">
      <c r="A542" s="26">
        <v>492</v>
      </c>
      <c r="B542" s="82">
        <f t="shared" si="62"/>
        <v>0</v>
      </c>
      <c r="C542" s="58">
        <f t="shared" si="66"/>
        <v>104.50616427295054</v>
      </c>
      <c r="D542" s="83">
        <f t="shared" si="63"/>
        <v>445.77777777777789</v>
      </c>
      <c r="E542">
        <f t="shared" si="59"/>
        <v>0</v>
      </c>
      <c r="G542">
        <v>492</v>
      </c>
      <c r="H542" s="13">
        <f t="shared" si="64"/>
        <v>1.8572577375266519E-2</v>
      </c>
      <c r="I542">
        <f t="shared" si="65"/>
        <v>113.64387234158167</v>
      </c>
      <c r="J542">
        <f t="shared" si="60"/>
        <v>460.74591033249135</v>
      </c>
      <c r="K542" s="27">
        <f t="shared" si="61"/>
        <v>3942.9282609675429</v>
      </c>
    </row>
    <row r="543" spans="1:11" x14ac:dyDescent="0.25">
      <c r="A543" s="26">
        <v>493</v>
      </c>
      <c r="B543" s="82">
        <f t="shared" si="62"/>
        <v>0</v>
      </c>
      <c r="C543" s="58">
        <f t="shared" si="66"/>
        <v>104.50616427295054</v>
      </c>
      <c r="D543" s="83">
        <f t="shared" si="63"/>
        <v>445.77777777777789</v>
      </c>
      <c r="E543">
        <f t="shared" si="59"/>
        <v>0</v>
      </c>
      <c r="G543">
        <v>493</v>
      </c>
      <c r="H543" s="13">
        <f t="shared" si="64"/>
        <v>1.8572577375266519E-2</v>
      </c>
      <c r="I543">
        <f t="shared" si="65"/>
        <v>113.66244491895694</v>
      </c>
      <c r="J543">
        <f t="shared" si="60"/>
        <v>460.77107637151806</v>
      </c>
      <c r="K543" s="27">
        <f t="shared" si="61"/>
        <v>3943.3588476378864</v>
      </c>
    </row>
    <row r="544" spans="1:11" x14ac:dyDescent="0.25">
      <c r="A544" s="26">
        <v>494</v>
      </c>
      <c r="B544" s="82">
        <f t="shared" si="62"/>
        <v>0</v>
      </c>
      <c r="C544" s="58">
        <f t="shared" si="66"/>
        <v>104.50616427295054</v>
      </c>
      <c r="D544" s="83">
        <f t="shared" si="63"/>
        <v>445.77777777777789</v>
      </c>
      <c r="E544">
        <f t="shared" si="59"/>
        <v>0</v>
      </c>
      <c r="G544">
        <v>494</v>
      </c>
      <c r="H544" s="13">
        <f t="shared" si="64"/>
        <v>1.8572577375266519E-2</v>
      </c>
      <c r="I544">
        <f t="shared" si="65"/>
        <v>113.6810174963322</v>
      </c>
      <c r="J544">
        <f t="shared" si="60"/>
        <v>460.79622599557899</v>
      </c>
      <c r="K544" s="27">
        <f t="shared" si="61"/>
        <v>3943.789177023873</v>
      </c>
    </row>
    <row r="545" spans="1:11" x14ac:dyDescent="0.25">
      <c r="A545" s="26">
        <v>495</v>
      </c>
      <c r="B545" s="82">
        <f t="shared" si="62"/>
        <v>0</v>
      </c>
      <c r="C545" s="58">
        <f t="shared" si="66"/>
        <v>104.50616427295054</v>
      </c>
      <c r="D545" s="83">
        <f t="shared" si="63"/>
        <v>445.77777777777789</v>
      </c>
      <c r="E545">
        <f t="shared" si="59"/>
        <v>0</v>
      </c>
      <c r="G545">
        <v>495</v>
      </c>
      <c r="H545" s="13">
        <f t="shared" si="64"/>
        <v>1.8572577375266519E-2</v>
      </c>
      <c r="I545">
        <f t="shared" si="65"/>
        <v>113.69959007370747</v>
      </c>
      <c r="J545">
        <f t="shared" si="60"/>
        <v>460.8213592254466</v>
      </c>
      <c r="K545" s="27">
        <f t="shared" si="61"/>
        <v>3944.2192494347055</v>
      </c>
    </row>
    <row r="546" spans="1:11" x14ac:dyDescent="0.25">
      <c r="A546" s="26">
        <v>496</v>
      </c>
      <c r="B546" s="82">
        <f t="shared" si="62"/>
        <v>0</v>
      </c>
      <c r="C546" s="58">
        <f t="shared" si="66"/>
        <v>104.50616427295054</v>
      </c>
      <c r="D546" s="83">
        <f t="shared" si="63"/>
        <v>445.77777777777789</v>
      </c>
      <c r="E546">
        <f t="shared" si="59"/>
        <v>0</v>
      </c>
      <c r="G546">
        <v>496</v>
      </c>
      <c r="H546" s="13">
        <f t="shared" si="64"/>
        <v>1.8572577375266519E-2</v>
      </c>
      <c r="I546">
        <f t="shared" si="65"/>
        <v>113.71816265108274</v>
      </c>
      <c r="J546">
        <f t="shared" si="60"/>
        <v>460.84647608184497</v>
      </c>
      <c r="K546" s="27">
        <f t="shared" si="61"/>
        <v>3944.6490651788686</v>
      </c>
    </row>
    <row r="547" spans="1:11" x14ac:dyDescent="0.25">
      <c r="A547" s="26">
        <v>497</v>
      </c>
      <c r="B547" s="82">
        <f t="shared" si="62"/>
        <v>0</v>
      </c>
      <c r="C547" s="58">
        <f t="shared" si="66"/>
        <v>104.50616427295054</v>
      </c>
      <c r="D547" s="83">
        <f t="shared" si="63"/>
        <v>445.77777777777789</v>
      </c>
      <c r="E547">
        <f t="shared" si="59"/>
        <v>0</v>
      </c>
      <c r="G547">
        <v>497</v>
      </c>
      <c r="H547" s="13">
        <f t="shared" si="64"/>
        <v>1.8572577375266519E-2</v>
      </c>
      <c r="I547">
        <f t="shared" si="65"/>
        <v>113.736735228458</v>
      </c>
      <c r="J547">
        <f t="shared" si="60"/>
        <v>460.87157658544982</v>
      </c>
      <c r="K547" s="27">
        <f t="shared" si="61"/>
        <v>3945.0786245641243</v>
      </c>
    </row>
    <row r="548" spans="1:11" x14ac:dyDescent="0.25">
      <c r="A548" s="26">
        <v>498</v>
      </c>
      <c r="B548" s="82">
        <f t="shared" si="62"/>
        <v>0</v>
      </c>
      <c r="C548" s="58">
        <f t="shared" si="66"/>
        <v>104.50616427295054</v>
      </c>
      <c r="D548" s="83">
        <f t="shared" si="63"/>
        <v>445.77777777777789</v>
      </c>
      <c r="E548">
        <f t="shared" si="59"/>
        <v>0</v>
      </c>
      <c r="G548">
        <v>498</v>
      </c>
      <c r="H548" s="13">
        <f t="shared" si="64"/>
        <v>1.8572577375266519E-2</v>
      </c>
      <c r="I548">
        <f t="shared" si="65"/>
        <v>113.75530780583327</v>
      </c>
      <c r="J548">
        <f t="shared" si="60"/>
        <v>460.89666075688865</v>
      </c>
      <c r="K548" s="27">
        <f t="shared" si="61"/>
        <v>3945.5079278975186</v>
      </c>
    </row>
    <row r="549" spans="1:11" x14ac:dyDescent="0.25">
      <c r="A549" s="26">
        <v>499</v>
      </c>
      <c r="B549" s="82">
        <f t="shared" si="62"/>
        <v>0</v>
      </c>
      <c r="C549" s="58">
        <f t="shared" si="66"/>
        <v>104.50616427295054</v>
      </c>
      <c r="D549" s="83">
        <f t="shared" si="63"/>
        <v>445.77777777777789</v>
      </c>
      <c r="E549">
        <f t="shared" si="59"/>
        <v>0</v>
      </c>
      <c r="G549">
        <v>499</v>
      </c>
      <c r="H549" s="13">
        <f t="shared" si="64"/>
        <v>1.8572577375266519E-2</v>
      </c>
      <c r="I549">
        <f t="shared" si="65"/>
        <v>113.77388038320854</v>
      </c>
      <c r="J549">
        <f t="shared" si="60"/>
        <v>460.92172861674072</v>
      </c>
      <c r="K549" s="27">
        <f t="shared" si="61"/>
        <v>3945.9369754853801</v>
      </c>
    </row>
    <row r="550" spans="1:11" x14ac:dyDescent="0.25">
      <c r="A550" s="26">
        <v>500</v>
      </c>
      <c r="B550" s="82">
        <f t="shared" si="62"/>
        <v>0</v>
      </c>
      <c r="C550" s="58">
        <f t="shared" si="66"/>
        <v>104.50616427295054</v>
      </c>
      <c r="D550" s="83">
        <f t="shared" si="63"/>
        <v>445.77777777777789</v>
      </c>
      <c r="E550">
        <f t="shared" si="59"/>
        <v>0</v>
      </c>
      <c r="G550">
        <v>500</v>
      </c>
      <c r="H550" s="13">
        <f t="shared" si="64"/>
        <v>1.8572577375266519E-2</v>
      </c>
      <c r="I550">
        <f t="shared" si="65"/>
        <v>113.7924529605838</v>
      </c>
      <c r="J550">
        <f t="shared" si="60"/>
        <v>460.94678018553753</v>
      </c>
      <c r="K550" s="27">
        <f t="shared" si="61"/>
        <v>3946.3657676333278</v>
      </c>
    </row>
    <row r="551" spans="1:11" x14ac:dyDescent="0.25">
      <c r="A551" s="26">
        <v>501</v>
      </c>
      <c r="B551" s="82">
        <f t="shared" si="62"/>
        <v>0</v>
      </c>
      <c r="C551" s="58">
        <f t="shared" si="66"/>
        <v>104.50616427295054</v>
      </c>
      <c r="D551" s="83">
        <f t="shared" si="63"/>
        <v>445.77777777777789</v>
      </c>
      <c r="E551">
        <f t="shared" si="59"/>
        <v>0</v>
      </c>
      <c r="G551">
        <v>501</v>
      </c>
      <c r="H551" s="13">
        <f t="shared" si="64"/>
        <v>1.8572577375266519E-2</v>
      </c>
      <c r="I551">
        <f t="shared" si="65"/>
        <v>113.81102553795907</v>
      </c>
      <c r="J551">
        <f t="shared" si="60"/>
        <v>460.9718154837629</v>
      </c>
      <c r="K551" s="27">
        <f t="shared" si="61"/>
        <v>3946.7943046462665</v>
      </c>
    </row>
    <row r="552" spans="1:11" x14ac:dyDescent="0.25">
      <c r="A552" s="26">
        <v>502</v>
      </c>
      <c r="B552" s="82">
        <f t="shared" si="62"/>
        <v>0</v>
      </c>
      <c r="C552" s="58">
        <f t="shared" si="66"/>
        <v>104.50616427295054</v>
      </c>
      <c r="D552" s="83">
        <f t="shared" si="63"/>
        <v>445.77777777777789</v>
      </c>
      <c r="E552">
        <f t="shared" si="59"/>
        <v>0</v>
      </c>
      <c r="G552">
        <v>502</v>
      </c>
      <c r="H552" s="13">
        <f t="shared" si="64"/>
        <v>1.8572577375266519E-2</v>
      </c>
      <c r="I552">
        <f t="shared" si="65"/>
        <v>113.82959811533433</v>
      </c>
      <c r="J552">
        <f t="shared" si="60"/>
        <v>460.99683453185293</v>
      </c>
      <c r="K552" s="27">
        <f t="shared" si="61"/>
        <v>3947.2225868283981</v>
      </c>
    </row>
    <row r="553" spans="1:11" x14ac:dyDescent="0.25">
      <c r="A553" s="26">
        <v>503</v>
      </c>
      <c r="B553" s="82">
        <f t="shared" si="62"/>
        <v>0</v>
      </c>
      <c r="C553" s="58">
        <f t="shared" si="66"/>
        <v>104.50616427295054</v>
      </c>
      <c r="D553" s="83">
        <f t="shared" si="63"/>
        <v>445.77777777777789</v>
      </c>
      <c r="E553">
        <f t="shared" si="59"/>
        <v>0</v>
      </c>
      <c r="G553">
        <v>503</v>
      </c>
      <c r="H553" s="13">
        <f t="shared" si="64"/>
        <v>1.8572577375266519E-2</v>
      </c>
      <c r="I553">
        <f t="shared" si="65"/>
        <v>113.8481706927096</v>
      </c>
      <c r="J553">
        <f t="shared" si="60"/>
        <v>461.02183735019622</v>
      </c>
      <c r="K553" s="27">
        <f t="shared" si="61"/>
        <v>3947.6506144832115</v>
      </c>
    </row>
    <row r="554" spans="1:11" x14ac:dyDescent="0.25">
      <c r="A554" s="26">
        <v>504</v>
      </c>
      <c r="B554" s="82">
        <f t="shared" si="62"/>
        <v>0</v>
      </c>
      <c r="C554" s="58">
        <f t="shared" si="66"/>
        <v>104.50616427295054</v>
      </c>
      <c r="D554" s="83">
        <f t="shared" si="63"/>
        <v>445.77777777777789</v>
      </c>
      <c r="E554">
        <f t="shared" si="59"/>
        <v>0</v>
      </c>
      <c r="G554">
        <v>504</v>
      </c>
      <c r="H554" s="13">
        <f t="shared" si="64"/>
        <v>1.8572577375266519E-2</v>
      </c>
      <c r="I554">
        <f t="shared" si="65"/>
        <v>113.86674327008487</v>
      </c>
      <c r="J554">
        <f t="shared" si="60"/>
        <v>461.04682395913426</v>
      </c>
      <c r="K554" s="27">
        <f t="shared" si="61"/>
        <v>3948.0783879135001</v>
      </c>
    </row>
    <row r="555" spans="1:11" x14ac:dyDescent="0.25">
      <c r="A555" s="26">
        <v>505</v>
      </c>
      <c r="B555" s="82">
        <f t="shared" si="62"/>
        <v>0</v>
      </c>
      <c r="C555" s="58">
        <f t="shared" si="66"/>
        <v>104.50616427295054</v>
      </c>
      <c r="D555" s="83">
        <f t="shared" si="63"/>
        <v>445.77777777777789</v>
      </c>
      <c r="E555">
        <f t="shared" si="59"/>
        <v>0</v>
      </c>
      <c r="G555">
        <v>505</v>
      </c>
      <c r="H555" s="13">
        <f t="shared" si="64"/>
        <v>1.8572577375266519E-2</v>
      </c>
      <c r="I555">
        <f t="shared" si="65"/>
        <v>113.88531584746013</v>
      </c>
      <c r="J555">
        <f t="shared" si="60"/>
        <v>461.07179437896133</v>
      </c>
      <c r="K555" s="27">
        <f t="shared" si="61"/>
        <v>3948.5059074213491</v>
      </c>
    </row>
    <row r="556" spans="1:11" x14ac:dyDescent="0.25">
      <c r="A556" s="26">
        <v>506</v>
      </c>
      <c r="B556" s="82">
        <f t="shared" si="62"/>
        <v>0</v>
      </c>
      <c r="C556" s="58">
        <f t="shared" si="66"/>
        <v>104.50616427295054</v>
      </c>
      <c r="D556" s="83">
        <f t="shared" si="63"/>
        <v>445.77777777777789</v>
      </c>
      <c r="E556">
        <f t="shared" si="59"/>
        <v>0</v>
      </c>
      <c r="G556">
        <v>506</v>
      </c>
      <c r="H556" s="13">
        <f t="shared" si="64"/>
        <v>1.8572577375266519E-2</v>
      </c>
      <c r="I556">
        <f t="shared" si="65"/>
        <v>113.9038884248354</v>
      </c>
      <c r="J556">
        <f t="shared" si="60"/>
        <v>461.0967486299246</v>
      </c>
      <c r="K556" s="27">
        <f t="shared" si="61"/>
        <v>3948.9331733081476</v>
      </c>
    </row>
    <row r="557" spans="1:11" x14ac:dyDescent="0.25">
      <c r="A557" s="26">
        <v>507</v>
      </c>
      <c r="B557" s="82">
        <f t="shared" si="62"/>
        <v>0</v>
      </c>
      <c r="C557" s="58">
        <f t="shared" si="66"/>
        <v>104.50616427295054</v>
      </c>
      <c r="D557" s="83">
        <f t="shared" si="63"/>
        <v>445.77777777777789</v>
      </c>
      <c r="E557">
        <f t="shared" si="59"/>
        <v>0</v>
      </c>
      <c r="G557">
        <v>507</v>
      </c>
      <c r="H557" s="13">
        <f t="shared" si="64"/>
        <v>1.8572577375266519E-2</v>
      </c>
      <c r="I557">
        <f t="shared" si="65"/>
        <v>113.92246100221067</v>
      </c>
      <c r="J557">
        <f t="shared" si="60"/>
        <v>461.1216867322247</v>
      </c>
      <c r="K557" s="27">
        <f t="shared" si="61"/>
        <v>3949.3601858745897</v>
      </c>
    </row>
    <row r="558" spans="1:11" x14ac:dyDescent="0.25">
      <c r="A558" s="26">
        <v>508</v>
      </c>
      <c r="B558" s="82">
        <f t="shared" si="62"/>
        <v>0</v>
      </c>
      <c r="C558" s="58">
        <f t="shared" si="66"/>
        <v>104.50616427295054</v>
      </c>
      <c r="D558" s="83">
        <f t="shared" si="63"/>
        <v>445.77777777777789</v>
      </c>
      <c r="E558">
        <f t="shared" si="59"/>
        <v>0</v>
      </c>
      <c r="G558">
        <v>508</v>
      </c>
      <c r="H558" s="13">
        <f t="shared" si="64"/>
        <v>1.8572577375266519E-2</v>
      </c>
      <c r="I558">
        <f t="shared" si="65"/>
        <v>113.94103357958593</v>
      </c>
      <c r="J558">
        <f t="shared" si="60"/>
        <v>461.14660870601523</v>
      </c>
      <c r="K558" s="27">
        <f t="shared" si="61"/>
        <v>3949.7869454206716</v>
      </c>
    </row>
    <row r="559" spans="1:11" x14ac:dyDescent="0.25">
      <c r="A559" s="26">
        <v>509</v>
      </c>
      <c r="B559" s="82">
        <f t="shared" si="62"/>
        <v>0</v>
      </c>
      <c r="C559" s="58">
        <f t="shared" si="66"/>
        <v>104.50616427295054</v>
      </c>
      <c r="D559" s="83">
        <f t="shared" si="63"/>
        <v>445.77777777777789</v>
      </c>
      <c r="E559">
        <f t="shared" si="59"/>
        <v>0</v>
      </c>
      <c r="G559">
        <v>509</v>
      </c>
      <c r="H559" s="13">
        <f t="shared" si="64"/>
        <v>1.8572577375266519E-2</v>
      </c>
      <c r="I559">
        <f t="shared" si="65"/>
        <v>113.9596061569612</v>
      </c>
      <c r="J559">
        <f t="shared" si="60"/>
        <v>461.17151457140358</v>
      </c>
      <c r="K559" s="27">
        <f t="shared" si="61"/>
        <v>3950.2134522457</v>
      </c>
    </row>
    <row r="560" spans="1:11" x14ac:dyDescent="0.25">
      <c r="A560" s="26">
        <v>510</v>
      </c>
      <c r="B560" s="82">
        <f t="shared" si="62"/>
        <v>0</v>
      </c>
      <c r="C560" s="58">
        <f t="shared" si="66"/>
        <v>104.50616427295054</v>
      </c>
      <c r="D560" s="83">
        <f t="shared" si="63"/>
        <v>445.77777777777789</v>
      </c>
      <c r="E560">
        <f t="shared" si="59"/>
        <v>0</v>
      </c>
      <c r="G560">
        <v>510</v>
      </c>
      <c r="H560" s="13">
        <f t="shared" si="64"/>
        <v>1.8572577375266519E-2</v>
      </c>
      <c r="I560">
        <f t="shared" si="65"/>
        <v>113.97817873433647</v>
      </c>
      <c r="J560">
        <f t="shared" si="60"/>
        <v>461.19640434845064</v>
      </c>
      <c r="K560" s="27">
        <f t="shared" si="61"/>
        <v>3950.6397066482909</v>
      </c>
    </row>
    <row r="561" spans="1:11" x14ac:dyDescent="0.25">
      <c r="A561" s="26">
        <v>511</v>
      </c>
      <c r="B561" s="82">
        <f t="shared" si="62"/>
        <v>0</v>
      </c>
      <c r="C561" s="58">
        <f t="shared" si="66"/>
        <v>104.50616427295054</v>
      </c>
      <c r="D561" s="83">
        <f t="shared" si="63"/>
        <v>445.77777777777789</v>
      </c>
      <c r="E561">
        <f t="shared" si="59"/>
        <v>0</v>
      </c>
      <c r="G561">
        <v>511</v>
      </c>
      <c r="H561" s="13">
        <f t="shared" si="64"/>
        <v>1.8572577375266519E-2</v>
      </c>
      <c r="I561">
        <f t="shared" si="65"/>
        <v>113.99675131171173</v>
      </c>
      <c r="J561">
        <f t="shared" si="60"/>
        <v>461.22127805717099</v>
      </c>
      <c r="K561" s="27">
        <f t="shared" si="61"/>
        <v>3951.0657089263696</v>
      </c>
    </row>
    <row r="562" spans="1:11" x14ac:dyDescent="0.25">
      <c r="A562" s="26">
        <v>512</v>
      </c>
      <c r="B562" s="82">
        <f t="shared" si="62"/>
        <v>0</v>
      </c>
      <c r="C562" s="58">
        <f t="shared" si="66"/>
        <v>104.50616427295054</v>
      </c>
      <c r="D562" s="83">
        <f t="shared" si="63"/>
        <v>445.77777777777789</v>
      </c>
      <c r="E562">
        <f t="shared" si="59"/>
        <v>0</v>
      </c>
      <c r="G562">
        <v>512</v>
      </c>
      <c r="H562" s="13">
        <f t="shared" si="64"/>
        <v>1.8572577375266519E-2</v>
      </c>
      <c r="I562">
        <f t="shared" si="65"/>
        <v>114.015323889087</v>
      </c>
      <c r="J562">
        <f t="shared" si="60"/>
        <v>461.24613571753326</v>
      </c>
      <c r="K562" s="27">
        <f t="shared" si="61"/>
        <v>3951.4914593771809</v>
      </c>
    </row>
    <row r="563" spans="1:11" x14ac:dyDescent="0.25">
      <c r="A563" s="26">
        <v>513</v>
      </c>
      <c r="B563" s="82">
        <f t="shared" si="62"/>
        <v>0</v>
      </c>
      <c r="C563" s="58">
        <f t="shared" si="66"/>
        <v>104.50616427295054</v>
      </c>
      <c r="D563" s="83">
        <f t="shared" si="63"/>
        <v>445.77777777777789</v>
      </c>
      <c r="E563">
        <f t="shared" ref="E563:E626" si="67">((D563^2)+(D563*D564)+(D564^2))*B564/3</f>
        <v>0</v>
      </c>
      <c r="G563">
        <v>513</v>
      </c>
      <c r="H563" s="13">
        <f t="shared" si="64"/>
        <v>1.8572577375266519E-2</v>
      </c>
      <c r="I563">
        <f t="shared" si="65"/>
        <v>114.03389646646227</v>
      </c>
      <c r="J563">
        <f t="shared" ref="J563:J626" si="68">IF($G$28&lt;$C$14,0,((($C$11^2)-((I563-$C$13)^2))^0.5)+$C$16)</f>
        <v>461.27097734946017</v>
      </c>
      <c r="K563" s="27">
        <f t="shared" ref="K563:K626" si="69">((J563^2)+(J563*J564)+(J564^2))*H564/3</f>
        <v>3951.916958297285</v>
      </c>
    </row>
    <row r="564" spans="1:11" x14ac:dyDescent="0.25">
      <c r="A564" s="26">
        <v>514</v>
      </c>
      <c r="B564" s="82">
        <f t="shared" ref="B564:B627" si="70">C564-C563</f>
        <v>0</v>
      </c>
      <c r="C564" s="58">
        <f t="shared" si="66"/>
        <v>104.50616427295054</v>
      </c>
      <c r="D564" s="83">
        <f t="shared" ref="D564:D627" si="71">IF($G$28&lt;$C$14,0,((($C$11^2)-((C564-$C$13)^2))^0.5)+$C$16)</f>
        <v>445.77777777777789</v>
      </c>
      <c r="E564">
        <f t="shared" si="67"/>
        <v>0</v>
      </c>
      <c r="G564">
        <v>514</v>
      </c>
      <c r="H564" s="13">
        <f t="shared" ref="H564:H627" si="72">I564-I563</f>
        <v>1.8572577375266519E-2</v>
      </c>
      <c r="I564">
        <f t="shared" ref="I564:I627" si="73">($G$27-$C$14)/2000+I563</f>
        <v>114.05246904383753</v>
      </c>
      <c r="J564">
        <f t="shared" si="68"/>
        <v>461.29580297282848</v>
      </c>
      <c r="K564" s="27">
        <f t="shared" si="69"/>
        <v>3952.3422059825571</v>
      </c>
    </row>
    <row r="565" spans="1:11" x14ac:dyDescent="0.25">
      <c r="A565" s="26">
        <v>515</v>
      </c>
      <c r="B565" s="82">
        <f t="shared" si="70"/>
        <v>0</v>
      </c>
      <c r="C565" s="58">
        <f t="shared" si="66"/>
        <v>104.50616427295054</v>
      </c>
      <c r="D565" s="83">
        <f t="shared" si="71"/>
        <v>445.77777777777789</v>
      </c>
      <c r="E565">
        <f t="shared" si="67"/>
        <v>0</v>
      </c>
      <c r="G565">
        <v>515</v>
      </c>
      <c r="H565" s="13">
        <f t="shared" si="72"/>
        <v>1.8572577375266519E-2</v>
      </c>
      <c r="I565">
        <f t="shared" si="73"/>
        <v>114.0710416212128</v>
      </c>
      <c r="J565">
        <f t="shared" si="68"/>
        <v>461.32061260746957</v>
      </c>
      <c r="K565" s="27">
        <f t="shared" si="69"/>
        <v>3952.7672027281983</v>
      </c>
    </row>
    <row r="566" spans="1:11" x14ac:dyDescent="0.25">
      <c r="A566" s="26">
        <v>516</v>
      </c>
      <c r="B566" s="82">
        <f t="shared" si="70"/>
        <v>0</v>
      </c>
      <c r="C566" s="58">
        <f t="shared" si="66"/>
        <v>104.50616427295054</v>
      </c>
      <c r="D566" s="83">
        <f t="shared" si="71"/>
        <v>445.77777777777789</v>
      </c>
      <c r="E566">
        <f t="shared" si="67"/>
        <v>0</v>
      </c>
      <c r="G566">
        <v>516</v>
      </c>
      <c r="H566" s="13">
        <f t="shared" si="72"/>
        <v>1.8572577375266519E-2</v>
      </c>
      <c r="I566">
        <f t="shared" si="73"/>
        <v>114.08961419858807</v>
      </c>
      <c r="J566">
        <f t="shared" si="68"/>
        <v>461.34540627316915</v>
      </c>
      <c r="K566" s="27">
        <f t="shared" si="69"/>
        <v>3953.1919488287299</v>
      </c>
    </row>
    <row r="567" spans="1:11" x14ac:dyDescent="0.25">
      <c r="A567" s="26">
        <v>517</v>
      </c>
      <c r="B567" s="82">
        <f t="shared" si="70"/>
        <v>0</v>
      </c>
      <c r="C567" s="58">
        <f t="shared" si="66"/>
        <v>104.50616427295054</v>
      </c>
      <c r="D567" s="83">
        <f t="shared" si="71"/>
        <v>445.77777777777789</v>
      </c>
      <c r="E567">
        <f t="shared" si="67"/>
        <v>0</v>
      </c>
      <c r="G567">
        <v>517</v>
      </c>
      <c r="H567" s="13">
        <f t="shared" si="72"/>
        <v>1.8572577375266519E-2</v>
      </c>
      <c r="I567">
        <f t="shared" si="73"/>
        <v>114.10818677596333</v>
      </c>
      <c r="J567">
        <f t="shared" si="68"/>
        <v>461.37018398966768</v>
      </c>
      <c r="K567" s="27">
        <f t="shared" si="69"/>
        <v>3953.6164445780009</v>
      </c>
    </row>
    <row r="568" spans="1:11" x14ac:dyDescent="0.25">
      <c r="A568" s="26">
        <v>518</v>
      </c>
      <c r="B568" s="82">
        <f t="shared" si="70"/>
        <v>0</v>
      </c>
      <c r="C568" s="58">
        <f t="shared" si="66"/>
        <v>104.50616427295054</v>
      </c>
      <c r="D568" s="83">
        <f t="shared" si="71"/>
        <v>445.77777777777789</v>
      </c>
      <c r="E568">
        <f t="shared" si="67"/>
        <v>0</v>
      </c>
      <c r="G568">
        <v>518</v>
      </c>
      <c r="H568" s="13">
        <f t="shared" si="72"/>
        <v>1.8572577375266519E-2</v>
      </c>
      <c r="I568">
        <f t="shared" si="73"/>
        <v>114.1267593533386</v>
      </c>
      <c r="J568">
        <f t="shared" si="68"/>
        <v>461.39494577666039</v>
      </c>
      <c r="K568" s="27">
        <f t="shared" si="69"/>
        <v>3954.0406902691852</v>
      </c>
    </row>
    <row r="569" spans="1:11" x14ac:dyDescent="0.25">
      <c r="A569" s="26">
        <v>519</v>
      </c>
      <c r="B569" s="82">
        <f t="shared" si="70"/>
        <v>0</v>
      </c>
      <c r="C569" s="58">
        <f t="shared" si="66"/>
        <v>104.50616427295054</v>
      </c>
      <c r="D569" s="83">
        <f t="shared" si="71"/>
        <v>445.77777777777789</v>
      </c>
      <c r="E569">
        <f t="shared" si="67"/>
        <v>0</v>
      </c>
      <c r="G569">
        <v>519</v>
      </c>
      <c r="H569" s="13">
        <f t="shared" si="72"/>
        <v>1.8572577375266519E-2</v>
      </c>
      <c r="I569">
        <f t="shared" si="73"/>
        <v>114.14533193071387</v>
      </c>
      <c r="J569">
        <f t="shared" si="68"/>
        <v>461.41969165379754</v>
      </c>
      <c r="K569" s="27">
        <f t="shared" si="69"/>
        <v>3954.4646861947895</v>
      </c>
    </row>
    <row r="570" spans="1:11" x14ac:dyDescent="0.25">
      <c r="A570" s="26">
        <v>520</v>
      </c>
      <c r="B570" s="82">
        <f t="shared" si="70"/>
        <v>0</v>
      </c>
      <c r="C570" s="58">
        <f t="shared" si="66"/>
        <v>104.50616427295054</v>
      </c>
      <c r="D570" s="83">
        <f t="shared" si="71"/>
        <v>445.77777777777789</v>
      </c>
      <c r="E570">
        <f t="shared" si="67"/>
        <v>0</v>
      </c>
      <c r="G570">
        <v>520</v>
      </c>
      <c r="H570" s="13">
        <f t="shared" si="72"/>
        <v>1.8572577375266519E-2</v>
      </c>
      <c r="I570">
        <f t="shared" si="73"/>
        <v>114.16390450808913</v>
      </c>
      <c r="J570">
        <f t="shared" si="68"/>
        <v>461.44442164068437</v>
      </c>
      <c r="K570" s="27">
        <f t="shared" si="69"/>
        <v>3954.8884326466505</v>
      </c>
    </row>
    <row r="571" spans="1:11" x14ac:dyDescent="0.25">
      <c r="A571" s="26">
        <v>521</v>
      </c>
      <c r="B571" s="82">
        <f t="shared" si="70"/>
        <v>0</v>
      </c>
      <c r="C571" s="58">
        <f t="shared" si="66"/>
        <v>104.50616427295054</v>
      </c>
      <c r="D571" s="83">
        <f t="shared" si="71"/>
        <v>445.77777777777789</v>
      </c>
      <c r="E571">
        <f t="shared" si="67"/>
        <v>0</v>
      </c>
      <c r="G571">
        <v>521</v>
      </c>
      <c r="H571" s="13">
        <f t="shared" si="72"/>
        <v>1.8572577375266519E-2</v>
      </c>
      <c r="I571">
        <f t="shared" si="73"/>
        <v>114.1824770854644</v>
      </c>
      <c r="J571">
        <f t="shared" si="68"/>
        <v>461.46913575688137</v>
      </c>
      <c r="K571" s="27">
        <f t="shared" si="69"/>
        <v>3955.3119299159375</v>
      </c>
    </row>
    <row r="572" spans="1:11" x14ac:dyDescent="0.25">
      <c r="A572" s="26">
        <v>522</v>
      </c>
      <c r="B572" s="82">
        <f t="shared" si="70"/>
        <v>0</v>
      </c>
      <c r="C572" s="58">
        <f t="shared" si="66"/>
        <v>104.50616427295054</v>
      </c>
      <c r="D572" s="83">
        <f t="shared" si="71"/>
        <v>445.77777777777789</v>
      </c>
      <c r="E572">
        <f t="shared" si="67"/>
        <v>0</v>
      </c>
      <c r="G572">
        <v>522</v>
      </c>
      <c r="H572" s="13">
        <f t="shared" si="72"/>
        <v>1.8572577375266519E-2</v>
      </c>
      <c r="I572">
        <f t="shared" si="73"/>
        <v>114.20104966283967</v>
      </c>
      <c r="J572">
        <f t="shared" si="68"/>
        <v>461.4938340219046</v>
      </c>
      <c r="K572" s="27">
        <f t="shared" si="69"/>
        <v>3955.7351782931623</v>
      </c>
    </row>
    <row r="573" spans="1:11" x14ac:dyDescent="0.25">
      <c r="A573" s="26">
        <v>523</v>
      </c>
      <c r="B573" s="82">
        <f t="shared" si="70"/>
        <v>0</v>
      </c>
      <c r="C573" s="58">
        <f t="shared" si="66"/>
        <v>104.50616427295054</v>
      </c>
      <c r="D573" s="83">
        <f t="shared" si="71"/>
        <v>445.77777777777789</v>
      </c>
      <c r="E573">
        <f t="shared" si="67"/>
        <v>0</v>
      </c>
      <c r="G573">
        <v>523</v>
      </c>
      <c r="H573" s="13">
        <f t="shared" si="72"/>
        <v>1.8572577375266519E-2</v>
      </c>
      <c r="I573">
        <f t="shared" si="73"/>
        <v>114.21962224021493</v>
      </c>
      <c r="J573">
        <f t="shared" si="68"/>
        <v>461.51851645522544</v>
      </c>
      <c r="K573" s="27">
        <f t="shared" si="69"/>
        <v>3956.1581780681663</v>
      </c>
    </row>
    <row r="574" spans="1:11" x14ac:dyDescent="0.25">
      <c r="A574" s="26">
        <v>524</v>
      </c>
      <c r="B574" s="82">
        <f t="shared" si="70"/>
        <v>0</v>
      </c>
      <c r="C574" s="58">
        <f t="shared" si="66"/>
        <v>104.50616427295054</v>
      </c>
      <c r="D574" s="83">
        <f t="shared" si="71"/>
        <v>445.77777777777789</v>
      </c>
      <c r="E574">
        <f t="shared" si="67"/>
        <v>0</v>
      </c>
      <c r="G574">
        <v>524</v>
      </c>
      <c r="H574" s="13">
        <f t="shared" si="72"/>
        <v>1.8572577375266519E-2</v>
      </c>
      <c r="I574">
        <f t="shared" si="73"/>
        <v>114.2381948175902</v>
      </c>
      <c r="J574">
        <f t="shared" si="68"/>
        <v>461.54318307627102</v>
      </c>
      <c r="K574" s="27">
        <f t="shared" si="69"/>
        <v>3956.5809295301383</v>
      </c>
    </row>
    <row r="575" spans="1:11" x14ac:dyDescent="0.25">
      <c r="A575" s="26">
        <v>525</v>
      </c>
      <c r="B575" s="82">
        <f t="shared" si="70"/>
        <v>0</v>
      </c>
      <c r="C575" s="58">
        <f t="shared" si="66"/>
        <v>104.50616427295054</v>
      </c>
      <c r="D575" s="83">
        <f t="shared" si="71"/>
        <v>445.77777777777789</v>
      </c>
      <c r="E575">
        <f t="shared" si="67"/>
        <v>0</v>
      </c>
      <c r="G575">
        <v>525</v>
      </c>
      <c r="H575" s="13">
        <f t="shared" si="72"/>
        <v>1.8572577375266519E-2</v>
      </c>
      <c r="I575">
        <f t="shared" si="73"/>
        <v>114.25676739496546</v>
      </c>
      <c r="J575">
        <f t="shared" si="68"/>
        <v>461.56783390442433</v>
      </c>
      <c r="K575" s="27">
        <f t="shared" si="69"/>
        <v>3957.0034329676059</v>
      </c>
    </row>
    <row r="576" spans="1:11" x14ac:dyDescent="0.25">
      <c r="A576" s="26">
        <v>526</v>
      </c>
      <c r="B576" s="82">
        <f t="shared" si="70"/>
        <v>0</v>
      </c>
      <c r="C576" s="58">
        <f t="shared" si="66"/>
        <v>104.50616427295054</v>
      </c>
      <c r="D576" s="83">
        <f t="shared" si="71"/>
        <v>445.77777777777789</v>
      </c>
      <c r="E576">
        <f t="shared" si="67"/>
        <v>0</v>
      </c>
      <c r="G576">
        <v>526</v>
      </c>
      <c r="H576" s="13">
        <f t="shared" si="72"/>
        <v>1.8572577375266519E-2</v>
      </c>
      <c r="I576">
        <f t="shared" si="73"/>
        <v>114.27533997234073</v>
      </c>
      <c r="J576">
        <f t="shared" si="68"/>
        <v>461.59246895902425</v>
      </c>
      <c r="K576" s="27">
        <f t="shared" si="69"/>
        <v>3957.4256886684434</v>
      </c>
    </row>
    <row r="577" spans="1:11" x14ac:dyDescent="0.25">
      <c r="A577" s="26">
        <v>527</v>
      </c>
      <c r="B577" s="82">
        <f t="shared" si="70"/>
        <v>0</v>
      </c>
      <c r="C577" s="58">
        <f t="shared" si="66"/>
        <v>104.50616427295054</v>
      </c>
      <c r="D577" s="83">
        <f t="shared" si="71"/>
        <v>445.77777777777789</v>
      </c>
      <c r="E577">
        <f t="shared" si="67"/>
        <v>0</v>
      </c>
      <c r="G577">
        <v>527</v>
      </c>
      <c r="H577" s="13">
        <f t="shared" si="72"/>
        <v>1.8572577375266519E-2</v>
      </c>
      <c r="I577">
        <f t="shared" si="73"/>
        <v>114.293912549716</v>
      </c>
      <c r="J577">
        <f t="shared" si="68"/>
        <v>461.61708825936569</v>
      </c>
      <c r="K577" s="27">
        <f t="shared" si="69"/>
        <v>3957.8476969198696</v>
      </c>
    </row>
    <row r="578" spans="1:11" x14ac:dyDescent="0.25">
      <c r="A578" s="26">
        <v>528</v>
      </c>
      <c r="B578" s="82">
        <f t="shared" si="70"/>
        <v>0</v>
      </c>
      <c r="C578" s="58">
        <f t="shared" si="66"/>
        <v>104.50616427295054</v>
      </c>
      <c r="D578" s="83">
        <f t="shared" si="71"/>
        <v>445.77777777777789</v>
      </c>
      <c r="E578">
        <f t="shared" si="67"/>
        <v>0</v>
      </c>
      <c r="G578">
        <v>528</v>
      </c>
      <c r="H578" s="13">
        <f t="shared" si="72"/>
        <v>1.8572577375266519E-2</v>
      </c>
      <c r="I578">
        <f t="shared" si="73"/>
        <v>114.31248512709126</v>
      </c>
      <c r="J578">
        <f t="shared" si="68"/>
        <v>461.64169182469993</v>
      </c>
      <c r="K578" s="27">
        <f t="shared" si="69"/>
        <v>3958.269458008454</v>
      </c>
    </row>
    <row r="579" spans="1:11" x14ac:dyDescent="0.25">
      <c r="A579" s="26">
        <v>529</v>
      </c>
      <c r="B579" s="82">
        <f t="shared" si="70"/>
        <v>0</v>
      </c>
      <c r="C579" s="58">
        <f t="shared" si="66"/>
        <v>104.50616427295054</v>
      </c>
      <c r="D579" s="83">
        <f t="shared" si="71"/>
        <v>445.77777777777789</v>
      </c>
      <c r="E579">
        <f t="shared" si="67"/>
        <v>0</v>
      </c>
      <c r="G579">
        <v>529</v>
      </c>
      <c r="H579" s="13">
        <f t="shared" si="72"/>
        <v>1.8572577375266519E-2</v>
      </c>
      <c r="I579">
        <f t="shared" si="73"/>
        <v>114.33105770446653</v>
      </c>
      <c r="J579">
        <f t="shared" si="68"/>
        <v>461.6662796742346</v>
      </c>
      <c r="K579" s="27">
        <f t="shared" si="69"/>
        <v>3958.6909722201167</v>
      </c>
    </row>
    <row r="580" spans="1:11" x14ac:dyDescent="0.25">
      <c r="A580" s="26">
        <v>530</v>
      </c>
      <c r="B580" s="82">
        <f t="shared" si="70"/>
        <v>0</v>
      </c>
      <c r="C580" s="58">
        <f t="shared" si="66"/>
        <v>104.50616427295054</v>
      </c>
      <c r="D580" s="83">
        <f t="shared" si="71"/>
        <v>445.77777777777789</v>
      </c>
      <c r="E580">
        <f t="shared" si="67"/>
        <v>0</v>
      </c>
      <c r="G580">
        <v>530</v>
      </c>
      <c r="H580" s="13">
        <f t="shared" si="72"/>
        <v>1.8572577375266519E-2</v>
      </c>
      <c r="I580">
        <f t="shared" si="73"/>
        <v>114.3496302818418</v>
      </c>
      <c r="J580">
        <f t="shared" si="68"/>
        <v>461.69085182713377</v>
      </c>
      <c r="K580" s="27">
        <f t="shared" si="69"/>
        <v>3959.1122398401299</v>
      </c>
    </row>
    <row r="581" spans="1:11" x14ac:dyDescent="0.25">
      <c r="A581" s="26">
        <v>531</v>
      </c>
      <c r="B581" s="82">
        <f t="shared" si="70"/>
        <v>0</v>
      </c>
      <c r="C581" s="58">
        <f t="shared" si="66"/>
        <v>104.50616427295054</v>
      </c>
      <c r="D581" s="83">
        <f t="shared" si="71"/>
        <v>445.77777777777789</v>
      </c>
      <c r="E581">
        <f t="shared" si="67"/>
        <v>0</v>
      </c>
      <c r="G581">
        <v>531</v>
      </c>
      <c r="H581" s="13">
        <f t="shared" si="72"/>
        <v>1.8572577375266519E-2</v>
      </c>
      <c r="I581">
        <f t="shared" si="73"/>
        <v>114.36820285921706</v>
      </c>
      <c r="J581">
        <f t="shared" si="68"/>
        <v>461.7154083025182</v>
      </c>
      <c r="K581" s="27">
        <f t="shared" si="69"/>
        <v>3959.5332611531217</v>
      </c>
    </row>
    <row r="582" spans="1:11" x14ac:dyDescent="0.25">
      <c r="A582" s="26">
        <v>532</v>
      </c>
      <c r="B582" s="82">
        <f t="shared" si="70"/>
        <v>0</v>
      </c>
      <c r="C582" s="58">
        <f t="shared" si="66"/>
        <v>104.50616427295054</v>
      </c>
      <c r="D582" s="83">
        <f t="shared" si="71"/>
        <v>445.77777777777789</v>
      </c>
      <c r="E582">
        <f t="shared" si="67"/>
        <v>0</v>
      </c>
      <c r="G582">
        <v>532</v>
      </c>
      <c r="H582" s="13">
        <f t="shared" si="72"/>
        <v>1.8572577375266519E-2</v>
      </c>
      <c r="I582">
        <f t="shared" si="73"/>
        <v>114.38677543659233</v>
      </c>
      <c r="J582">
        <f t="shared" si="68"/>
        <v>461.73994911946545</v>
      </c>
      <c r="K582" s="27">
        <f t="shared" si="69"/>
        <v>3959.9540364430777</v>
      </c>
    </row>
    <row r="583" spans="1:11" x14ac:dyDescent="0.25">
      <c r="A583" s="26">
        <v>533</v>
      </c>
      <c r="B583" s="82">
        <f t="shared" si="70"/>
        <v>0</v>
      </c>
      <c r="C583" s="58">
        <f t="shared" si="66"/>
        <v>104.50616427295054</v>
      </c>
      <c r="D583" s="83">
        <f t="shared" si="71"/>
        <v>445.77777777777789</v>
      </c>
      <c r="E583">
        <f t="shared" si="67"/>
        <v>0</v>
      </c>
      <c r="G583">
        <v>533</v>
      </c>
      <c r="H583" s="13">
        <f t="shared" si="72"/>
        <v>1.8572577375266519E-2</v>
      </c>
      <c r="I583">
        <f t="shared" si="73"/>
        <v>114.4053480139676</v>
      </c>
      <c r="J583">
        <f t="shared" si="68"/>
        <v>461.76447429700994</v>
      </c>
      <c r="K583" s="27">
        <f t="shared" si="69"/>
        <v>3960.3745659933397</v>
      </c>
    </row>
    <row r="584" spans="1:11" x14ac:dyDescent="0.25">
      <c r="A584" s="26">
        <v>534</v>
      </c>
      <c r="B584" s="82">
        <f t="shared" si="70"/>
        <v>0</v>
      </c>
      <c r="C584" s="58">
        <f t="shared" si="66"/>
        <v>104.50616427295054</v>
      </c>
      <c r="D584" s="83">
        <f t="shared" si="71"/>
        <v>445.77777777777789</v>
      </c>
      <c r="E584">
        <f t="shared" si="67"/>
        <v>0</v>
      </c>
      <c r="G584">
        <v>534</v>
      </c>
      <c r="H584" s="13">
        <f t="shared" si="72"/>
        <v>1.8572577375266519E-2</v>
      </c>
      <c r="I584">
        <f t="shared" si="73"/>
        <v>114.42392059134286</v>
      </c>
      <c r="J584">
        <f t="shared" si="68"/>
        <v>461.78898385414328</v>
      </c>
      <c r="K584" s="27">
        <f t="shared" si="69"/>
        <v>3960.7948500866132</v>
      </c>
    </row>
    <row r="585" spans="1:11" x14ac:dyDescent="0.25">
      <c r="A585" s="26">
        <v>535</v>
      </c>
      <c r="B585" s="82">
        <f t="shared" si="70"/>
        <v>0</v>
      </c>
      <c r="C585" s="58">
        <f t="shared" si="66"/>
        <v>104.50616427295054</v>
      </c>
      <c r="D585" s="83">
        <f t="shared" si="71"/>
        <v>445.77777777777789</v>
      </c>
      <c r="E585">
        <f t="shared" si="67"/>
        <v>0</v>
      </c>
      <c r="G585">
        <v>535</v>
      </c>
      <c r="H585" s="13">
        <f t="shared" si="72"/>
        <v>1.8572577375266519E-2</v>
      </c>
      <c r="I585">
        <f t="shared" si="73"/>
        <v>114.44249316871813</v>
      </c>
      <c r="J585">
        <f t="shared" si="68"/>
        <v>461.81347780981412</v>
      </c>
      <c r="K585" s="27">
        <f t="shared" si="69"/>
        <v>3961.214889004968</v>
      </c>
    </row>
    <row r="586" spans="1:11" x14ac:dyDescent="0.25">
      <c r="A586" s="26">
        <v>536</v>
      </c>
      <c r="B586" s="82">
        <f t="shared" si="70"/>
        <v>0</v>
      </c>
      <c r="C586" s="58">
        <f t="shared" si="66"/>
        <v>104.50616427295054</v>
      </c>
      <c r="D586" s="83">
        <f t="shared" si="71"/>
        <v>445.77777777777789</v>
      </c>
      <c r="E586">
        <f t="shared" si="67"/>
        <v>0</v>
      </c>
      <c r="G586">
        <v>536</v>
      </c>
      <c r="H586" s="13">
        <f t="shared" si="72"/>
        <v>1.8572577375266519E-2</v>
      </c>
      <c r="I586">
        <f t="shared" si="73"/>
        <v>114.4610657460934</v>
      </c>
      <c r="J586">
        <f t="shared" si="68"/>
        <v>461.83795618292851</v>
      </c>
      <c r="K586" s="27">
        <f t="shared" si="69"/>
        <v>3961.6346830298353</v>
      </c>
    </row>
    <row r="587" spans="1:11" x14ac:dyDescent="0.25">
      <c r="A587" s="26">
        <v>537</v>
      </c>
      <c r="B587" s="82">
        <f t="shared" si="70"/>
        <v>0</v>
      </c>
      <c r="C587" s="58">
        <f t="shared" si="66"/>
        <v>104.50616427295054</v>
      </c>
      <c r="D587" s="83">
        <f t="shared" si="71"/>
        <v>445.77777777777789</v>
      </c>
      <c r="E587">
        <f t="shared" si="67"/>
        <v>0</v>
      </c>
      <c r="G587">
        <v>537</v>
      </c>
      <c r="H587" s="13">
        <f t="shared" si="72"/>
        <v>1.8572577375266519E-2</v>
      </c>
      <c r="I587">
        <f t="shared" si="73"/>
        <v>114.47963832346866</v>
      </c>
      <c r="J587">
        <f t="shared" si="68"/>
        <v>461.86241899235006</v>
      </c>
      <c r="K587" s="27">
        <f t="shared" si="69"/>
        <v>3962.0542324420148</v>
      </c>
    </row>
    <row r="588" spans="1:11" x14ac:dyDescent="0.25">
      <c r="A588" s="26">
        <v>538</v>
      </c>
      <c r="B588" s="82">
        <f t="shared" si="70"/>
        <v>0</v>
      </c>
      <c r="C588" s="58">
        <f t="shared" si="66"/>
        <v>104.50616427295054</v>
      </c>
      <c r="D588" s="83">
        <f t="shared" si="71"/>
        <v>445.77777777777789</v>
      </c>
      <c r="E588">
        <f t="shared" si="67"/>
        <v>0</v>
      </c>
      <c r="G588">
        <v>538</v>
      </c>
      <c r="H588" s="13">
        <f t="shared" si="72"/>
        <v>1.8572577375266519E-2</v>
      </c>
      <c r="I588">
        <f t="shared" si="73"/>
        <v>114.49821090084393</v>
      </c>
      <c r="J588">
        <f t="shared" si="68"/>
        <v>461.88686625689979</v>
      </c>
      <c r="K588" s="27">
        <f t="shared" si="69"/>
        <v>3962.4735375216774</v>
      </c>
    </row>
    <row r="589" spans="1:11" x14ac:dyDescent="0.25">
      <c r="A589" s="26">
        <v>539</v>
      </c>
      <c r="B589" s="82">
        <f t="shared" si="70"/>
        <v>0</v>
      </c>
      <c r="C589" s="58">
        <f t="shared" si="66"/>
        <v>104.50616427295054</v>
      </c>
      <c r="D589" s="83">
        <f t="shared" si="71"/>
        <v>445.77777777777789</v>
      </c>
      <c r="E589">
        <f t="shared" si="67"/>
        <v>0</v>
      </c>
      <c r="G589">
        <v>539</v>
      </c>
      <c r="H589" s="13">
        <f t="shared" si="72"/>
        <v>1.8572577375266519E-2</v>
      </c>
      <c r="I589">
        <f t="shared" si="73"/>
        <v>114.5167834782192</v>
      </c>
      <c r="J589">
        <f t="shared" si="68"/>
        <v>461.91129799535662</v>
      </c>
      <c r="K589" s="27">
        <f t="shared" si="69"/>
        <v>3962.8925985483643</v>
      </c>
    </row>
    <row r="590" spans="1:11" x14ac:dyDescent="0.25">
      <c r="A590" s="26">
        <v>540</v>
      </c>
      <c r="B590" s="82">
        <f t="shared" si="70"/>
        <v>0</v>
      </c>
      <c r="C590" s="58">
        <f t="shared" si="66"/>
        <v>104.50616427295054</v>
      </c>
      <c r="D590" s="83">
        <f t="shared" si="71"/>
        <v>445.77777777777789</v>
      </c>
      <c r="E590">
        <f t="shared" si="67"/>
        <v>0</v>
      </c>
      <c r="G590">
        <v>540</v>
      </c>
      <c r="H590" s="13">
        <f t="shared" si="72"/>
        <v>1.8572577375266519E-2</v>
      </c>
      <c r="I590">
        <f t="shared" si="73"/>
        <v>114.53535605559446</v>
      </c>
      <c r="J590">
        <f t="shared" si="68"/>
        <v>461.93571422645726</v>
      </c>
      <c r="K590" s="27">
        <f t="shared" si="69"/>
        <v>3963.3114158009871</v>
      </c>
    </row>
    <row r="591" spans="1:11" x14ac:dyDescent="0.25">
      <c r="A591" s="26">
        <v>541</v>
      </c>
      <c r="B591" s="82">
        <f t="shared" si="70"/>
        <v>0</v>
      </c>
      <c r="C591" s="58">
        <f t="shared" si="66"/>
        <v>104.50616427295054</v>
      </c>
      <c r="D591" s="83">
        <f t="shared" si="71"/>
        <v>445.77777777777789</v>
      </c>
      <c r="E591">
        <f t="shared" si="67"/>
        <v>0</v>
      </c>
      <c r="G591">
        <v>541</v>
      </c>
      <c r="H591" s="13">
        <f t="shared" si="72"/>
        <v>1.8572577375266519E-2</v>
      </c>
      <c r="I591">
        <f t="shared" si="73"/>
        <v>114.55392863296973</v>
      </c>
      <c r="J591">
        <f t="shared" si="68"/>
        <v>461.96011496889639</v>
      </c>
      <c r="K591" s="27">
        <f t="shared" si="69"/>
        <v>3963.7299895578358</v>
      </c>
    </row>
    <row r="592" spans="1:11" x14ac:dyDescent="0.25">
      <c r="A592" s="26">
        <v>542</v>
      </c>
      <c r="B592" s="82">
        <f t="shared" si="70"/>
        <v>0</v>
      </c>
      <c r="C592" s="58">
        <f t="shared" ref="C592:C655" si="74">($C$37-$C$36)/2000+C591</f>
        <v>104.50616427295054</v>
      </c>
      <c r="D592" s="83">
        <f t="shared" si="71"/>
        <v>445.77777777777789</v>
      </c>
      <c r="E592">
        <f t="shared" si="67"/>
        <v>0</v>
      </c>
      <c r="G592">
        <v>542</v>
      </c>
      <c r="H592" s="13">
        <f t="shared" si="72"/>
        <v>1.8572577375266519E-2</v>
      </c>
      <c r="I592">
        <f t="shared" si="73"/>
        <v>114.572501210345</v>
      </c>
      <c r="J592">
        <f t="shared" si="68"/>
        <v>461.98450024132694</v>
      </c>
      <c r="K592" s="27">
        <f t="shared" si="69"/>
        <v>3964.1483200965763</v>
      </c>
    </row>
    <row r="593" spans="1:11" x14ac:dyDescent="0.25">
      <c r="A593" s="26">
        <v>543</v>
      </c>
      <c r="B593" s="82">
        <f t="shared" si="70"/>
        <v>0</v>
      </c>
      <c r="C593" s="58">
        <f t="shared" si="74"/>
        <v>104.50616427295054</v>
      </c>
      <c r="D593" s="83">
        <f t="shared" si="71"/>
        <v>445.77777777777789</v>
      </c>
      <c r="E593">
        <f t="shared" si="67"/>
        <v>0</v>
      </c>
      <c r="G593">
        <v>543</v>
      </c>
      <c r="H593" s="13">
        <f t="shared" si="72"/>
        <v>1.8572577375266519E-2</v>
      </c>
      <c r="I593">
        <f t="shared" si="73"/>
        <v>114.59107378772026</v>
      </c>
      <c r="J593">
        <f t="shared" si="68"/>
        <v>462.00887006236002</v>
      </c>
      <c r="K593" s="27">
        <f t="shared" si="69"/>
        <v>3964.5664076942526</v>
      </c>
    </row>
    <row r="594" spans="1:11" x14ac:dyDescent="0.25">
      <c r="A594" s="26">
        <v>544</v>
      </c>
      <c r="B594" s="82">
        <f t="shared" si="70"/>
        <v>0</v>
      </c>
      <c r="C594" s="58">
        <f t="shared" si="74"/>
        <v>104.50616427295054</v>
      </c>
      <c r="D594" s="83">
        <f t="shared" si="71"/>
        <v>445.77777777777789</v>
      </c>
      <c r="E594">
        <f t="shared" si="67"/>
        <v>0</v>
      </c>
      <c r="G594">
        <v>544</v>
      </c>
      <c r="H594" s="13">
        <f t="shared" si="72"/>
        <v>1.8572577375266519E-2</v>
      </c>
      <c r="I594">
        <f t="shared" si="73"/>
        <v>114.60964636509553</v>
      </c>
      <c r="J594">
        <f t="shared" si="68"/>
        <v>462.03322445056511</v>
      </c>
      <c r="K594" s="27">
        <f t="shared" si="69"/>
        <v>3964.9842526272901</v>
      </c>
    </row>
    <row r="595" spans="1:11" x14ac:dyDescent="0.25">
      <c r="A595" s="26">
        <v>545</v>
      </c>
      <c r="B595" s="82">
        <f t="shared" si="70"/>
        <v>0</v>
      </c>
      <c r="C595" s="58">
        <f t="shared" si="74"/>
        <v>104.50616427295054</v>
      </c>
      <c r="D595" s="83">
        <f t="shared" si="71"/>
        <v>445.77777777777789</v>
      </c>
      <c r="E595">
        <f t="shared" si="67"/>
        <v>0</v>
      </c>
      <c r="G595">
        <v>545</v>
      </c>
      <c r="H595" s="13">
        <f t="shared" si="72"/>
        <v>1.8572577375266519E-2</v>
      </c>
      <c r="I595">
        <f t="shared" si="73"/>
        <v>114.6282189424708</v>
      </c>
      <c r="J595">
        <f t="shared" si="68"/>
        <v>462.05756342447023</v>
      </c>
      <c r="K595" s="27">
        <f t="shared" si="69"/>
        <v>3965.4018551714985</v>
      </c>
    </row>
    <row r="596" spans="1:11" x14ac:dyDescent="0.25">
      <c r="A596" s="26">
        <v>546</v>
      </c>
      <c r="B596" s="82">
        <f t="shared" si="70"/>
        <v>0</v>
      </c>
      <c r="C596" s="58">
        <f t="shared" si="74"/>
        <v>104.50616427295054</v>
      </c>
      <c r="D596" s="83">
        <f t="shared" si="71"/>
        <v>445.77777777777789</v>
      </c>
      <c r="E596">
        <f t="shared" si="67"/>
        <v>0</v>
      </c>
      <c r="G596">
        <v>546</v>
      </c>
      <c r="H596" s="13">
        <f t="shared" si="72"/>
        <v>1.8572577375266519E-2</v>
      </c>
      <c r="I596">
        <f t="shared" si="73"/>
        <v>114.64679151984606</v>
      </c>
      <c r="J596">
        <f t="shared" si="68"/>
        <v>462.0818870025621</v>
      </c>
      <c r="K596" s="27">
        <f t="shared" si="69"/>
        <v>3965.8192156020709</v>
      </c>
    </row>
    <row r="597" spans="1:11" x14ac:dyDescent="0.25">
      <c r="A597" s="26">
        <v>547</v>
      </c>
      <c r="B597" s="82">
        <f t="shared" si="70"/>
        <v>0</v>
      </c>
      <c r="C597" s="58">
        <f t="shared" si="74"/>
        <v>104.50616427295054</v>
      </c>
      <c r="D597" s="83">
        <f t="shared" si="71"/>
        <v>445.77777777777789</v>
      </c>
      <c r="E597">
        <f t="shared" si="67"/>
        <v>0</v>
      </c>
      <c r="G597">
        <v>547</v>
      </c>
      <c r="H597" s="13">
        <f t="shared" si="72"/>
        <v>1.8572577375266519E-2</v>
      </c>
      <c r="I597">
        <f t="shared" si="73"/>
        <v>114.66536409722133</v>
      </c>
      <c r="J597">
        <f t="shared" si="68"/>
        <v>462.10619520328623</v>
      </c>
      <c r="K597" s="27">
        <f t="shared" si="69"/>
        <v>3966.2363341935875</v>
      </c>
    </row>
    <row r="598" spans="1:11" x14ac:dyDescent="0.25">
      <c r="A598" s="26">
        <v>548</v>
      </c>
      <c r="B598" s="82">
        <f t="shared" si="70"/>
        <v>0</v>
      </c>
      <c r="C598" s="58">
        <f t="shared" si="74"/>
        <v>104.50616427295054</v>
      </c>
      <c r="D598" s="83">
        <f t="shared" si="71"/>
        <v>445.77777777777789</v>
      </c>
      <c r="E598">
        <f t="shared" si="67"/>
        <v>0</v>
      </c>
      <c r="G598">
        <v>548</v>
      </c>
      <c r="H598" s="13">
        <f t="shared" si="72"/>
        <v>1.8572577375266519E-2</v>
      </c>
      <c r="I598">
        <f t="shared" si="73"/>
        <v>114.68393667459659</v>
      </c>
      <c r="J598">
        <f t="shared" si="68"/>
        <v>462.13048804504695</v>
      </c>
      <c r="K598" s="27">
        <f t="shared" si="69"/>
        <v>3966.6532112200148</v>
      </c>
    </row>
    <row r="599" spans="1:11" x14ac:dyDescent="0.25">
      <c r="A599" s="26">
        <v>549</v>
      </c>
      <c r="B599" s="82">
        <f t="shared" si="70"/>
        <v>0</v>
      </c>
      <c r="C599" s="58">
        <f t="shared" si="74"/>
        <v>104.50616427295054</v>
      </c>
      <c r="D599" s="83">
        <f t="shared" si="71"/>
        <v>445.77777777777789</v>
      </c>
      <c r="E599">
        <f t="shared" si="67"/>
        <v>0</v>
      </c>
      <c r="G599">
        <v>549</v>
      </c>
      <c r="H599" s="13">
        <f t="shared" si="72"/>
        <v>1.8572577375266519E-2</v>
      </c>
      <c r="I599">
        <f t="shared" si="73"/>
        <v>114.70250925197186</v>
      </c>
      <c r="J599">
        <f t="shared" si="68"/>
        <v>462.15476554620773</v>
      </c>
      <c r="K599" s="27">
        <f t="shared" si="69"/>
        <v>3967.0698469547151</v>
      </c>
    </row>
    <row r="600" spans="1:11" x14ac:dyDescent="0.25">
      <c r="A600" s="26">
        <v>550</v>
      </c>
      <c r="B600" s="82">
        <f t="shared" si="70"/>
        <v>0</v>
      </c>
      <c r="C600" s="58">
        <f t="shared" si="74"/>
        <v>104.50616427295054</v>
      </c>
      <c r="D600" s="83">
        <f t="shared" si="71"/>
        <v>445.77777777777789</v>
      </c>
      <c r="E600">
        <f t="shared" si="67"/>
        <v>0</v>
      </c>
      <c r="G600">
        <v>550</v>
      </c>
      <c r="H600" s="13">
        <f t="shared" si="72"/>
        <v>1.8572577375266519E-2</v>
      </c>
      <c r="I600">
        <f t="shared" si="73"/>
        <v>114.72108182934713</v>
      </c>
      <c r="J600">
        <f t="shared" si="68"/>
        <v>462.17902772509115</v>
      </c>
      <c r="K600" s="27">
        <f t="shared" si="69"/>
        <v>3967.4862416704395</v>
      </c>
    </row>
    <row r="601" spans="1:11" x14ac:dyDescent="0.25">
      <c r="A601" s="26">
        <v>551</v>
      </c>
      <c r="B601" s="82">
        <f t="shared" si="70"/>
        <v>0</v>
      </c>
      <c r="C601" s="58">
        <f t="shared" si="74"/>
        <v>104.50616427295054</v>
      </c>
      <c r="D601" s="83">
        <f t="shared" si="71"/>
        <v>445.77777777777789</v>
      </c>
      <c r="E601">
        <f t="shared" si="67"/>
        <v>0</v>
      </c>
      <c r="G601">
        <v>551</v>
      </c>
      <c r="H601" s="13">
        <f t="shared" si="72"/>
        <v>1.8572577375266519E-2</v>
      </c>
      <c r="I601">
        <f t="shared" si="73"/>
        <v>114.73965440672239</v>
      </c>
      <c r="J601">
        <f t="shared" si="68"/>
        <v>462.20327459997912</v>
      </c>
      <c r="K601" s="27">
        <f t="shared" si="69"/>
        <v>3967.9023956393321</v>
      </c>
    </row>
    <row r="602" spans="1:11" x14ac:dyDescent="0.25">
      <c r="A602" s="26">
        <v>552</v>
      </c>
      <c r="B602" s="82">
        <f t="shared" si="70"/>
        <v>0</v>
      </c>
      <c r="C602" s="58">
        <f t="shared" si="74"/>
        <v>104.50616427295054</v>
      </c>
      <c r="D602" s="83">
        <f t="shared" si="71"/>
        <v>445.77777777777789</v>
      </c>
      <c r="E602">
        <f t="shared" si="67"/>
        <v>0</v>
      </c>
      <c r="G602">
        <v>552</v>
      </c>
      <c r="H602" s="13">
        <f t="shared" si="72"/>
        <v>1.8572577375266519E-2</v>
      </c>
      <c r="I602">
        <f t="shared" si="73"/>
        <v>114.75822698409766</v>
      </c>
      <c r="J602">
        <f t="shared" si="68"/>
        <v>462.22750618911294</v>
      </c>
      <c r="K602" s="27">
        <f t="shared" si="69"/>
        <v>3968.3183091329374</v>
      </c>
    </row>
    <row r="603" spans="1:11" x14ac:dyDescent="0.25">
      <c r="A603" s="26">
        <v>553</v>
      </c>
      <c r="B603" s="82">
        <f t="shared" si="70"/>
        <v>0</v>
      </c>
      <c r="C603" s="58">
        <f t="shared" si="74"/>
        <v>104.50616427295054</v>
      </c>
      <c r="D603" s="83">
        <f t="shared" si="71"/>
        <v>445.77777777777789</v>
      </c>
      <c r="E603">
        <f t="shared" si="67"/>
        <v>0</v>
      </c>
      <c r="G603">
        <v>553</v>
      </c>
      <c r="H603" s="13">
        <f t="shared" si="72"/>
        <v>1.8572577375266519E-2</v>
      </c>
      <c r="I603">
        <f t="shared" si="73"/>
        <v>114.77679956147293</v>
      </c>
      <c r="J603">
        <f t="shared" si="68"/>
        <v>462.25172251069347</v>
      </c>
      <c r="K603" s="27">
        <f t="shared" si="69"/>
        <v>3968.7339824221958</v>
      </c>
    </row>
    <row r="604" spans="1:11" x14ac:dyDescent="0.25">
      <c r="A604" s="26">
        <v>554</v>
      </c>
      <c r="B604" s="82">
        <f t="shared" si="70"/>
        <v>0</v>
      </c>
      <c r="C604" s="58">
        <f t="shared" si="74"/>
        <v>104.50616427295054</v>
      </c>
      <c r="D604" s="83">
        <f t="shared" si="71"/>
        <v>445.77777777777789</v>
      </c>
      <c r="E604">
        <f t="shared" si="67"/>
        <v>0</v>
      </c>
      <c r="G604">
        <v>554</v>
      </c>
      <c r="H604" s="13">
        <f t="shared" si="72"/>
        <v>1.8572577375266519E-2</v>
      </c>
      <c r="I604">
        <f t="shared" si="73"/>
        <v>114.79537213884819</v>
      </c>
      <c r="J604">
        <f t="shared" si="68"/>
        <v>462.27592358288132</v>
      </c>
      <c r="K604" s="27">
        <f t="shared" si="69"/>
        <v>3969.1494157774455</v>
      </c>
    </row>
    <row r="605" spans="1:11" x14ac:dyDescent="0.25">
      <c r="A605" s="26">
        <v>555</v>
      </c>
      <c r="B605" s="82">
        <f t="shared" si="70"/>
        <v>0</v>
      </c>
      <c r="C605" s="58">
        <f t="shared" si="74"/>
        <v>104.50616427295054</v>
      </c>
      <c r="D605" s="83">
        <f t="shared" si="71"/>
        <v>445.77777777777789</v>
      </c>
      <c r="E605">
        <f t="shared" si="67"/>
        <v>0</v>
      </c>
      <c r="G605">
        <v>555</v>
      </c>
      <c r="H605" s="13">
        <f t="shared" si="72"/>
        <v>1.8572577375266519E-2</v>
      </c>
      <c r="I605">
        <f t="shared" si="73"/>
        <v>114.81394471622346</v>
      </c>
      <c r="J605">
        <f t="shared" si="68"/>
        <v>462.30010942379675</v>
      </c>
      <c r="K605" s="27">
        <f t="shared" si="69"/>
        <v>3969.5646094684312</v>
      </c>
    </row>
    <row r="606" spans="1:11" x14ac:dyDescent="0.25">
      <c r="A606" s="26">
        <v>556</v>
      </c>
      <c r="B606" s="82">
        <f t="shared" si="70"/>
        <v>0</v>
      </c>
      <c r="C606" s="58">
        <f t="shared" si="74"/>
        <v>104.50616427295054</v>
      </c>
      <c r="D606" s="83">
        <f t="shared" si="71"/>
        <v>445.77777777777789</v>
      </c>
      <c r="E606">
        <f t="shared" si="67"/>
        <v>0</v>
      </c>
      <c r="G606">
        <v>556</v>
      </c>
      <c r="H606" s="13">
        <f t="shared" si="72"/>
        <v>1.8572577375266519E-2</v>
      </c>
      <c r="I606">
        <f t="shared" si="73"/>
        <v>114.83251729359873</v>
      </c>
      <c r="J606">
        <f t="shared" si="68"/>
        <v>462.32428005152008</v>
      </c>
      <c r="K606" s="27">
        <f t="shared" si="69"/>
        <v>3969.9795637642978</v>
      </c>
    </row>
    <row r="607" spans="1:11" x14ac:dyDescent="0.25">
      <c r="A607" s="26">
        <v>557</v>
      </c>
      <c r="B607" s="82">
        <f t="shared" si="70"/>
        <v>0</v>
      </c>
      <c r="C607" s="58">
        <f t="shared" si="74"/>
        <v>104.50616427295054</v>
      </c>
      <c r="D607" s="83">
        <f t="shared" si="71"/>
        <v>445.77777777777789</v>
      </c>
      <c r="E607">
        <f t="shared" si="67"/>
        <v>0</v>
      </c>
      <c r="G607">
        <v>557</v>
      </c>
      <c r="H607" s="13">
        <f t="shared" si="72"/>
        <v>1.8572577375266519E-2</v>
      </c>
      <c r="I607">
        <f t="shared" si="73"/>
        <v>114.85108987097399</v>
      </c>
      <c r="J607">
        <f t="shared" si="68"/>
        <v>462.34843548409157</v>
      </c>
      <c r="K607" s="27">
        <f t="shared" si="69"/>
        <v>3970.3942789335961</v>
      </c>
    </row>
    <row r="608" spans="1:11" x14ac:dyDescent="0.25">
      <c r="A608" s="26">
        <v>558</v>
      </c>
      <c r="B608" s="82">
        <f t="shared" si="70"/>
        <v>0</v>
      </c>
      <c r="C608" s="58">
        <f t="shared" si="74"/>
        <v>104.50616427295054</v>
      </c>
      <c r="D608" s="83">
        <f t="shared" si="71"/>
        <v>445.77777777777789</v>
      </c>
      <c r="E608">
        <f t="shared" si="67"/>
        <v>0</v>
      </c>
      <c r="G608">
        <v>558</v>
      </c>
      <c r="H608" s="13">
        <f t="shared" si="72"/>
        <v>1.8572577375266519E-2</v>
      </c>
      <c r="I608">
        <f t="shared" si="73"/>
        <v>114.86966244834926</v>
      </c>
      <c r="J608">
        <f t="shared" si="68"/>
        <v>462.37257573951177</v>
      </c>
      <c r="K608" s="27">
        <f t="shared" si="69"/>
        <v>3970.8087552442871</v>
      </c>
    </row>
    <row r="609" spans="1:11" x14ac:dyDescent="0.25">
      <c r="A609" s="26">
        <v>559</v>
      </c>
      <c r="B609" s="82">
        <f t="shared" si="70"/>
        <v>0</v>
      </c>
      <c r="C609" s="58">
        <f t="shared" si="74"/>
        <v>104.50616427295054</v>
      </c>
      <c r="D609" s="83">
        <f t="shared" si="71"/>
        <v>445.77777777777789</v>
      </c>
      <c r="E609">
        <f t="shared" si="67"/>
        <v>0</v>
      </c>
      <c r="G609">
        <v>559</v>
      </c>
      <c r="H609" s="13">
        <f t="shared" si="72"/>
        <v>1.8572577375266519E-2</v>
      </c>
      <c r="I609">
        <f t="shared" si="73"/>
        <v>114.88823502572453</v>
      </c>
      <c r="J609">
        <f t="shared" si="68"/>
        <v>462.39670083574151</v>
      </c>
      <c r="K609" s="27">
        <f t="shared" si="69"/>
        <v>3971.2229929637383</v>
      </c>
    </row>
    <row r="610" spans="1:11" x14ac:dyDescent="0.25">
      <c r="A610" s="26">
        <v>560</v>
      </c>
      <c r="B610" s="82">
        <f t="shared" si="70"/>
        <v>0</v>
      </c>
      <c r="C610" s="58">
        <f t="shared" si="74"/>
        <v>104.50616427295054</v>
      </c>
      <c r="D610" s="83">
        <f t="shared" si="71"/>
        <v>445.77777777777789</v>
      </c>
      <c r="E610">
        <f t="shared" si="67"/>
        <v>0</v>
      </c>
      <c r="G610">
        <v>560</v>
      </c>
      <c r="H610" s="13">
        <f t="shared" si="72"/>
        <v>1.8572577375266519E-2</v>
      </c>
      <c r="I610">
        <f t="shared" si="73"/>
        <v>114.90680760309979</v>
      </c>
      <c r="J610">
        <f t="shared" si="68"/>
        <v>462.42081079070186</v>
      </c>
      <c r="K610" s="27">
        <f t="shared" si="69"/>
        <v>3971.6369923587276</v>
      </c>
    </row>
    <row r="611" spans="1:11" x14ac:dyDescent="0.25">
      <c r="A611" s="26">
        <v>561</v>
      </c>
      <c r="B611" s="82">
        <f t="shared" si="70"/>
        <v>0</v>
      </c>
      <c r="C611" s="58">
        <f t="shared" si="74"/>
        <v>104.50616427295054</v>
      </c>
      <c r="D611" s="83">
        <f t="shared" si="71"/>
        <v>445.77777777777789</v>
      </c>
      <c r="E611">
        <f t="shared" si="67"/>
        <v>0</v>
      </c>
      <c r="G611">
        <v>561</v>
      </c>
      <c r="H611" s="13">
        <f t="shared" si="72"/>
        <v>1.8572577375266519E-2</v>
      </c>
      <c r="I611">
        <f t="shared" si="73"/>
        <v>114.92538018047506</v>
      </c>
      <c r="J611">
        <f t="shared" si="68"/>
        <v>462.44490562227469</v>
      </c>
      <c r="K611" s="27">
        <f t="shared" si="69"/>
        <v>3972.0507536954483</v>
      </c>
    </row>
    <row r="612" spans="1:11" x14ac:dyDescent="0.25">
      <c r="A612" s="26">
        <v>562</v>
      </c>
      <c r="B612" s="82">
        <f t="shared" si="70"/>
        <v>0</v>
      </c>
      <c r="C612" s="58">
        <f t="shared" si="74"/>
        <v>104.50616427295054</v>
      </c>
      <c r="D612" s="83">
        <f t="shared" si="71"/>
        <v>445.77777777777789</v>
      </c>
      <c r="E612">
        <f t="shared" si="67"/>
        <v>0</v>
      </c>
      <c r="G612">
        <v>562</v>
      </c>
      <c r="H612" s="13">
        <f t="shared" si="72"/>
        <v>1.8572577375266519E-2</v>
      </c>
      <c r="I612">
        <f t="shared" si="73"/>
        <v>114.94395275785033</v>
      </c>
      <c r="J612">
        <f t="shared" si="68"/>
        <v>462.46898534830234</v>
      </c>
      <c r="K612" s="27">
        <f t="shared" si="69"/>
        <v>3972.4642772395059</v>
      </c>
    </row>
    <row r="613" spans="1:11" x14ac:dyDescent="0.25">
      <c r="A613" s="26">
        <v>563</v>
      </c>
      <c r="B613" s="82">
        <f t="shared" si="70"/>
        <v>0</v>
      </c>
      <c r="C613" s="58">
        <f t="shared" si="74"/>
        <v>104.50616427295054</v>
      </c>
      <c r="D613" s="83">
        <f t="shared" si="71"/>
        <v>445.77777777777789</v>
      </c>
      <c r="E613">
        <f t="shared" si="67"/>
        <v>0</v>
      </c>
      <c r="G613">
        <v>563</v>
      </c>
      <c r="H613" s="13">
        <f t="shared" si="72"/>
        <v>1.8572577375266519E-2</v>
      </c>
      <c r="I613">
        <f t="shared" si="73"/>
        <v>114.96252533522559</v>
      </c>
      <c r="J613">
        <f t="shared" si="68"/>
        <v>462.49304998658801</v>
      </c>
      <c r="K613" s="27">
        <f t="shared" si="69"/>
        <v>3972.8775632559259</v>
      </c>
    </row>
    <row r="614" spans="1:11" x14ac:dyDescent="0.25">
      <c r="A614" s="26">
        <v>564</v>
      </c>
      <c r="B614" s="82">
        <f t="shared" si="70"/>
        <v>0</v>
      </c>
      <c r="C614" s="58">
        <f t="shared" si="74"/>
        <v>104.50616427295054</v>
      </c>
      <c r="D614" s="83">
        <f t="shared" si="71"/>
        <v>445.77777777777789</v>
      </c>
      <c r="E614">
        <f t="shared" si="67"/>
        <v>0</v>
      </c>
      <c r="G614">
        <v>564</v>
      </c>
      <c r="H614" s="13">
        <f t="shared" si="72"/>
        <v>1.8572577375266519E-2</v>
      </c>
      <c r="I614">
        <f t="shared" si="73"/>
        <v>114.98109791260086</v>
      </c>
      <c r="J614">
        <f t="shared" si="68"/>
        <v>462.51709955489588</v>
      </c>
      <c r="K614" s="27">
        <f t="shared" si="69"/>
        <v>3973.2906120091479</v>
      </c>
    </row>
    <row r="615" spans="1:11" x14ac:dyDescent="0.25">
      <c r="A615" s="26">
        <v>565</v>
      </c>
      <c r="B615" s="82">
        <f t="shared" si="70"/>
        <v>0</v>
      </c>
      <c r="C615" s="58">
        <f t="shared" si="74"/>
        <v>104.50616427295054</v>
      </c>
      <c r="D615" s="83">
        <f t="shared" si="71"/>
        <v>445.77777777777789</v>
      </c>
      <c r="E615">
        <f t="shared" si="67"/>
        <v>0</v>
      </c>
      <c r="G615">
        <v>565</v>
      </c>
      <c r="H615" s="13">
        <f t="shared" si="72"/>
        <v>1.8572577375266519E-2</v>
      </c>
      <c r="I615">
        <f t="shared" si="73"/>
        <v>114.99967048997613</v>
      </c>
      <c r="J615">
        <f t="shared" si="68"/>
        <v>462.54113407095099</v>
      </c>
      <c r="K615" s="27">
        <f t="shared" si="69"/>
        <v>3973.7034237630328</v>
      </c>
    </row>
    <row r="616" spans="1:11" x14ac:dyDescent="0.25">
      <c r="A616" s="26">
        <v>566</v>
      </c>
      <c r="B616" s="82">
        <f t="shared" si="70"/>
        <v>0</v>
      </c>
      <c r="C616" s="58">
        <f t="shared" si="74"/>
        <v>104.50616427295054</v>
      </c>
      <c r="D616" s="83">
        <f t="shared" si="71"/>
        <v>445.77777777777789</v>
      </c>
      <c r="E616">
        <f t="shared" si="67"/>
        <v>0</v>
      </c>
      <c r="G616">
        <v>566</v>
      </c>
      <c r="H616" s="13">
        <f t="shared" si="72"/>
        <v>1.8572577375266519E-2</v>
      </c>
      <c r="I616">
        <f t="shared" si="73"/>
        <v>115.01824306735139</v>
      </c>
      <c r="J616">
        <f t="shared" si="68"/>
        <v>462.5651535524396</v>
      </c>
      <c r="K616" s="27">
        <f t="shared" si="69"/>
        <v>3974.1159987808674</v>
      </c>
    </row>
    <row r="617" spans="1:11" x14ac:dyDescent="0.25">
      <c r="A617" s="26">
        <v>567</v>
      </c>
      <c r="B617" s="82">
        <f t="shared" si="70"/>
        <v>0</v>
      </c>
      <c r="C617" s="58">
        <f t="shared" si="74"/>
        <v>104.50616427295054</v>
      </c>
      <c r="D617" s="83">
        <f t="shared" si="71"/>
        <v>445.77777777777789</v>
      </c>
      <c r="E617">
        <f t="shared" si="67"/>
        <v>0</v>
      </c>
      <c r="G617">
        <v>567</v>
      </c>
      <c r="H617" s="13">
        <f t="shared" si="72"/>
        <v>1.8572577375266519E-2</v>
      </c>
      <c r="I617">
        <f t="shared" si="73"/>
        <v>115.03681564472666</v>
      </c>
      <c r="J617">
        <f t="shared" si="68"/>
        <v>462.58915801700937</v>
      </c>
      <c r="K617" s="27">
        <f t="shared" si="69"/>
        <v>3974.5283373253556</v>
      </c>
    </row>
    <row r="618" spans="1:11" x14ac:dyDescent="0.25">
      <c r="A618" s="26">
        <v>568</v>
      </c>
      <c r="B618" s="82">
        <f t="shared" si="70"/>
        <v>0</v>
      </c>
      <c r="C618" s="58">
        <f t="shared" si="74"/>
        <v>104.50616427295054</v>
      </c>
      <c r="D618" s="83">
        <f t="shared" si="71"/>
        <v>445.77777777777789</v>
      </c>
      <c r="E618">
        <f t="shared" si="67"/>
        <v>0</v>
      </c>
      <c r="G618">
        <v>568</v>
      </c>
      <c r="H618" s="13">
        <f t="shared" si="72"/>
        <v>1.8572577375266519E-2</v>
      </c>
      <c r="I618">
        <f t="shared" si="73"/>
        <v>115.05538822210193</v>
      </c>
      <c r="J618">
        <f t="shared" si="68"/>
        <v>462.61314748226908</v>
      </c>
      <c r="K618" s="27">
        <f t="shared" si="69"/>
        <v>3974.9404396586306</v>
      </c>
    </row>
    <row r="619" spans="1:11" x14ac:dyDescent="0.25">
      <c r="A619" s="26">
        <v>569</v>
      </c>
      <c r="B619" s="82">
        <f t="shared" si="70"/>
        <v>0</v>
      </c>
      <c r="C619" s="58">
        <f t="shared" si="74"/>
        <v>104.50616427295054</v>
      </c>
      <c r="D619" s="83">
        <f t="shared" si="71"/>
        <v>445.77777777777789</v>
      </c>
      <c r="E619">
        <f t="shared" si="67"/>
        <v>0</v>
      </c>
      <c r="G619">
        <v>569</v>
      </c>
      <c r="H619" s="13">
        <f t="shared" si="72"/>
        <v>1.8572577375266519E-2</v>
      </c>
      <c r="I619">
        <f t="shared" si="73"/>
        <v>115.07396079947719</v>
      </c>
      <c r="J619">
        <f t="shared" si="68"/>
        <v>462.63712196578922</v>
      </c>
      <c r="K619" s="27">
        <f t="shared" si="69"/>
        <v>3975.3523060422535</v>
      </c>
    </row>
    <row r="620" spans="1:11" x14ac:dyDescent="0.25">
      <c r="A620" s="26">
        <v>570</v>
      </c>
      <c r="B620" s="82">
        <f t="shared" si="70"/>
        <v>0</v>
      </c>
      <c r="C620" s="58">
        <f t="shared" si="74"/>
        <v>104.50616427295054</v>
      </c>
      <c r="D620" s="83">
        <f t="shared" si="71"/>
        <v>445.77777777777789</v>
      </c>
      <c r="E620">
        <f t="shared" si="67"/>
        <v>0</v>
      </c>
      <c r="G620">
        <v>570</v>
      </c>
      <c r="H620" s="13">
        <f t="shared" si="72"/>
        <v>1.8572577375266519E-2</v>
      </c>
      <c r="I620">
        <f t="shared" si="73"/>
        <v>115.09253337685246</v>
      </c>
      <c r="J620">
        <f t="shared" si="68"/>
        <v>462.66108148510182</v>
      </c>
      <c r="K620" s="27">
        <f t="shared" si="69"/>
        <v>3975.7639367372121</v>
      </c>
    </row>
    <row r="621" spans="1:11" x14ac:dyDescent="0.25">
      <c r="A621" s="26">
        <v>571</v>
      </c>
      <c r="B621" s="82">
        <f t="shared" si="70"/>
        <v>0</v>
      </c>
      <c r="C621" s="58">
        <f t="shared" si="74"/>
        <v>104.50616427295054</v>
      </c>
      <c r="D621" s="83">
        <f t="shared" si="71"/>
        <v>445.77777777777789</v>
      </c>
      <c r="E621">
        <f t="shared" si="67"/>
        <v>0</v>
      </c>
      <c r="G621">
        <v>571</v>
      </c>
      <c r="H621" s="13">
        <f t="shared" si="72"/>
        <v>1.8572577375266519E-2</v>
      </c>
      <c r="I621">
        <f t="shared" si="73"/>
        <v>115.11110595422772</v>
      </c>
      <c r="J621">
        <f t="shared" si="68"/>
        <v>462.68502605770072</v>
      </c>
      <c r="K621" s="27">
        <f t="shared" si="69"/>
        <v>3976.1753320039247</v>
      </c>
    </row>
    <row r="622" spans="1:11" x14ac:dyDescent="0.25">
      <c r="A622" s="26">
        <v>572</v>
      </c>
      <c r="B622" s="82">
        <f t="shared" si="70"/>
        <v>0</v>
      </c>
      <c r="C622" s="58">
        <f t="shared" si="74"/>
        <v>104.50616427295054</v>
      </c>
      <c r="D622" s="83">
        <f t="shared" si="71"/>
        <v>445.77777777777789</v>
      </c>
      <c r="E622">
        <f t="shared" si="67"/>
        <v>0</v>
      </c>
      <c r="G622">
        <v>572</v>
      </c>
      <c r="H622" s="13">
        <f t="shared" si="72"/>
        <v>1.8572577375266519E-2</v>
      </c>
      <c r="I622">
        <f t="shared" si="73"/>
        <v>115.12967853160299</v>
      </c>
      <c r="J622">
        <f t="shared" si="68"/>
        <v>462.70895570104148</v>
      </c>
      <c r="K622" s="27">
        <f t="shared" si="69"/>
        <v>3976.5864921022444</v>
      </c>
    </row>
    <row r="623" spans="1:11" x14ac:dyDescent="0.25">
      <c r="A623" s="26">
        <v>573</v>
      </c>
      <c r="B623" s="82">
        <f t="shared" si="70"/>
        <v>0</v>
      </c>
      <c r="C623" s="58">
        <f t="shared" si="74"/>
        <v>104.50616427295054</v>
      </c>
      <c r="D623" s="83">
        <f t="shared" si="71"/>
        <v>445.77777777777789</v>
      </c>
      <c r="E623">
        <f t="shared" si="67"/>
        <v>0</v>
      </c>
      <c r="G623">
        <v>573</v>
      </c>
      <c r="H623" s="13">
        <f t="shared" si="72"/>
        <v>1.8572577375266519E-2</v>
      </c>
      <c r="I623">
        <f t="shared" si="73"/>
        <v>115.14825110897826</v>
      </c>
      <c r="J623">
        <f t="shared" si="68"/>
        <v>462.73287043254174</v>
      </c>
      <c r="K623" s="27">
        <f t="shared" si="69"/>
        <v>3976.9974172914558</v>
      </c>
    </row>
    <row r="624" spans="1:11" x14ac:dyDescent="0.25">
      <c r="A624" s="26">
        <v>574</v>
      </c>
      <c r="B624" s="82">
        <f t="shared" si="70"/>
        <v>0</v>
      </c>
      <c r="C624" s="58">
        <f t="shared" si="74"/>
        <v>104.50616427295054</v>
      </c>
      <c r="D624" s="83">
        <f t="shared" si="71"/>
        <v>445.77777777777789</v>
      </c>
      <c r="E624">
        <f t="shared" si="67"/>
        <v>0</v>
      </c>
      <c r="G624">
        <v>574</v>
      </c>
      <c r="H624" s="13">
        <f t="shared" si="72"/>
        <v>1.8572577375266519E-2</v>
      </c>
      <c r="I624">
        <f t="shared" si="73"/>
        <v>115.16682368635352</v>
      </c>
      <c r="J624">
        <f t="shared" si="68"/>
        <v>462.75677026958118</v>
      </c>
      <c r="K624" s="27">
        <f t="shared" si="69"/>
        <v>3977.4081078302811</v>
      </c>
    </row>
    <row r="625" spans="1:11" x14ac:dyDescent="0.25">
      <c r="A625" s="26">
        <v>575</v>
      </c>
      <c r="B625" s="82">
        <f t="shared" si="70"/>
        <v>0</v>
      </c>
      <c r="C625" s="58">
        <f t="shared" si="74"/>
        <v>104.50616427295054</v>
      </c>
      <c r="D625" s="83">
        <f t="shared" si="71"/>
        <v>445.77777777777789</v>
      </c>
      <c r="E625">
        <f t="shared" si="67"/>
        <v>0</v>
      </c>
      <c r="G625">
        <v>575</v>
      </c>
      <c r="H625" s="13">
        <f t="shared" si="72"/>
        <v>1.8572577375266519E-2</v>
      </c>
      <c r="I625">
        <f t="shared" si="73"/>
        <v>115.18539626372879</v>
      </c>
      <c r="J625">
        <f t="shared" si="68"/>
        <v>462.78065522950169</v>
      </c>
      <c r="K625" s="27">
        <f t="shared" si="69"/>
        <v>3977.8185639768799</v>
      </c>
    </row>
    <row r="626" spans="1:11" x14ac:dyDescent="0.25">
      <c r="A626" s="26">
        <v>576</v>
      </c>
      <c r="B626" s="82">
        <f t="shared" si="70"/>
        <v>0</v>
      </c>
      <c r="C626" s="58">
        <f t="shared" si="74"/>
        <v>104.50616427295054</v>
      </c>
      <c r="D626" s="83">
        <f t="shared" si="71"/>
        <v>445.77777777777789</v>
      </c>
      <c r="E626">
        <f t="shared" si="67"/>
        <v>0</v>
      </c>
      <c r="G626">
        <v>576</v>
      </c>
      <c r="H626" s="13">
        <f t="shared" si="72"/>
        <v>1.8572577375266519E-2</v>
      </c>
      <c r="I626">
        <f t="shared" si="73"/>
        <v>115.20396884110406</v>
      </c>
      <c r="J626">
        <f t="shared" si="68"/>
        <v>462.80452532960754</v>
      </c>
      <c r="K626" s="27">
        <f t="shared" si="69"/>
        <v>3978.2287859888497</v>
      </c>
    </row>
    <row r="627" spans="1:11" x14ac:dyDescent="0.25">
      <c r="A627" s="26">
        <v>577</v>
      </c>
      <c r="B627" s="82">
        <f t="shared" si="70"/>
        <v>0</v>
      </c>
      <c r="C627" s="58">
        <f t="shared" si="74"/>
        <v>104.50616427295054</v>
      </c>
      <c r="D627" s="83">
        <f t="shared" si="71"/>
        <v>445.77777777777789</v>
      </c>
      <c r="E627">
        <f t="shared" ref="E627:E690" si="75">((D627^2)+(D627*D628)+(D628^2))*B628/3</f>
        <v>0</v>
      </c>
      <c r="G627">
        <v>577</v>
      </c>
      <c r="H627" s="13">
        <f t="shared" si="72"/>
        <v>1.8572577375266519E-2</v>
      </c>
      <c r="I627">
        <f t="shared" si="73"/>
        <v>115.22254141847932</v>
      </c>
      <c r="J627">
        <f t="shared" ref="J627:J690" si="76">IF($G$28&lt;$C$14,0,((($C$11^2)-((I627-$C$13)^2))^0.5)+$C$16)</f>
        <v>462.82838058716538</v>
      </c>
      <c r="K627" s="27">
        <f t="shared" ref="K627:K690" si="77">((J627^2)+(J627*J628)+(J628^2))*H628/3</f>
        <v>3978.6387741232315</v>
      </c>
    </row>
    <row r="628" spans="1:11" x14ac:dyDescent="0.25">
      <c r="A628" s="26">
        <v>578</v>
      </c>
      <c r="B628" s="82">
        <f t="shared" ref="B628:B691" si="78">C628-C627</f>
        <v>0</v>
      </c>
      <c r="C628" s="58">
        <f t="shared" si="74"/>
        <v>104.50616427295054</v>
      </c>
      <c r="D628" s="83">
        <f t="shared" ref="D628:D691" si="79">IF($G$28&lt;$C$14,0,((($C$11^2)-((C628-$C$13)^2))^0.5)+$C$16)</f>
        <v>445.77777777777789</v>
      </c>
      <c r="E628">
        <f t="shared" si="75"/>
        <v>0</v>
      </c>
      <c r="G628">
        <v>578</v>
      </c>
      <c r="H628" s="13">
        <f t="shared" ref="H628:H691" si="80">I628-I627</f>
        <v>1.8572577375266519E-2</v>
      </c>
      <c r="I628">
        <f t="shared" ref="I628:I691" si="81">($G$27-$C$14)/2000+I627</f>
        <v>115.24111399585459</v>
      </c>
      <c r="J628">
        <f t="shared" si="76"/>
        <v>462.85222101940434</v>
      </c>
      <c r="K628" s="27">
        <f t="shared" si="77"/>
        <v>3979.048528636506</v>
      </c>
    </row>
    <row r="629" spans="1:11" x14ac:dyDescent="0.25">
      <c r="A629" s="26">
        <v>579</v>
      </c>
      <c r="B629" s="82">
        <f t="shared" si="78"/>
        <v>0</v>
      </c>
      <c r="C629" s="58">
        <f t="shared" si="74"/>
        <v>104.50616427295054</v>
      </c>
      <c r="D629" s="83">
        <f t="shared" si="79"/>
        <v>445.77777777777789</v>
      </c>
      <c r="E629">
        <f t="shared" si="75"/>
        <v>0</v>
      </c>
      <c r="G629">
        <v>579</v>
      </c>
      <c r="H629" s="13">
        <f t="shared" si="80"/>
        <v>1.8572577375266519E-2</v>
      </c>
      <c r="I629">
        <f t="shared" si="81"/>
        <v>115.25968657322986</v>
      </c>
      <c r="J629">
        <f t="shared" si="76"/>
        <v>462.87604664351636</v>
      </c>
      <c r="K629" s="27">
        <f t="shared" si="77"/>
        <v>3979.4580497846023</v>
      </c>
    </row>
    <row r="630" spans="1:11" x14ac:dyDescent="0.25">
      <c r="A630" s="26">
        <v>580</v>
      </c>
      <c r="B630" s="82">
        <f t="shared" si="78"/>
        <v>0</v>
      </c>
      <c r="C630" s="58">
        <f t="shared" si="74"/>
        <v>104.50616427295054</v>
      </c>
      <c r="D630" s="83">
        <f t="shared" si="79"/>
        <v>445.77777777777789</v>
      </c>
      <c r="E630">
        <f t="shared" si="75"/>
        <v>0</v>
      </c>
      <c r="G630">
        <v>580</v>
      </c>
      <c r="H630" s="13">
        <f t="shared" si="80"/>
        <v>1.8572577375266519E-2</v>
      </c>
      <c r="I630">
        <f t="shared" si="81"/>
        <v>115.27825915060512</v>
      </c>
      <c r="J630">
        <f t="shared" si="76"/>
        <v>462.89985747665605</v>
      </c>
      <c r="K630" s="27">
        <f t="shared" si="77"/>
        <v>3979.86733782289</v>
      </c>
    </row>
    <row r="631" spans="1:11" x14ac:dyDescent="0.25">
      <c r="A631" s="26">
        <v>581</v>
      </c>
      <c r="B631" s="82">
        <f t="shared" si="78"/>
        <v>0</v>
      </c>
      <c r="C631" s="58">
        <f t="shared" si="74"/>
        <v>104.50616427295054</v>
      </c>
      <c r="D631" s="83">
        <f t="shared" si="79"/>
        <v>445.77777777777789</v>
      </c>
      <c r="E631">
        <f t="shared" si="75"/>
        <v>0</v>
      </c>
      <c r="G631">
        <v>581</v>
      </c>
      <c r="H631" s="13">
        <f t="shared" si="80"/>
        <v>1.8572577375266519E-2</v>
      </c>
      <c r="I631">
        <f t="shared" si="81"/>
        <v>115.29683172798039</v>
      </c>
      <c r="J631">
        <f t="shared" si="76"/>
        <v>462.92365353594084</v>
      </c>
      <c r="K631" s="27">
        <f t="shared" si="77"/>
        <v>3980.2763930061919</v>
      </c>
    </row>
    <row r="632" spans="1:11" x14ac:dyDescent="0.25">
      <c r="A632" s="26">
        <v>582</v>
      </c>
      <c r="B632" s="82">
        <f t="shared" si="78"/>
        <v>0</v>
      </c>
      <c r="C632" s="58">
        <f t="shared" si="74"/>
        <v>104.50616427295054</v>
      </c>
      <c r="D632" s="83">
        <f t="shared" si="79"/>
        <v>445.77777777777789</v>
      </c>
      <c r="E632">
        <f t="shared" si="75"/>
        <v>0</v>
      </c>
      <c r="G632">
        <v>582</v>
      </c>
      <c r="H632" s="13">
        <f t="shared" si="80"/>
        <v>1.8572577375266519E-2</v>
      </c>
      <c r="I632">
        <f t="shared" si="81"/>
        <v>115.31540430535566</v>
      </c>
      <c r="J632">
        <f t="shared" si="76"/>
        <v>462.94743483845144</v>
      </c>
      <c r="K632" s="27">
        <f t="shared" si="77"/>
        <v>3980.6852155887777</v>
      </c>
    </row>
    <row r="633" spans="1:11" x14ac:dyDescent="0.25">
      <c r="A633" s="26">
        <v>583</v>
      </c>
      <c r="B633" s="82">
        <f t="shared" si="78"/>
        <v>0</v>
      </c>
      <c r="C633" s="58">
        <f t="shared" si="74"/>
        <v>104.50616427295054</v>
      </c>
      <c r="D633" s="83">
        <f t="shared" si="79"/>
        <v>445.77777777777789</v>
      </c>
      <c r="E633">
        <f t="shared" si="75"/>
        <v>0</v>
      </c>
      <c r="G633">
        <v>583</v>
      </c>
      <c r="H633" s="13">
        <f t="shared" si="80"/>
        <v>1.8572577375266519E-2</v>
      </c>
      <c r="I633">
        <f t="shared" si="81"/>
        <v>115.33397688273092</v>
      </c>
      <c r="J633">
        <f t="shared" si="76"/>
        <v>462.97120140123133</v>
      </c>
      <c r="K633" s="27">
        <f t="shared" si="77"/>
        <v>3981.0938058243678</v>
      </c>
    </row>
    <row r="634" spans="1:11" x14ac:dyDescent="0.25">
      <c r="A634" s="26">
        <v>584</v>
      </c>
      <c r="B634" s="82">
        <f t="shared" si="78"/>
        <v>0</v>
      </c>
      <c r="C634" s="58">
        <f t="shared" si="74"/>
        <v>104.50616427295054</v>
      </c>
      <c r="D634" s="83">
        <f t="shared" si="79"/>
        <v>445.77777777777789</v>
      </c>
      <c r="E634">
        <f t="shared" si="75"/>
        <v>0</v>
      </c>
      <c r="G634">
        <v>584</v>
      </c>
      <c r="H634" s="13">
        <f t="shared" si="80"/>
        <v>1.8572577375266519E-2</v>
      </c>
      <c r="I634">
        <f t="shared" si="81"/>
        <v>115.35254946010619</v>
      </c>
      <c r="J634">
        <f t="shared" si="76"/>
        <v>462.99495324128742</v>
      </c>
      <c r="K634" s="27">
        <f t="shared" si="77"/>
        <v>3981.5021639661354</v>
      </c>
    </row>
    <row r="635" spans="1:11" x14ac:dyDescent="0.25">
      <c r="A635" s="26">
        <v>585</v>
      </c>
      <c r="B635" s="82">
        <f t="shared" si="78"/>
        <v>0</v>
      </c>
      <c r="C635" s="58">
        <f t="shared" si="74"/>
        <v>104.50616427295054</v>
      </c>
      <c r="D635" s="83">
        <f t="shared" si="79"/>
        <v>445.77777777777789</v>
      </c>
      <c r="E635">
        <f t="shared" si="75"/>
        <v>0</v>
      </c>
      <c r="G635">
        <v>585</v>
      </c>
      <c r="H635" s="13">
        <f t="shared" si="80"/>
        <v>1.8572577375266519E-2</v>
      </c>
      <c r="I635">
        <f t="shared" si="81"/>
        <v>115.37112203748146</v>
      </c>
      <c r="J635">
        <f t="shared" si="76"/>
        <v>463.01869037558993</v>
      </c>
      <c r="K635" s="27">
        <f t="shared" si="77"/>
        <v>3981.9102902667114</v>
      </c>
    </row>
    <row r="636" spans="1:11" x14ac:dyDescent="0.25">
      <c r="A636" s="26">
        <v>586</v>
      </c>
      <c r="B636" s="82">
        <f t="shared" si="78"/>
        <v>0</v>
      </c>
      <c r="C636" s="58">
        <f t="shared" si="74"/>
        <v>104.50616427295054</v>
      </c>
      <c r="D636" s="83">
        <f t="shared" si="79"/>
        <v>445.77777777777789</v>
      </c>
      <c r="E636">
        <f t="shared" si="75"/>
        <v>0</v>
      </c>
      <c r="G636">
        <v>586</v>
      </c>
      <c r="H636" s="13">
        <f t="shared" si="80"/>
        <v>1.8572577375266519E-2</v>
      </c>
      <c r="I636">
        <f t="shared" si="81"/>
        <v>115.38969461485672</v>
      </c>
      <c r="J636">
        <f t="shared" si="76"/>
        <v>463.0424128210725</v>
      </c>
      <c r="K636" s="27">
        <f t="shared" si="77"/>
        <v>3982.3181849781777</v>
      </c>
    </row>
    <row r="637" spans="1:11" x14ac:dyDescent="0.25">
      <c r="A637" s="26">
        <v>587</v>
      </c>
      <c r="B637" s="82">
        <f t="shared" si="78"/>
        <v>0</v>
      </c>
      <c r="C637" s="58">
        <f t="shared" si="74"/>
        <v>104.50616427295054</v>
      </c>
      <c r="D637" s="83">
        <f t="shared" si="79"/>
        <v>445.77777777777789</v>
      </c>
      <c r="E637">
        <f t="shared" si="75"/>
        <v>0</v>
      </c>
      <c r="G637">
        <v>587</v>
      </c>
      <c r="H637" s="13">
        <f t="shared" si="80"/>
        <v>1.8572577375266519E-2</v>
      </c>
      <c r="I637">
        <f t="shared" si="81"/>
        <v>115.40826719223199</v>
      </c>
      <c r="J637">
        <f t="shared" si="76"/>
        <v>463.06612059463231</v>
      </c>
      <c r="K637" s="27">
        <f t="shared" si="77"/>
        <v>3982.7258483520777</v>
      </c>
    </row>
    <row r="638" spans="1:11" x14ac:dyDescent="0.25">
      <c r="A638" s="26">
        <v>588</v>
      </c>
      <c r="B638" s="82">
        <f t="shared" si="78"/>
        <v>0</v>
      </c>
      <c r="C638" s="58">
        <f t="shared" si="74"/>
        <v>104.50616427295054</v>
      </c>
      <c r="D638" s="83">
        <f t="shared" si="79"/>
        <v>445.77777777777789</v>
      </c>
      <c r="E638">
        <f t="shared" si="75"/>
        <v>0</v>
      </c>
      <c r="G638">
        <v>588</v>
      </c>
      <c r="H638" s="13">
        <f t="shared" si="80"/>
        <v>1.8572577375266519E-2</v>
      </c>
      <c r="I638">
        <f t="shared" si="81"/>
        <v>115.42683976960726</v>
      </c>
      <c r="J638">
        <f t="shared" si="76"/>
        <v>463.08981371313024</v>
      </c>
      <c r="K638" s="27">
        <f t="shared" si="77"/>
        <v>3983.133280639413</v>
      </c>
    </row>
    <row r="639" spans="1:11" x14ac:dyDescent="0.25">
      <c r="A639" s="26">
        <v>589</v>
      </c>
      <c r="B639" s="82">
        <f t="shared" si="78"/>
        <v>0</v>
      </c>
      <c r="C639" s="58">
        <f t="shared" si="74"/>
        <v>104.50616427295054</v>
      </c>
      <c r="D639" s="83">
        <f t="shared" si="79"/>
        <v>445.77777777777789</v>
      </c>
      <c r="E639">
        <f t="shared" si="75"/>
        <v>0</v>
      </c>
      <c r="G639">
        <v>589</v>
      </c>
      <c r="H639" s="13">
        <f t="shared" si="80"/>
        <v>1.8572577375266519E-2</v>
      </c>
      <c r="I639">
        <f t="shared" si="81"/>
        <v>115.44541234698252</v>
      </c>
      <c r="J639">
        <f t="shared" si="76"/>
        <v>463.11349219339093</v>
      </c>
      <c r="K639" s="27">
        <f t="shared" si="77"/>
        <v>3983.5404820906456</v>
      </c>
    </row>
    <row r="640" spans="1:11" x14ac:dyDescent="0.25">
      <c r="A640" s="26">
        <v>590</v>
      </c>
      <c r="B640" s="82">
        <f t="shared" si="78"/>
        <v>0</v>
      </c>
      <c r="C640" s="58">
        <f t="shared" si="74"/>
        <v>104.50616427295054</v>
      </c>
      <c r="D640" s="83">
        <f t="shared" si="79"/>
        <v>445.77777777777789</v>
      </c>
      <c r="E640">
        <f t="shared" si="75"/>
        <v>0</v>
      </c>
      <c r="G640">
        <v>590</v>
      </c>
      <c r="H640" s="13">
        <f t="shared" si="80"/>
        <v>1.8572577375266519E-2</v>
      </c>
      <c r="I640">
        <f t="shared" si="81"/>
        <v>115.46398492435779</v>
      </c>
      <c r="J640">
        <f t="shared" si="76"/>
        <v>463.1371560522029</v>
      </c>
      <c r="K640" s="27">
        <f t="shared" si="77"/>
        <v>3983.9474529556992</v>
      </c>
    </row>
    <row r="641" spans="1:11" x14ac:dyDescent="0.25">
      <c r="A641" s="26">
        <v>591</v>
      </c>
      <c r="B641" s="82">
        <f t="shared" si="78"/>
        <v>0</v>
      </c>
      <c r="C641" s="58">
        <f t="shared" si="74"/>
        <v>104.50616427295054</v>
      </c>
      <c r="D641" s="83">
        <f t="shared" si="79"/>
        <v>445.77777777777789</v>
      </c>
      <c r="E641">
        <f t="shared" si="75"/>
        <v>0</v>
      </c>
      <c r="G641">
        <v>591</v>
      </c>
      <c r="H641" s="13">
        <f t="shared" si="80"/>
        <v>1.8572577375266519E-2</v>
      </c>
      <c r="I641">
        <f t="shared" si="81"/>
        <v>115.48255750173306</v>
      </c>
      <c r="J641">
        <f t="shared" si="76"/>
        <v>463.16080530631865</v>
      </c>
      <c r="K641" s="27">
        <f t="shared" si="77"/>
        <v>3984.3541934839636</v>
      </c>
    </row>
    <row r="642" spans="1:11" x14ac:dyDescent="0.25">
      <c r="A642" s="26">
        <v>592</v>
      </c>
      <c r="B642" s="82">
        <f t="shared" si="78"/>
        <v>0</v>
      </c>
      <c r="C642" s="58">
        <f t="shared" si="74"/>
        <v>104.50616427295054</v>
      </c>
      <c r="D642" s="83">
        <f t="shared" si="79"/>
        <v>445.77777777777789</v>
      </c>
      <c r="E642">
        <f t="shared" si="75"/>
        <v>0</v>
      </c>
      <c r="G642">
        <v>592</v>
      </c>
      <c r="H642" s="13">
        <f t="shared" si="80"/>
        <v>1.8572577375266519E-2</v>
      </c>
      <c r="I642">
        <f t="shared" si="81"/>
        <v>115.50113007910832</v>
      </c>
      <c r="J642">
        <f t="shared" si="76"/>
        <v>463.18443997245481</v>
      </c>
      <c r="K642" s="27">
        <f t="shared" si="77"/>
        <v>3984.7607039242962</v>
      </c>
    </row>
    <row r="643" spans="1:11" x14ac:dyDescent="0.25">
      <c r="A643" s="26">
        <v>593</v>
      </c>
      <c r="B643" s="82">
        <f t="shared" si="78"/>
        <v>0</v>
      </c>
      <c r="C643" s="58">
        <f t="shared" si="74"/>
        <v>104.50616427295054</v>
      </c>
      <c r="D643" s="83">
        <f t="shared" si="79"/>
        <v>445.77777777777789</v>
      </c>
      <c r="E643">
        <f t="shared" si="75"/>
        <v>0</v>
      </c>
      <c r="G643">
        <v>593</v>
      </c>
      <c r="H643" s="13">
        <f t="shared" si="80"/>
        <v>1.8572577375266519E-2</v>
      </c>
      <c r="I643">
        <f t="shared" si="81"/>
        <v>115.51970265648359</v>
      </c>
      <c r="J643">
        <f t="shared" si="76"/>
        <v>463.20806006729231</v>
      </c>
      <c r="K643" s="27">
        <f t="shared" si="77"/>
        <v>3985.1669845250176</v>
      </c>
    </row>
    <row r="644" spans="1:11" x14ac:dyDescent="0.25">
      <c r="A644" s="26">
        <v>594</v>
      </c>
      <c r="B644" s="82">
        <f t="shared" si="78"/>
        <v>0</v>
      </c>
      <c r="C644" s="58">
        <f t="shared" si="74"/>
        <v>104.50616427295054</v>
      </c>
      <c r="D644" s="83">
        <f t="shared" si="79"/>
        <v>445.77777777777789</v>
      </c>
      <c r="E644">
        <f t="shared" si="75"/>
        <v>0</v>
      </c>
      <c r="G644">
        <v>594</v>
      </c>
      <c r="H644" s="13">
        <f t="shared" si="80"/>
        <v>1.8572577375266519E-2</v>
      </c>
      <c r="I644">
        <f t="shared" si="81"/>
        <v>115.53827523385885</v>
      </c>
      <c r="J644">
        <f t="shared" si="76"/>
        <v>463.23166560747615</v>
      </c>
      <c r="K644" s="27">
        <f t="shared" si="77"/>
        <v>3985.5730355339183</v>
      </c>
    </row>
    <row r="645" spans="1:11" x14ac:dyDescent="0.25">
      <c r="A645" s="26">
        <v>595</v>
      </c>
      <c r="B645" s="82">
        <f t="shared" si="78"/>
        <v>0</v>
      </c>
      <c r="C645" s="58">
        <f t="shared" si="74"/>
        <v>104.50616427295054</v>
      </c>
      <c r="D645" s="83">
        <f t="shared" si="79"/>
        <v>445.77777777777789</v>
      </c>
      <c r="E645">
        <f t="shared" si="75"/>
        <v>0</v>
      </c>
      <c r="G645">
        <v>595</v>
      </c>
      <c r="H645" s="13">
        <f t="shared" si="80"/>
        <v>1.8572577375266519E-2</v>
      </c>
      <c r="I645">
        <f t="shared" si="81"/>
        <v>115.55684781123412</v>
      </c>
      <c r="J645">
        <f t="shared" si="76"/>
        <v>463.25525660961597</v>
      </c>
      <c r="K645" s="27">
        <f t="shared" si="77"/>
        <v>3985.9788571982631</v>
      </c>
    </row>
    <row r="646" spans="1:11" x14ac:dyDescent="0.25">
      <c r="A646" s="26">
        <v>596</v>
      </c>
      <c r="B646" s="82">
        <f t="shared" si="78"/>
        <v>0</v>
      </c>
      <c r="C646" s="58">
        <f t="shared" si="74"/>
        <v>104.50616427295054</v>
      </c>
      <c r="D646" s="83">
        <f t="shared" si="79"/>
        <v>445.77777777777789</v>
      </c>
      <c r="E646">
        <f t="shared" si="75"/>
        <v>0</v>
      </c>
      <c r="G646">
        <v>596</v>
      </c>
      <c r="H646" s="13">
        <f t="shared" si="80"/>
        <v>1.8572577375266519E-2</v>
      </c>
      <c r="I646">
        <f t="shared" si="81"/>
        <v>115.57542038860939</v>
      </c>
      <c r="J646">
        <f t="shared" si="76"/>
        <v>463.2788330902859</v>
      </c>
      <c r="K646" s="27">
        <f t="shared" si="77"/>
        <v>3986.3844497647856</v>
      </c>
    </row>
    <row r="647" spans="1:11" x14ac:dyDescent="0.25">
      <c r="A647" s="26">
        <v>597</v>
      </c>
      <c r="B647" s="82">
        <f t="shared" si="78"/>
        <v>0</v>
      </c>
      <c r="C647" s="58">
        <f t="shared" si="74"/>
        <v>104.50616427295054</v>
      </c>
      <c r="D647" s="83">
        <f t="shared" si="79"/>
        <v>445.77777777777789</v>
      </c>
      <c r="E647">
        <f t="shared" si="75"/>
        <v>0</v>
      </c>
      <c r="G647">
        <v>597</v>
      </c>
      <c r="H647" s="13">
        <f t="shared" si="80"/>
        <v>1.8572577375266519E-2</v>
      </c>
      <c r="I647">
        <f t="shared" si="81"/>
        <v>115.59399296598465</v>
      </c>
      <c r="J647">
        <f t="shared" si="76"/>
        <v>463.3023950660247</v>
      </c>
      <c r="K647" s="27">
        <f t="shared" si="77"/>
        <v>3986.789813479691</v>
      </c>
    </row>
    <row r="648" spans="1:11" x14ac:dyDescent="0.25">
      <c r="A648" s="26">
        <v>598</v>
      </c>
      <c r="B648" s="82">
        <f t="shared" si="78"/>
        <v>0</v>
      </c>
      <c r="C648" s="58">
        <f t="shared" si="74"/>
        <v>104.50616427295054</v>
      </c>
      <c r="D648" s="83">
        <f t="shared" si="79"/>
        <v>445.77777777777789</v>
      </c>
      <c r="E648">
        <f t="shared" si="75"/>
        <v>0</v>
      </c>
      <c r="G648">
        <v>598</v>
      </c>
      <c r="H648" s="13">
        <f t="shared" si="80"/>
        <v>1.8572577375266519E-2</v>
      </c>
      <c r="I648">
        <f t="shared" si="81"/>
        <v>115.61256554335992</v>
      </c>
      <c r="J648">
        <f t="shared" si="76"/>
        <v>463.32594255333572</v>
      </c>
      <c r="K648" s="27">
        <f t="shared" si="77"/>
        <v>3987.1949485886671</v>
      </c>
    </row>
    <row r="649" spans="1:11" x14ac:dyDescent="0.25">
      <c r="A649" s="26">
        <v>599</v>
      </c>
      <c r="B649" s="82">
        <f t="shared" si="78"/>
        <v>0</v>
      </c>
      <c r="C649" s="58">
        <f t="shared" si="74"/>
        <v>104.50616427295054</v>
      </c>
      <c r="D649" s="83">
        <f t="shared" si="79"/>
        <v>445.77777777777789</v>
      </c>
      <c r="E649">
        <f t="shared" si="75"/>
        <v>0</v>
      </c>
      <c r="G649">
        <v>599</v>
      </c>
      <c r="H649" s="13">
        <f t="shared" si="80"/>
        <v>1.8572577375266519E-2</v>
      </c>
      <c r="I649">
        <f t="shared" si="81"/>
        <v>115.63113812073519</v>
      </c>
      <c r="J649">
        <f t="shared" si="76"/>
        <v>463.34947556868747</v>
      </c>
      <c r="K649" s="27">
        <f t="shared" si="77"/>
        <v>3987.5998553368718</v>
      </c>
    </row>
    <row r="650" spans="1:11" x14ac:dyDescent="0.25">
      <c r="A650" s="26">
        <v>600</v>
      </c>
      <c r="B650" s="82">
        <f t="shared" si="78"/>
        <v>0</v>
      </c>
      <c r="C650" s="58">
        <f t="shared" si="74"/>
        <v>104.50616427295054</v>
      </c>
      <c r="D650" s="83">
        <f t="shared" si="79"/>
        <v>445.77777777777789</v>
      </c>
      <c r="E650">
        <f t="shared" si="75"/>
        <v>0</v>
      </c>
      <c r="G650">
        <v>600</v>
      </c>
      <c r="H650" s="13">
        <f t="shared" si="80"/>
        <v>1.8572577375266519E-2</v>
      </c>
      <c r="I650">
        <f t="shared" si="81"/>
        <v>115.64971069811045</v>
      </c>
      <c r="J650">
        <f t="shared" si="76"/>
        <v>463.37299412851314</v>
      </c>
      <c r="K650" s="27">
        <f t="shared" si="77"/>
        <v>3988.0045339689445</v>
      </c>
    </row>
    <row r="651" spans="1:11" x14ac:dyDescent="0.25">
      <c r="A651" s="26">
        <v>601</v>
      </c>
      <c r="B651" s="82">
        <f t="shared" si="78"/>
        <v>0</v>
      </c>
      <c r="C651" s="58">
        <f t="shared" si="74"/>
        <v>104.50616427295054</v>
      </c>
      <c r="D651" s="83">
        <f t="shared" si="79"/>
        <v>445.77777777777789</v>
      </c>
      <c r="E651">
        <f t="shared" si="75"/>
        <v>0</v>
      </c>
      <c r="G651">
        <v>601</v>
      </c>
      <c r="H651" s="13">
        <f t="shared" si="80"/>
        <v>1.8572577375266519E-2</v>
      </c>
      <c r="I651">
        <f t="shared" si="81"/>
        <v>115.66828327548572</v>
      </c>
      <c r="J651">
        <f t="shared" si="76"/>
        <v>463.39649824921105</v>
      </c>
      <c r="K651" s="27">
        <f t="shared" si="77"/>
        <v>3988.4089847290034</v>
      </c>
    </row>
    <row r="652" spans="1:11" x14ac:dyDescent="0.25">
      <c r="A652" s="26">
        <v>602</v>
      </c>
      <c r="B652" s="82">
        <f t="shared" si="78"/>
        <v>0</v>
      </c>
      <c r="C652" s="58">
        <f t="shared" si="74"/>
        <v>104.50616427295054</v>
      </c>
      <c r="D652" s="83">
        <f t="shared" si="79"/>
        <v>445.77777777777789</v>
      </c>
      <c r="E652">
        <f t="shared" si="75"/>
        <v>0</v>
      </c>
      <c r="G652">
        <v>602</v>
      </c>
      <c r="H652" s="13">
        <f t="shared" si="80"/>
        <v>1.8572577375266519E-2</v>
      </c>
      <c r="I652">
        <f t="shared" si="81"/>
        <v>115.68685585286099</v>
      </c>
      <c r="J652">
        <f t="shared" si="76"/>
        <v>463.41998794714476</v>
      </c>
      <c r="K652" s="27">
        <f t="shared" si="77"/>
        <v>3988.8132078606518</v>
      </c>
    </row>
    <row r="653" spans="1:11" x14ac:dyDescent="0.25">
      <c r="A653" s="26">
        <v>603</v>
      </c>
      <c r="B653" s="82">
        <f t="shared" si="78"/>
        <v>0</v>
      </c>
      <c r="C653" s="58">
        <f t="shared" si="74"/>
        <v>104.50616427295054</v>
      </c>
      <c r="D653" s="83">
        <f t="shared" si="79"/>
        <v>445.77777777777789</v>
      </c>
      <c r="E653">
        <f t="shared" si="75"/>
        <v>0</v>
      </c>
      <c r="G653">
        <v>603</v>
      </c>
      <c r="H653" s="13">
        <f t="shared" si="80"/>
        <v>1.8572577375266519E-2</v>
      </c>
      <c r="I653">
        <f t="shared" si="81"/>
        <v>115.70542843023625</v>
      </c>
      <c r="J653">
        <f t="shared" si="76"/>
        <v>463.44346323864301</v>
      </c>
      <c r="K653" s="27">
        <f t="shared" si="77"/>
        <v>3989.2172036069696</v>
      </c>
    </row>
    <row r="654" spans="1:11" x14ac:dyDescent="0.25">
      <c r="A654" s="26">
        <v>604</v>
      </c>
      <c r="B654" s="82">
        <f t="shared" si="78"/>
        <v>0</v>
      </c>
      <c r="C654" s="58">
        <f t="shared" si="74"/>
        <v>104.50616427295054</v>
      </c>
      <c r="D654" s="83">
        <f t="shared" si="79"/>
        <v>445.77777777777789</v>
      </c>
      <c r="E654">
        <f t="shared" si="75"/>
        <v>0</v>
      </c>
      <c r="G654">
        <v>604</v>
      </c>
      <c r="H654" s="13">
        <f t="shared" si="80"/>
        <v>1.8572577375266519E-2</v>
      </c>
      <c r="I654">
        <f t="shared" si="81"/>
        <v>115.72400100761152</v>
      </c>
      <c r="J654">
        <f t="shared" si="76"/>
        <v>463.46692413999995</v>
      </c>
      <c r="K654" s="27">
        <f t="shared" si="77"/>
        <v>3989.6209722105273</v>
      </c>
    </row>
    <row r="655" spans="1:11" x14ac:dyDescent="0.25">
      <c r="A655" s="26">
        <v>605</v>
      </c>
      <c r="B655" s="82">
        <f t="shared" si="78"/>
        <v>0</v>
      </c>
      <c r="C655" s="58">
        <f t="shared" si="74"/>
        <v>104.50616427295054</v>
      </c>
      <c r="D655" s="83">
        <f t="shared" si="79"/>
        <v>445.77777777777789</v>
      </c>
      <c r="E655">
        <f t="shared" si="75"/>
        <v>0</v>
      </c>
      <c r="G655">
        <v>605</v>
      </c>
      <c r="H655" s="13">
        <f t="shared" si="80"/>
        <v>1.8572577375266519E-2</v>
      </c>
      <c r="I655">
        <f t="shared" si="81"/>
        <v>115.74257358498679</v>
      </c>
      <c r="J655">
        <f t="shared" si="76"/>
        <v>463.49037066747513</v>
      </c>
      <c r="K655" s="27">
        <f t="shared" si="77"/>
        <v>3990.024513913379</v>
      </c>
    </row>
    <row r="656" spans="1:11" x14ac:dyDescent="0.25">
      <c r="A656" s="26">
        <v>606</v>
      </c>
      <c r="B656" s="82">
        <f t="shared" si="78"/>
        <v>0</v>
      </c>
      <c r="C656" s="58">
        <f t="shared" ref="C656:C719" si="82">($C$37-$C$36)/2000+C655</f>
        <v>104.50616427295054</v>
      </c>
      <c r="D656" s="83">
        <f t="shared" si="79"/>
        <v>445.77777777777789</v>
      </c>
      <c r="E656">
        <f t="shared" si="75"/>
        <v>0</v>
      </c>
      <c r="G656">
        <v>606</v>
      </c>
      <c r="H656" s="13">
        <f t="shared" si="80"/>
        <v>1.8572577375266519E-2</v>
      </c>
      <c r="I656">
        <f t="shared" si="81"/>
        <v>115.76114616236205</v>
      </c>
      <c r="J656">
        <f t="shared" si="76"/>
        <v>463.51380283729384</v>
      </c>
      <c r="K656" s="27">
        <f t="shared" si="77"/>
        <v>3990.4278289570666</v>
      </c>
    </row>
    <row r="657" spans="1:11" x14ac:dyDescent="0.25">
      <c r="A657" s="26">
        <v>607</v>
      </c>
      <c r="B657" s="82">
        <f t="shared" si="78"/>
        <v>0</v>
      </c>
      <c r="C657" s="58">
        <f t="shared" si="82"/>
        <v>104.50616427295054</v>
      </c>
      <c r="D657" s="83">
        <f t="shared" si="79"/>
        <v>445.77777777777789</v>
      </c>
      <c r="E657">
        <f t="shared" si="75"/>
        <v>0</v>
      </c>
      <c r="G657">
        <v>607</v>
      </c>
      <c r="H657" s="13">
        <f t="shared" si="80"/>
        <v>1.8572577375266519E-2</v>
      </c>
      <c r="I657">
        <f t="shared" si="81"/>
        <v>115.77971873973732</v>
      </c>
      <c r="J657">
        <f t="shared" si="76"/>
        <v>463.53722066564683</v>
      </c>
      <c r="K657" s="27">
        <f t="shared" si="77"/>
        <v>3990.830917582623</v>
      </c>
    </row>
    <row r="658" spans="1:11" x14ac:dyDescent="0.25">
      <c r="A658" s="26">
        <v>608</v>
      </c>
      <c r="B658" s="82">
        <f t="shared" si="78"/>
        <v>0</v>
      </c>
      <c r="C658" s="58">
        <f t="shared" si="82"/>
        <v>104.50616427295054</v>
      </c>
      <c r="D658" s="83">
        <f t="shared" si="79"/>
        <v>445.77777777777789</v>
      </c>
      <c r="E658">
        <f t="shared" si="75"/>
        <v>0</v>
      </c>
      <c r="G658">
        <v>608</v>
      </c>
      <c r="H658" s="13">
        <f t="shared" si="80"/>
        <v>1.8572577375266519E-2</v>
      </c>
      <c r="I658">
        <f t="shared" si="81"/>
        <v>115.79829131711259</v>
      </c>
      <c r="J658">
        <f t="shared" si="76"/>
        <v>463.56062416869088</v>
      </c>
      <c r="K658" s="27">
        <f t="shared" si="77"/>
        <v>3991.2337800305686</v>
      </c>
    </row>
    <row r="659" spans="1:11" x14ac:dyDescent="0.25">
      <c r="A659" s="26">
        <v>609</v>
      </c>
      <c r="B659" s="82">
        <f t="shared" si="78"/>
        <v>0</v>
      </c>
      <c r="C659" s="58">
        <f t="shared" si="82"/>
        <v>104.50616427295054</v>
      </c>
      <c r="D659" s="83">
        <f t="shared" si="79"/>
        <v>445.77777777777789</v>
      </c>
      <c r="E659">
        <f t="shared" si="75"/>
        <v>0</v>
      </c>
      <c r="G659">
        <v>609</v>
      </c>
      <c r="H659" s="13">
        <f t="shared" si="80"/>
        <v>1.8572577375266519E-2</v>
      </c>
      <c r="I659">
        <f t="shared" si="81"/>
        <v>115.81686389448785</v>
      </c>
      <c r="J659">
        <f t="shared" si="76"/>
        <v>463.58401336254832</v>
      </c>
      <c r="K659" s="27">
        <f t="shared" si="77"/>
        <v>3991.6364165409191</v>
      </c>
    </row>
    <row r="660" spans="1:11" x14ac:dyDescent="0.25">
      <c r="A660" s="26">
        <v>610</v>
      </c>
      <c r="B660" s="82">
        <f t="shared" si="78"/>
        <v>0</v>
      </c>
      <c r="C660" s="58">
        <f t="shared" si="82"/>
        <v>104.50616427295054</v>
      </c>
      <c r="D660" s="83">
        <f t="shared" si="79"/>
        <v>445.77777777777789</v>
      </c>
      <c r="E660">
        <f t="shared" si="75"/>
        <v>0</v>
      </c>
      <c r="G660">
        <v>610</v>
      </c>
      <c r="H660" s="13">
        <f t="shared" si="80"/>
        <v>1.8572577375266519E-2</v>
      </c>
      <c r="I660">
        <f t="shared" si="81"/>
        <v>115.83543647186312</v>
      </c>
      <c r="J660">
        <f t="shared" si="76"/>
        <v>463.60738826330783</v>
      </c>
      <c r="K660" s="27">
        <f t="shared" si="77"/>
        <v>3992.0388273531826</v>
      </c>
    </row>
    <row r="661" spans="1:11" x14ac:dyDescent="0.25">
      <c r="A661" s="26">
        <v>611</v>
      </c>
      <c r="B661" s="82">
        <f t="shared" si="78"/>
        <v>0</v>
      </c>
      <c r="C661" s="58">
        <f t="shared" si="82"/>
        <v>104.50616427295054</v>
      </c>
      <c r="D661" s="83">
        <f t="shared" si="79"/>
        <v>445.77777777777789</v>
      </c>
      <c r="E661">
        <f t="shared" si="75"/>
        <v>0</v>
      </c>
      <c r="G661">
        <v>611</v>
      </c>
      <c r="H661" s="13">
        <f t="shared" si="80"/>
        <v>1.8572577375266519E-2</v>
      </c>
      <c r="I661">
        <f t="shared" si="81"/>
        <v>115.85400904923839</v>
      </c>
      <c r="J661">
        <f t="shared" si="76"/>
        <v>463.63074888702386</v>
      </c>
      <c r="K661" s="27">
        <f t="shared" si="77"/>
        <v>3992.441012706362</v>
      </c>
    </row>
    <row r="662" spans="1:11" x14ac:dyDescent="0.25">
      <c r="A662" s="26">
        <v>612</v>
      </c>
      <c r="B662" s="82">
        <f t="shared" si="78"/>
        <v>0</v>
      </c>
      <c r="C662" s="58">
        <f t="shared" si="82"/>
        <v>104.50616427295054</v>
      </c>
      <c r="D662" s="83">
        <f t="shared" si="79"/>
        <v>445.77777777777789</v>
      </c>
      <c r="E662">
        <f t="shared" si="75"/>
        <v>0</v>
      </c>
      <c r="G662">
        <v>612</v>
      </c>
      <c r="H662" s="13">
        <f t="shared" si="80"/>
        <v>1.8572577375266519E-2</v>
      </c>
      <c r="I662">
        <f t="shared" si="81"/>
        <v>115.87258162661365</v>
      </c>
      <c r="J662">
        <f t="shared" si="76"/>
        <v>463.65409524971716</v>
      </c>
      <c r="K662" s="27">
        <f t="shared" si="77"/>
        <v>3992.8429728389583</v>
      </c>
    </row>
    <row r="663" spans="1:11" x14ac:dyDescent="0.25">
      <c r="A663" s="26">
        <v>613</v>
      </c>
      <c r="B663" s="82">
        <f t="shared" si="78"/>
        <v>0</v>
      </c>
      <c r="C663" s="58">
        <f t="shared" si="82"/>
        <v>104.50616427295054</v>
      </c>
      <c r="D663" s="83">
        <f t="shared" si="79"/>
        <v>445.77777777777789</v>
      </c>
      <c r="E663">
        <f t="shared" si="75"/>
        <v>0</v>
      </c>
      <c r="G663">
        <v>613</v>
      </c>
      <c r="H663" s="13">
        <f t="shared" si="80"/>
        <v>1.8572577375266519E-2</v>
      </c>
      <c r="I663">
        <f t="shared" si="81"/>
        <v>115.89115420398892</v>
      </c>
      <c r="J663">
        <f t="shared" si="76"/>
        <v>463.67742736737489</v>
      </c>
      <c r="K663" s="27">
        <f t="shared" si="77"/>
        <v>3993.2447079889685</v>
      </c>
    </row>
    <row r="664" spans="1:11" x14ac:dyDescent="0.25">
      <c r="A664" s="26">
        <v>614</v>
      </c>
      <c r="B664" s="82">
        <f t="shared" si="78"/>
        <v>0</v>
      </c>
      <c r="C664" s="58">
        <f t="shared" si="82"/>
        <v>104.50616427295054</v>
      </c>
      <c r="D664" s="83">
        <f t="shared" si="79"/>
        <v>445.77777777777789</v>
      </c>
      <c r="E664">
        <f t="shared" si="75"/>
        <v>0</v>
      </c>
      <c r="G664">
        <v>614</v>
      </c>
      <c r="H664" s="13">
        <f t="shared" si="80"/>
        <v>1.8572577375266519E-2</v>
      </c>
      <c r="I664">
        <f t="shared" si="81"/>
        <v>115.90972678136418</v>
      </c>
      <c r="J664">
        <f t="shared" si="76"/>
        <v>463.70074525595032</v>
      </c>
      <c r="K664" s="27">
        <f t="shared" si="77"/>
        <v>3993.6462183938934</v>
      </c>
    </row>
    <row r="665" spans="1:11" x14ac:dyDescent="0.25">
      <c r="A665" s="26">
        <v>615</v>
      </c>
      <c r="B665" s="82">
        <f t="shared" si="78"/>
        <v>0</v>
      </c>
      <c r="C665" s="58">
        <f t="shared" si="82"/>
        <v>104.50616427295054</v>
      </c>
      <c r="D665" s="83">
        <f t="shared" si="79"/>
        <v>445.77777777777789</v>
      </c>
      <c r="E665">
        <f t="shared" si="75"/>
        <v>0</v>
      </c>
      <c r="G665">
        <v>615</v>
      </c>
      <c r="H665" s="13">
        <f t="shared" si="80"/>
        <v>1.8572577375266519E-2</v>
      </c>
      <c r="I665">
        <f t="shared" si="81"/>
        <v>115.92829935873945</v>
      </c>
      <c r="J665">
        <f t="shared" si="76"/>
        <v>463.72404893136348</v>
      </c>
      <c r="K665" s="27">
        <f t="shared" si="77"/>
        <v>3994.0475042907306</v>
      </c>
    </row>
    <row r="666" spans="1:11" x14ac:dyDescent="0.25">
      <c r="A666" s="26">
        <v>616</v>
      </c>
      <c r="B666" s="82">
        <f t="shared" si="78"/>
        <v>0</v>
      </c>
      <c r="C666" s="58">
        <f t="shared" si="82"/>
        <v>104.50616427295054</v>
      </c>
      <c r="D666" s="83">
        <f t="shared" si="79"/>
        <v>445.77777777777789</v>
      </c>
      <c r="E666">
        <f t="shared" si="75"/>
        <v>0</v>
      </c>
      <c r="G666">
        <v>616</v>
      </c>
      <c r="H666" s="13">
        <f t="shared" si="80"/>
        <v>1.8572577375266519E-2</v>
      </c>
      <c r="I666">
        <f t="shared" si="81"/>
        <v>115.94687193611472</v>
      </c>
      <c r="J666">
        <f t="shared" si="76"/>
        <v>463.74733840950074</v>
      </c>
      <c r="K666" s="27">
        <f t="shared" si="77"/>
        <v>3994.4485659159818</v>
      </c>
    </row>
    <row r="667" spans="1:11" x14ac:dyDescent="0.25">
      <c r="A667" s="26">
        <v>617</v>
      </c>
      <c r="B667" s="82">
        <f t="shared" si="78"/>
        <v>0</v>
      </c>
      <c r="C667" s="58">
        <f t="shared" si="82"/>
        <v>104.50616427295054</v>
      </c>
      <c r="D667" s="83">
        <f t="shared" si="79"/>
        <v>445.77777777777789</v>
      </c>
      <c r="E667">
        <f t="shared" si="75"/>
        <v>0</v>
      </c>
      <c r="G667">
        <v>617</v>
      </c>
      <c r="H667" s="13">
        <f t="shared" si="80"/>
        <v>1.8572577375266519E-2</v>
      </c>
      <c r="I667">
        <f t="shared" si="81"/>
        <v>115.96544451348998</v>
      </c>
      <c r="J667">
        <f t="shared" si="76"/>
        <v>463.77061370621533</v>
      </c>
      <c r="K667" s="27">
        <f t="shared" si="77"/>
        <v>3994.8494035056551</v>
      </c>
    </row>
    <row r="668" spans="1:11" x14ac:dyDescent="0.25">
      <c r="A668" s="26">
        <v>618</v>
      </c>
      <c r="B668" s="82">
        <f t="shared" si="78"/>
        <v>0</v>
      </c>
      <c r="C668" s="58">
        <f t="shared" si="82"/>
        <v>104.50616427295054</v>
      </c>
      <c r="D668" s="83">
        <f t="shared" si="79"/>
        <v>445.77777777777789</v>
      </c>
      <c r="E668">
        <f t="shared" si="75"/>
        <v>0</v>
      </c>
      <c r="G668">
        <v>618</v>
      </c>
      <c r="H668" s="13">
        <f t="shared" si="80"/>
        <v>1.8572577375266519E-2</v>
      </c>
      <c r="I668">
        <f t="shared" si="81"/>
        <v>115.98401709086525</v>
      </c>
      <c r="J668">
        <f t="shared" si="76"/>
        <v>463.79387483732711</v>
      </c>
      <c r="K668" s="27">
        <f t="shared" si="77"/>
        <v>3995.25001729526</v>
      </c>
    </row>
    <row r="669" spans="1:11" x14ac:dyDescent="0.25">
      <c r="A669" s="26">
        <v>619</v>
      </c>
      <c r="B669" s="82">
        <f t="shared" si="78"/>
        <v>0</v>
      </c>
      <c r="C669" s="58">
        <f t="shared" si="82"/>
        <v>104.50616427295054</v>
      </c>
      <c r="D669" s="83">
        <f t="shared" si="79"/>
        <v>445.77777777777789</v>
      </c>
      <c r="E669">
        <f t="shared" si="75"/>
        <v>0</v>
      </c>
      <c r="G669">
        <v>619</v>
      </c>
      <c r="H669" s="13">
        <f t="shared" si="80"/>
        <v>1.8572577375266519E-2</v>
      </c>
      <c r="I669">
        <f t="shared" si="81"/>
        <v>116.00258966824052</v>
      </c>
      <c r="J669">
        <f t="shared" si="76"/>
        <v>463.81712181862292</v>
      </c>
      <c r="K669" s="27">
        <f t="shared" si="77"/>
        <v>3995.6504075198177</v>
      </c>
    </row>
    <row r="670" spans="1:11" x14ac:dyDescent="0.25">
      <c r="A670" s="26">
        <v>620</v>
      </c>
      <c r="B670" s="82">
        <f t="shared" si="78"/>
        <v>0</v>
      </c>
      <c r="C670" s="58">
        <f t="shared" si="82"/>
        <v>104.50616427295054</v>
      </c>
      <c r="D670" s="83">
        <f t="shared" si="79"/>
        <v>445.77777777777789</v>
      </c>
      <c r="E670">
        <f t="shared" si="75"/>
        <v>0</v>
      </c>
      <c r="G670">
        <v>620</v>
      </c>
      <c r="H670" s="13">
        <f t="shared" si="80"/>
        <v>1.8572577375266519E-2</v>
      </c>
      <c r="I670">
        <f t="shared" si="81"/>
        <v>116.02116224561578</v>
      </c>
      <c r="J670">
        <f t="shared" si="76"/>
        <v>463.84035466585658</v>
      </c>
      <c r="K670" s="27">
        <f t="shared" si="77"/>
        <v>3996.0505744138536</v>
      </c>
    </row>
    <row r="671" spans="1:11" x14ac:dyDescent="0.25">
      <c r="A671" s="26">
        <v>621</v>
      </c>
      <c r="B671" s="82">
        <f t="shared" si="78"/>
        <v>0</v>
      </c>
      <c r="C671" s="58">
        <f t="shared" si="82"/>
        <v>104.50616427295054</v>
      </c>
      <c r="D671" s="83">
        <f t="shared" si="79"/>
        <v>445.77777777777789</v>
      </c>
      <c r="E671">
        <f t="shared" si="75"/>
        <v>0</v>
      </c>
      <c r="G671">
        <v>621</v>
      </c>
      <c r="H671" s="13">
        <f t="shared" si="80"/>
        <v>1.8572577375266519E-2</v>
      </c>
      <c r="I671">
        <f t="shared" si="81"/>
        <v>116.03973482299105</v>
      </c>
      <c r="J671">
        <f t="shared" si="76"/>
        <v>463.86357339474881</v>
      </c>
      <c r="K671" s="27">
        <f t="shared" si="77"/>
        <v>3996.4505182114049</v>
      </c>
    </row>
    <row r="672" spans="1:11" x14ac:dyDescent="0.25">
      <c r="A672" s="26">
        <v>622</v>
      </c>
      <c r="B672" s="82">
        <f t="shared" si="78"/>
        <v>0</v>
      </c>
      <c r="C672" s="58">
        <f t="shared" si="82"/>
        <v>104.50616427295054</v>
      </c>
      <c r="D672" s="83">
        <f t="shared" si="79"/>
        <v>445.77777777777789</v>
      </c>
      <c r="E672">
        <f t="shared" si="75"/>
        <v>0</v>
      </c>
      <c r="G672">
        <v>622</v>
      </c>
      <c r="H672" s="13">
        <f t="shared" si="80"/>
        <v>1.8572577375266519E-2</v>
      </c>
      <c r="I672">
        <f t="shared" si="81"/>
        <v>116.05830740036632</v>
      </c>
      <c r="J672">
        <f t="shared" si="76"/>
        <v>463.88677802098766</v>
      </c>
      <c r="K672" s="27">
        <f t="shared" si="77"/>
        <v>3996.850239146022</v>
      </c>
    </row>
    <row r="673" spans="1:11" x14ac:dyDescent="0.25">
      <c r="A673" s="26">
        <v>623</v>
      </c>
      <c r="B673" s="82">
        <f t="shared" si="78"/>
        <v>0</v>
      </c>
      <c r="C673" s="58">
        <f t="shared" si="82"/>
        <v>104.50616427295054</v>
      </c>
      <c r="D673" s="83">
        <f t="shared" si="79"/>
        <v>445.77777777777789</v>
      </c>
      <c r="E673">
        <f t="shared" si="75"/>
        <v>0</v>
      </c>
      <c r="G673">
        <v>623</v>
      </c>
      <c r="H673" s="13">
        <f t="shared" si="80"/>
        <v>1.8572577375266519E-2</v>
      </c>
      <c r="I673">
        <f t="shared" si="81"/>
        <v>116.07687997774158</v>
      </c>
      <c r="J673">
        <f t="shared" si="76"/>
        <v>463.90996856022838</v>
      </c>
      <c r="K673" s="27">
        <f t="shared" si="77"/>
        <v>3997.2497374507643</v>
      </c>
    </row>
    <row r="674" spans="1:11" x14ac:dyDescent="0.25">
      <c r="A674" s="26">
        <v>624</v>
      </c>
      <c r="B674" s="82">
        <f t="shared" si="78"/>
        <v>0</v>
      </c>
      <c r="C674" s="58">
        <f t="shared" si="82"/>
        <v>104.50616427295054</v>
      </c>
      <c r="D674" s="83">
        <f t="shared" si="79"/>
        <v>445.77777777777789</v>
      </c>
      <c r="E674">
        <f t="shared" si="75"/>
        <v>0</v>
      </c>
      <c r="G674">
        <v>624</v>
      </c>
      <c r="H674" s="13">
        <f t="shared" si="80"/>
        <v>1.8572577375266519E-2</v>
      </c>
      <c r="I674">
        <f t="shared" si="81"/>
        <v>116.09545255511685</v>
      </c>
      <c r="J674">
        <f t="shared" si="76"/>
        <v>463.93314502809358</v>
      </c>
      <c r="K674" s="27">
        <f t="shared" si="77"/>
        <v>3997.6490133582065</v>
      </c>
    </row>
    <row r="675" spans="1:11" x14ac:dyDescent="0.25">
      <c r="A675" s="26">
        <v>625</v>
      </c>
      <c r="B675" s="82">
        <f t="shared" si="78"/>
        <v>0</v>
      </c>
      <c r="C675" s="58">
        <f t="shared" si="82"/>
        <v>104.50616427295054</v>
      </c>
      <c r="D675" s="83">
        <f t="shared" si="79"/>
        <v>445.77777777777789</v>
      </c>
      <c r="E675">
        <f t="shared" si="75"/>
        <v>0</v>
      </c>
      <c r="G675">
        <v>625</v>
      </c>
      <c r="H675" s="13">
        <f t="shared" si="80"/>
        <v>1.8572577375266519E-2</v>
      </c>
      <c r="I675">
        <f t="shared" si="81"/>
        <v>116.11402513249212</v>
      </c>
      <c r="J675">
        <f t="shared" si="76"/>
        <v>463.95630744017325</v>
      </c>
      <c r="K675" s="27">
        <f t="shared" si="77"/>
        <v>3998.0480671004411</v>
      </c>
    </row>
    <row r="676" spans="1:11" x14ac:dyDescent="0.25">
      <c r="A676" s="26">
        <v>626</v>
      </c>
      <c r="B676" s="82">
        <f t="shared" si="78"/>
        <v>0</v>
      </c>
      <c r="C676" s="58">
        <f t="shared" si="82"/>
        <v>104.50616427295054</v>
      </c>
      <c r="D676" s="83">
        <f t="shared" si="79"/>
        <v>445.77777777777789</v>
      </c>
      <c r="E676">
        <f t="shared" si="75"/>
        <v>0</v>
      </c>
      <c r="G676">
        <v>626</v>
      </c>
      <c r="H676" s="13">
        <f t="shared" si="80"/>
        <v>1.8572577375266519E-2</v>
      </c>
      <c r="I676">
        <f t="shared" si="81"/>
        <v>116.13259770986738</v>
      </c>
      <c r="J676">
        <f t="shared" si="76"/>
        <v>463.97945581202509</v>
      </c>
      <c r="K676" s="27">
        <f t="shared" si="77"/>
        <v>3998.4468989090783</v>
      </c>
    </row>
    <row r="677" spans="1:11" x14ac:dyDescent="0.25">
      <c r="A677" s="26">
        <v>627</v>
      </c>
      <c r="B677" s="82">
        <f t="shared" si="78"/>
        <v>0</v>
      </c>
      <c r="C677" s="58">
        <f t="shared" si="82"/>
        <v>104.50616427295054</v>
      </c>
      <c r="D677" s="83">
        <f t="shared" si="79"/>
        <v>445.77777777777789</v>
      </c>
      <c r="E677">
        <f t="shared" si="75"/>
        <v>0</v>
      </c>
      <c r="G677">
        <v>627</v>
      </c>
      <c r="H677" s="13">
        <f t="shared" si="80"/>
        <v>1.8572577375266519E-2</v>
      </c>
      <c r="I677">
        <f t="shared" si="81"/>
        <v>116.15117028724265</v>
      </c>
      <c r="J677">
        <f t="shared" si="76"/>
        <v>464.00259015917436</v>
      </c>
      <c r="K677" s="27">
        <f t="shared" si="77"/>
        <v>3998.8455090152415</v>
      </c>
    </row>
    <row r="678" spans="1:11" x14ac:dyDescent="0.25">
      <c r="A678" s="26">
        <v>628</v>
      </c>
      <c r="B678" s="82">
        <f t="shared" si="78"/>
        <v>0</v>
      </c>
      <c r="C678" s="58">
        <f t="shared" si="82"/>
        <v>104.50616427295054</v>
      </c>
      <c r="D678" s="83">
        <f t="shared" si="79"/>
        <v>445.77777777777789</v>
      </c>
      <c r="E678">
        <f t="shared" si="75"/>
        <v>0</v>
      </c>
      <c r="G678">
        <v>628</v>
      </c>
      <c r="H678" s="13">
        <f t="shared" si="80"/>
        <v>1.8572577375266519E-2</v>
      </c>
      <c r="I678">
        <f t="shared" si="81"/>
        <v>116.16974286461792</v>
      </c>
      <c r="J678">
        <f t="shared" si="76"/>
        <v>464.02571049711389</v>
      </c>
      <c r="K678" s="27">
        <f t="shared" si="77"/>
        <v>3999.2438976495778</v>
      </c>
    </row>
    <row r="679" spans="1:11" x14ac:dyDescent="0.25">
      <c r="A679" s="26">
        <v>629</v>
      </c>
      <c r="B679" s="82">
        <f t="shared" si="78"/>
        <v>0</v>
      </c>
      <c r="C679" s="58">
        <f t="shared" si="82"/>
        <v>104.50616427295054</v>
      </c>
      <c r="D679" s="83">
        <f t="shared" si="79"/>
        <v>445.77777777777789</v>
      </c>
      <c r="E679">
        <f t="shared" si="75"/>
        <v>0</v>
      </c>
      <c r="G679">
        <v>629</v>
      </c>
      <c r="H679" s="13">
        <f t="shared" si="80"/>
        <v>1.8572577375266519E-2</v>
      </c>
      <c r="I679">
        <f t="shared" si="81"/>
        <v>116.18831544199318</v>
      </c>
      <c r="J679">
        <f t="shared" si="76"/>
        <v>464.04881684130459</v>
      </c>
      <c r="K679" s="27">
        <f t="shared" si="77"/>
        <v>3999.6420650422556</v>
      </c>
    </row>
    <row r="680" spans="1:11" x14ac:dyDescent="0.25">
      <c r="A680" s="26">
        <v>630</v>
      </c>
      <c r="B680" s="82">
        <f t="shared" si="78"/>
        <v>0</v>
      </c>
      <c r="C680" s="58">
        <f t="shared" si="82"/>
        <v>104.50616427295054</v>
      </c>
      <c r="D680" s="83">
        <f t="shared" si="79"/>
        <v>445.77777777777789</v>
      </c>
      <c r="E680">
        <f t="shared" si="75"/>
        <v>0</v>
      </c>
      <c r="G680">
        <v>630</v>
      </c>
      <c r="H680" s="13">
        <f t="shared" si="80"/>
        <v>1.8572577375266519E-2</v>
      </c>
      <c r="I680">
        <f t="shared" si="81"/>
        <v>116.20688801936845</v>
      </c>
      <c r="J680">
        <f t="shared" si="76"/>
        <v>464.07190920717517</v>
      </c>
      <c r="K680" s="27">
        <f t="shared" si="77"/>
        <v>4000.0400114229637</v>
      </c>
    </row>
    <row r="681" spans="1:11" x14ac:dyDescent="0.25">
      <c r="A681" s="26">
        <v>631</v>
      </c>
      <c r="B681" s="82">
        <f t="shared" si="78"/>
        <v>0</v>
      </c>
      <c r="C681" s="58">
        <f t="shared" si="82"/>
        <v>104.50616427295054</v>
      </c>
      <c r="D681" s="83">
        <f t="shared" si="79"/>
        <v>445.77777777777789</v>
      </c>
      <c r="E681">
        <f t="shared" si="75"/>
        <v>0</v>
      </c>
      <c r="G681">
        <v>631</v>
      </c>
      <c r="H681" s="13">
        <f t="shared" si="80"/>
        <v>1.8572577375266519E-2</v>
      </c>
      <c r="I681">
        <f t="shared" si="81"/>
        <v>116.22546059674372</v>
      </c>
      <c r="J681">
        <f t="shared" si="76"/>
        <v>464.0949876101223</v>
      </c>
      <c r="K681" s="27">
        <f t="shared" si="77"/>
        <v>4000.4377370209181</v>
      </c>
    </row>
    <row r="682" spans="1:11" x14ac:dyDescent="0.25">
      <c r="A682" s="26">
        <v>632</v>
      </c>
      <c r="B682" s="82">
        <f t="shared" si="78"/>
        <v>0</v>
      </c>
      <c r="C682" s="58">
        <f t="shared" si="82"/>
        <v>104.50616427295054</v>
      </c>
      <c r="D682" s="83">
        <f t="shared" si="79"/>
        <v>445.77777777777789</v>
      </c>
      <c r="E682">
        <f t="shared" si="75"/>
        <v>0</v>
      </c>
      <c r="G682">
        <v>632</v>
      </c>
      <c r="H682" s="13">
        <f t="shared" si="80"/>
        <v>1.8572577375266519E-2</v>
      </c>
      <c r="I682">
        <f t="shared" si="81"/>
        <v>116.24403317411898</v>
      </c>
      <c r="J682">
        <f t="shared" si="76"/>
        <v>464.11805206551094</v>
      </c>
      <c r="K682" s="27">
        <f t="shared" si="77"/>
        <v>4000.8352420648589</v>
      </c>
    </row>
    <row r="683" spans="1:11" x14ac:dyDescent="0.25">
      <c r="A683" s="26">
        <v>633</v>
      </c>
      <c r="B683" s="82">
        <f t="shared" si="78"/>
        <v>0</v>
      </c>
      <c r="C683" s="58">
        <f t="shared" si="82"/>
        <v>104.50616427295054</v>
      </c>
      <c r="D683" s="83">
        <f t="shared" si="79"/>
        <v>445.77777777777789</v>
      </c>
      <c r="E683">
        <f t="shared" si="75"/>
        <v>0</v>
      </c>
      <c r="G683">
        <v>633</v>
      </c>
      <c r="H683" s="13">
        <f t="shared" si="80"/>
        <v>1.8572577375266519E-2</v>
      </c>
      <c r="I683">
        <f t="shared" si="81"/>
        <v>116.26260575149425</v>
      </c>
      <c r="J683">
        <f t="shared" si="76"/>
        <v>464.14110258867402</v>
      </c>
      <c r="K683" s="27">
        <f t="shared" si="77"/>
        <v>4001.2325267830497</v>
      </c>
    </row>
    <row r="684" spans="1:11" x14ac:dyDescent="0.25">
      <c r="A684" s="26">
        <v>634</v>
      </c>
      <c r="B684" s="82">
        <f t="shared" si="78"/>
        <v>0</v>
      </c>
      <c r="C684" s="58">
        <f t="shared" si="82"/>
        <v>104.50616427295054</v>
      </c>
      <c r="D684" s="83">
        <f t="shared" si="79"/>
        <v>445.77777777777789</v>
      </c>
      <c r="E684">
        <f t="shared" si="75"/>
        <v>0</v>
      </c>
      <c r="G684">
        <v>634</v>
      </c>
      <c r="H684" s="13">
        <f t="shared" si="80"/>
        <v>1.8572577375266519E-2</v>
      </c>
      <c r="I684">
        <f t="shared" si="81"/>
        <v>116.28117832886952</v>
      </c>
      <c r="J684">
        <f t="shared" si="76"/>
        <v>464.16413919491288</v>
      </c>
      <c r="K684" s="27">
        <f t="shared" si="77"/>
        <v>4001.6295914032889</v>
      </c>
    </row>
    <row r="685" spans="1:11" x14ac:dyDescent="0.25">
      <c r="A685" s="26">
        <v>635</v>
      </c>
      <c r="B685" s="82">
        <f t="shared" si="78"/>
        <v>0</v>
      </c>
      <c r="C685" s="58">
        <f t="shared" si="82"/>
        <v>104.50616427295054</v>
      </c>
      <c r="D685" s="83">
        <f t="shared" si="79"/>
        <v>445.77777777777789</v>
      </c>
      <c r="E685">
        <f t="shared" si="75"/>
        <v>0</v>
      </c>
      <c r="G685">
        <v>635</v>
      </c>
      <c r="H685" s="13">
        <f t="shared" si="80"/>
        <v>1.8572577375266519E-2</v>
      </c>
      <c r="I685">
        <f t="shared" si="81"/>
        <v>116.29975090624478</v>
      </c>
      <c r="J685">
        <f t="shared" si="76"/>
        <v>464.18716189949737</v>
      </c>
      <c r="K685" s="27">
        <f t="shared" si="77"/>
        <v>4002.0264361528975</v>
      </c>
    </row>
    <row r="686" spans="1:11" x14ac:dyDescent="0.25">
      <c r="A686" s="26">
        <v>636</v>
      </c>
      <c r="B686" s="82">
        <f t="shared" si="78"/>
        <v>0</v>
      </c>
      <c r="C686" s="58">
        <f t="shared" si="82"/>
        <v>104.50616427295054</v>
      </c>
      <c r="D686" s="83">
        <f t="shared" si="79"/>
        <v>445.77777777777789</v>
      </c>
      <c r="E686">
        <f t="shared" si="75"/>
        <v>0</v>
      </c>
      <c r="G686">
        <v>636</v>
      </c>
      <c r="H686" s="13">
        <f t="shared" si="80"/>
        <v>1.8572577375266519E-2</v>
      </c>
      <c r="I686">
        <f t="shared" si="81"/>
        <v>116.31832348362005</v>
      </c>
      <c r="J686">
        <f t="shared" si="76"/>
        <v>464.21017071766551</v>
      </c>
      <c r="K686" s="27">
        <f t="shared" si="77"/>
        <v>4002.4230612587321</v>
      </c>
    </row>
    <row r="687" spans="1:11" x14ac:dyDescent="0.25">
      <c r="A687" s="26">
        <v>637</v>
      </c>
      <c r="B687" s="82">
        <f t="shared" si="78"/>
        <v>0</v>
      </c>
      <c r="C687" s="58">
        <f t="shared" si="82"/>
        <v>104.50616427295054</v>
      </c>
      <c r="D687" s="83">
        <f t="shared" si="79"/>
        <v>445.77777777777789</v>
      </c>
      <c r="E687">
        <f t="shared" si="75"/>
        <v>0</v>
      </c>
      <c r="G687">
        <v>637</v>
      </c>
      <c r="H687" s="13">
        <f t="shared" si="80"/>
        <v>1.8572577375266519E-2</v>
      </c>
      <c r="I687">
        <f t="shared" si="81"/>
        <v>116.33689606099531</v>
      </c>
      <c r="J687">
        <f t="shared" si="76"/>
        <v>464.2331656646241</v>
      </c>
      <c r="K687" s="27">
        <f t="shared" si="77"/>
        <v>4002.8194669471777</v>
      </c>
    </row>
    <row r="688" spans="1:11" x14ac:dyDescent="0.25">
      <c r="A688" s="26">
        <v>638</v>
      </c>
      <c r="B688" s="82">
        <f t="shared" si="78"/>
        <v>0</v>
      </c>
      <c r="C688" s="58">
        <f t="shared" si="82"/>
        <v>104.50616427295054</v>
      </c>
      <c r="D688" s="83">
        <f t="shared" si="79"/>
        <v>445.77777777777789</v>
      </c>
      <c r="E688">
        <f t="shared" si="75"/>
        <v>0</v>
      </c>
      <c r="G688">
        <v>638</v>
      </c>
      <c r="H688" s="13">
        <f t="shared" si="80"/>
        <v>1.8572577375266519E-2</v>
      </c>
      <c r="I688">
        <f t="shared" si="81"/>
        <v>116.35546863837058</v>
      </c>
      <c r="J688">
        <f t="shared" si="76"/>
        <v>464.25614675554863</v>
      </c>
      <c r="K688" s="27">
        <f t="shared" si="77"/>
        <v>4003.2156534441597</v>
      </c>
    </row>
    <row r="689" spans="1:11" x14ac:dyDescent="0.25">
      <c r="A689" s="26">
        <v>639</v>
      </c>
      <c r="B689" s="82">
        <f t="shared" si="78"/>
        <v>0</v>
      </c>
      <c r="C689" s="58">
        <f t="shared" si="82"/>
        <v>104.50616427295054</v>
      </c>
      <c r="D689" s="83">
        <f t="shared" si="79"/>
        <v>445.77777777777789</v>
      </c>
      <c r="E689">
        <f t="shared" si="75"/>
        <v>0</v>
      </c>
      <c r="G689">
        <v>639</v>
      </c>
      <c r="H689" s="13">
        <f t="shared" si="80"/>
        <v>1.8572577375266519E-2</v>
      </c>
      <c r="I689">
        <f t="shared" si="81"/>
        <v>116.37404121574585</v>
      </c>
      <c r="J689">
        <f t="shared" si="76"/>
        <v>464.27911400558321</v>
      </c>
      <c r="K689" s="27">
        <f t="shared" si="77"/>
        <v>4003.6116209751303</v>
      </c>
    </row>
    <row r="690" spans="1:11" x14ac:dyDescent="0.25">
      <c r="A690" s="26">
        <v>640</v>
      </c>
      <c r="B690" s="82">
        <f t="shared" si="78"/>
        <v>0</v>
      </c>
      <c r="C690" s="58">
        <f t="shared" si="82"/>
        <v>104.50616427295054</v>
      </c>
      <c r="D690" s="83">
        <f t="shared" si="79"/>
        <v>445.77777777777789</v>
      </c>
      <c r="E690">
        <f t="shared" si="75"/>
        <v>0</v>
      </c>
      <c r="G690">
        <v>640</v>
      </c>
      <c r="H690" s="13">
        <f t="shared" si="80"/>
        <v>1.8572577375266519E-2</v>
      </c>
      <c r="I690">
        <f t="shared" si="81"/>
        <v>116.39261379312111</v>
      </c>
      <c r="J690">
        <f t="shared" si="76"/>
        <v>464.30206742984086</v>
      </c>
      <c r="K690" s="27">
        <f t="shared" si="77"/>
        <v>4004.0073697650819</v>
      </c>
    </row>
    <row r="691" spans="1:11" x14ac:dyDescent="0.25">
      <c r="A691" s="26">
        <v>641</v>
      </c>
      <c r="B691" s="82">
        <f t="shared" si="78"/>
        <v>0</v>
      </c>
      <c r="C691" s="58">
        <f t="shared" si="82"/>
        <v>104.50616427295054</v>
      </c>
      <c r="D691" s="83">
        <f t="shared" si="79"/>
        <v>445.77777777777789</v>
      </c>
      <c r="E691">
        <f t="shared" ref="E691:E754" si="83">((D691^2)+(D691*D692)+(D692^2))*B692/3</f>
        <v>0</v>
      </c>
      <c r="G691">
        <v>641</v>
      </c>
      <c r="H691" s="13">
        <f t="shared" si="80"/>
        <v>1.8572577375266519E-2</v>
      </c>
      <c r="I691">
        <f t="shared" si="81"/>
        <v>116.41118637049638</v>
      </c>
      <c r="J691">
        <f t="shared" ref="J691:J754" si="84">IF($G$28&lt;$C$14,0,((($C$11^2)-((I691-$C$13)^2))^0.5)+$C$16)</f>
        <v>464.3250070434035</v>
      </c>
      <c r="K691" s="27">
        <f t="shared" ref="K691:K754" si="85">((J691^2)+(J691*J692)+(J692^2))*H692/3</f>
        <v>4004.4029000385449</v>
      </c>
    </row>
    <row r="692" spans="1:11" x14ac:dyDescent="0.25">
      <c r="A692" s="26">
        <v>642</v>
      </c>
      <c r="B692" s="82">
        <f t="shared" ref="B692:B755" si="86">C692-C691</f>
        <v>0</v>
      </c>
      <c r="C692" s="58">
        <f t="shared" si="82"/>
        <v>104.50616427295054</v>
      </c>
      <c r="D692" s="83">
        <f t="shared" ref="D692:D755" si="87">IF($G$28&lt;$C$14,0,((($C$11^2)-((C692-$C$13)^2))^0.5)+$C$16)</f>
        <v>445.77777777777789</v>
      </c>
      <c r="E692">
        <f t="shared" si="83"/>
        <v>0</v>
      </c>
      <c r="G692">
        <v>642</v>
      </c>
      <c r="H692" s="13">
        <f t="shared" ref="H692:H755" si="88">I692-I691</f>
        <v>1.8572577375266519E-2</v>
      </c>
      <c r="I692">
        <f t="shared" ref="I692:I755" si="89">($G$27-$C$14)/2000+I691</f>
        <v>116.42975894787165</v>
      </c>
      <c r="J692">
        <f t="shared" si="84"/>
        <v>464.34793286132202</v>
      </c>
      <c r="K692" s="27">
        <f t="shared" si="85"/>
        <v>4004.798212019587</v>
      </c>
    </row>
    <row r="693" spans="1:11" x14ac:dyDescent="0.25">
      <c r="A693" s="26">
        <v>643</v>
      </c>
      <c r="B693" s="82">
        <f t="shared" si="86"/>
        <v>0</v>
      </c>
      <c r="C693" s="58">
        <f t="shared" si="82"/>
        <v>104.50616427295054</v>
      </c>
      <c r="D693" s="83">
        <f t="shared" si="87"/>
        <v>445.77777777777789</v>
      </c>
      <c r="E693">
        <f t="shared" si="83"/>
        <v>0</v>
      </c>
      <c r="G693">
        <v>643</v>
      </c>
      <c r="H693" s="13">
        <f t="shared" si="88"/>
        <v>1.8572577375266519E-2</v>
      </c>
      <c r="I693">
        <f t="shared" si="89"/>
        <v>116.44833152524691</v>
      </c>
      <c r="J693">
        <f t="shared" si="84"/>
        <v>464.37084489861655</v>
      </c>
      <c r="K693" s="27">
        <f t="shared" si="85"/>
        <v>4005.1933059318176</v>
      </c>
    </row>
    <row r="694" spans="1:11" x14ac:dyDescent="0.25">
      <c r="A694" s="26">
        <v>644</v>
      </c>
      <c r="B694" s="82">
        <f t="shared" si="86"/>
        <v>0</v>
      </c>
      <c r="C694" s="58">
        <f t="shared" si="82"/>
        <v>104.50616427295054</v>
      </c>
      <c r="D694" s="83">
        <f t="shared" si="87"/>
        <v>445.77777777777789</v>
      </c>
      <c r="E694">
        <f t="shared" si="83"/>
        <v>0</v>
      </c>
      <c r="G694">
        <v>644</v>
      </c>
      <c r="H694" s="13">
        <f t="shared" si="88"/>
        <v>1.8572577375266519E-2</v>
      </c>
      <c r="I694">
        <f t="shared" si="89"/>
        <v>116.46690410262218</v>
      </c>
      <c r="J694">
        <f t="shared" si="84"/>
        <v>464.39374317027631</v>
      </c>
      <c r="K694" s="27">
        <f t="shared" si="85"/>
        <v>4005.5881819983879</v>
      </c>
    </row>
    <row r="695" spans="1:11" x14ac:dyDescent="0.25">
      <c r="A695" s="26">
        <v>645</v>
      </c>
      <c r="B695" s="82">
        <f t="shared" si="86"/>
        <v>0</v>
      </c>
      <c r="C695" s="58">
        <f t="shared" si="82"/>
        <v>104.50616427295054</v>
      </c>
      <c r="D695" s="83">
        <f t="shared" si="87"/>
        <v>445.77777777777789</v>
      </c>
      <c r="E695">
        <f t="shared" si="83"/>
        <v>0</v>
      </c>
      <c r="G695">
        <v>645</v>
      </c>
      <c r="H695" s="13">
        <f t="shared" si="88"/>
        <v>1.8572577375266519E-2</v>
      </c>
      <c r="I695">
        <f t="shared" si="89"/>
        <v>116.48547667999745</v>
      </c>
      <c r="J695">
        <f t="shared" si="84"/>
        <v>464.41662769125981</v>
      </c>
      <c r="K695" s="27">
        <f t="shared" si="85"/>
        <v>4005.9828404419891</v>
      </c>
    </row>
    <row r="696" spans="1:11" x14ac:dyDescent="0.25">
      <c r="A696" s="26">
        <v>646</v>
      </c>
      <c r="B696" s="82">
        <f t="shared" si="86"/>
        <v>0</v>
      </c>
      <c r="C696" s="58">
        <f t="shared" si="82"/>
        <v>104.50616427295054</v>
      </c>
      <c r="D696" s="83">
        <f t="shared" si="87"/>
        <v>445.77777777777789</v>
      </c>
      <c r="E696">
        <f t="shared" si="83"/>
        <v>0</v>
      </c>
      <c r="G696">
        <v>646</v>
      </c>
      <c r="H696" s="13">
        <f t="shared" si="88"/>
        <v>1.8572577375266519E-2</v>
      </c>
      <c r="I696">
        <f t="shared" si="89"/>
        <v>116.50404925737271</v>
      </c>
      <c r="J696">
        <f t="shared" si="84"/>
        <v>464.43949847649498</v>
      </c>
      <c r="K696" s="27">
        <f t="shared" si="85"/>
        <v>4006.3772814848603</v>
      </c>
    </row>
    <row r="697" spans="1:11" x14ac:dyDescent="0.25">
      <c r="A697" s="26">
        <v>647</v>
      </c>
      <c r="B697" s="82">
        <f t="shared" si="86"/>
        <v>0</v>
      </c>
      <c r="C697" s="58">
        <f t="shared" si="82"/>
        <v>104.50616427295054</v>
      </c>
      <c r="D697" s="83">
        <f t="shared" si="87"/>
        <v>445.77777777777789</v>
      </c>
      <c r="E697">
        <f t="shared" si="83"/>
        <v>0</v>
      </c>
      <c r="G697">
        <v>647</v>
      </c>
      <c r="H697" s="13">
        <f t="shared" si="88"/>
        <v>1.8572577375266519E-2</v>
      </c>
      <c r="I697">
        <f t="shared" si="89"/>
        <v>116.52262183474798</v>
      </c>
      <c r="J697">
        <f t="shared" si="84"/>
        <v>464.46235554087917</v>
      </c>
      <c r="K697" s="27">
        <f t="shared" si="85"/>
        <v>4006.7715053487846</v>
      </c>
    </row>
    <row r="698" spans="1:11" x14ac:dyDescent="0.25">
      <c r="A698" s="26">
        <v>648</v>
      </c>
      <c r="B698" s="82">
        <f t="shared" si="86"/>
        <v>0</v>
      </c>
      <c r="C698" s="58">
        <f t="shared" si="82"/>
        <v>104.50616427295054</v>
      </c>
      <c r="D698" s="83">
        <f t="shared" si="87"/>
        <v>445.77777777777789</v>
      </c>
      <c r="E698">
        <f t="shared" si="83"/>
        <v>0</v>
      </c>
      <c r="G698">
        <v>648</v>
      </c>
      <c r="H698" s="13">
        <f t="shared" si="88"/>
        <v>1.8572577375266519E-2</v>
      </c>
      <c r="I698">
        <f t="shared" si="89"/>
        <v>116.54119441212325</v>
      </c>
      <c r="J698">
        <f t="shared" si="84"/>
        <v>464.48519889927923</v>
      </c>
      <c r="K698" s="27">
        <f t="shared" si="85"/>
        <v>4007.165512255091</v>
      </c>
    </row>
    <row r="699" spans="1:11" x14ac:dyDescent="0.25">
      <c r="A699" s="26">
        <v>649</v>
      </c>
      <c r="B699" s="82">
        <f t="shared" si="86"/>
        <v>0</v>
      </c>
      <c r="C699" s="58">
        <f t="shared" si="82"/>
        <v>104.50616427295054</v>
      </c>
      <c r="D699" s="83">
        <f t="shared" si="87"/>
        <v>445.77777777777789</v>
      </c>
      <c r="E699">
        <f t="shared" si="83"/>
        <v>0</v>
      </c>
      <c r="G699">
        <v>649</v>
      </c>
      <c r="H699" s="13">
        <f t="shared" si="88"/>
        <v>1.8572577375266519E-2</v>
      </c>
      <c r="I699">
        <f t="shared" si="89"/>
        <v>116.55976698949851</v>
      </c>
      <c r="J699">
        <f t="shared" si="84"/>
        <v>464.50802856653178</v>
      </c>
      <c r="K699" s="27">
        <f t="shared" si="85"/>
        <v>4007.5593024246577</v>
      </c>
    </row>
    <row r="700" spans="1:11" x14ac:dyDescent="0.25">
      <c r="A700" s="26">
        <v>650</v>
      </c>
      <c r="B700" s="82">
        <f t="shared" si="86"/>
        <v>0</v>
      </c>
      <c r="C700" s="58">
        <f t="shared" si="82"/>
        <v>104.50616427295054</v>
      </c>
      <c r="D700" s="83">
        <f t="shared" si="87"/>
        <v>445.77777777777789</v>
      </c>
      <c r="E700">
        <f t="shared" si="83"/>
        <v>0</v>
      </c>
      <c r="G700">
        <v>650</v>
      </c>
      <c r="H700" s="13">
        <f t="shared" si="88"/>
        <v>1.8572577375266519E-2</v>
      </c>
      <c r="I700">
        <f t="shared" si="89"/>
        <v>116.57833956687378</v>
      </c>
      <c r="J700">
        <f t="shared" si="84"/>
        <v>464.53084455744306</v>
      </c>
      <c r="K700" s="27">
        <f t="shared" si="85"/>
        <v>4007.9528760779126</v>
      </c>
    </row>
    <row r="701" spans="1:11" x14ac:dyDescent="0.25">
      <c r="A701" s="26">
        <v>651</v>
      </c>
      <c r="B701" s="82">
        <f t="shared" si="86"/>
        <v>0</v>
      </c>
      <c r="C701" s="58">
        <f t="shared" si="82"/>
        <v>104.50616427295054</v>
      </c>
      <c r="D701" s="83">
        <f t="shared" si="87"/>
        <v>445.77777777777789</v>
      </c>
      <c r="E701">
        <f t="shared" si="83"/>
        <v>0</v>
      </c>
      <c r="G701">
        <v>651</v>
      </c>
      <c r="H701" s="13">
        <f t="shared" si="88"/>
        <v>1.8572577375266519E-2</v>
      </c>
      <c r="I701">
        <f t="shared" si="89"/>
        <v>116.59691214424905</v>
      </c>
      <c r="J701">
        <f t="shared" si="84"/>
        <v>464.55364688678912</v>
      </c>
      <c r="K701" s="27">
        <f t="shared" si="85"/>
        <v>4008.3462334348333</v>
      </c>
    </row>
    <row r="702" spans="1:11" x14ac:dyDescent="0.25">
      <c r="A702" s="26">
        <v>652</v>
      </c>
      <c r="B702" s="82">
        <f t="shared" si="86"/>
        <v>0</v>
      </c>
      <c r="C702" s="58">
        <f t="shared" si="82"/>
        <v>104.50616427295054</v>
      </c>
      <c r="D702" s="83">
        <f t="shared" si="87"/>
        <v>445.77777777777789</v>
      </c>
      <c r="E702">
        <f t="shared" si="83"/>
        <v>0</v>
      </c>
      <c r="G702">
        <v>652</v>
      </c>
      <c r="H702" s="13">
        <f t="shared" si="88"/>
        <v>1.8572577375266519E-2</v>
      </c>
      <c r="I702">
        <f t="shared" si="89"/>
        <v>116.61548472162431</v>
      </c>
      <c r="J702">
        <f t="shared" si="84"/>
        <v>464.57643556931595</v>
      </c>
      <c r="K702" s="27">
        <f t="shared" si="85"/>
        <v>4008.7393747149495</v>
      </c>
    </row>
    <row r="703" spans="1:11" x14ac:dyDescent="0.25">
      <c r="A703" s="26">
        <v>653</v>
      </c>
      <c r="B703" s="82">
        <f t="shared" si="86"/>
        <v>0</v>
      </c>
      <c r="C703" s="58">
        <f t="shared" si="82"/>
        <v>104.50616427295054</v>
      </c>
      <c r="D703" s="83">
        <f t="shared" si="87"/>
        <v>445.77777777777789</v>
      </c>
      <c r="E703">
        <f t="shared" si="83"/>
        <v>0</v>
      </c>
      <c r="G703">
        <v>653</v>
      </c>
      <c r="H703" s="13">
        <f t="shared" si="88"/>
        <v>1.8572577375266519E-2</v>
      </c>
      <c r="I703">
        <f t="shared" si="89"/>
        <v>116.63405729899958</v>
      </c>
      <c r="J703">
        <f t="shared" si="84"/>
        <v>464.59921061973944</v>
      </c>
      <c r="K703" s="27">
        <f t="shared" si="85"/>
        <v>4009.1323001373453</v>
      </c>
    </row>
    <row r="704" spans="1:11" x14ac:dyDescent="0.25">
      <c r="A704" s="26">
        <v>654</v>
      </c>
      <c r="B704" s="82">
        <f t="shared" si="86"/>
        <v>0</v>
      </c>
      <c r="C704" s="58">
        <f t="shared" si="82"/>
        <v>104.50616427295054</v>
      </c>
      <c r="D704" s="83">
        <f t="shared" si="87"/>
        <v>445.77777777777789</v>
      </c>
      <c r="E704">
        <f t="shared" si="83"/>
        <v>0</v>
      </c>
      <c r="G704">
        <v>654</v>
      </c>
      <c r="H704" s="13">
        <f t="shared" si="88"/>
        <v>1.8572577375266519E-2</v>
      </c>
      <c r="I704">
        <f t="shared" si="89"/>
        <v>116.65262987637485</v>
      </c>
      <c r="J704">
        <f t="shared" si="84"/>
        <v>464.62197205274566</v>
      </c>
      <c r="K704" s="27">
        <f t="shared" si="85"/>
        <v>4009.5250099206573</v>
      </c>
    </row>
    <row r="705" spans="1:11" x14ac:dyDescent="0.25">
      <c r="A705" s="26">
        <v>655</v>
      </c>
      <c r="B705" s="82">
        <f t="shared" si="86"/>
        <v>0</v>
      </c>
      <c r="C705" s="58">
        <f t="shared" si="82"/>
        <v>104.50616427295054</v>
      </c>
      <c r="D705" s="83">
        <f t="shared" si="87"/>
        <v>445.77777777777789</v>
      </c>
      <c r="E705">
        <f t="shared" si="83"/>
        <v>0</v>
      </c>
      <c r="G705">
        <v>655</v>
      </c>
      <c r="H705" s="13">
        <f t="shared" si="88"/>
        <v>1.8572577375266519E-2</v>
      </c>
      <c r="I705">
        <f t="shared" si="89"/>
        <v>116.67120245375011</v>
      </c>
      <c r="J705">
        <f t="shared" si="84"/>
        <v>464.64471988299073</v>
      </c>
      <c r="K705" s="27">
        <f t="shared" si="85"/>
        <v>4009.9175042830807</v>
      </c>
    </row>
    <row r="706" spans="1:11" x14ac:dyDescent="0.25">
      <c r="A706" s="26">
        <v>656</v>
      </c>
      <c r="B706" s="82">
        <f t="shared" si="86"/>
        <v>0</v>
      </c>
      <c r="C706" s="58">
        <f t="shared" si="82"/>
        <v>104.50616427295054</v>
      </c>
      <c r="D706" s="83">
        <f t="shared" si="87"/>
        <v>445.77777777777789</v>
      </c>
      <c r="E706">
        <f t="shared" si="83"/>
        <v>0</v>
      </c>
      <c r="G706">
        <v>656</v>
      </c>
      <c r="H706" s="13">
        <f t="shared" si="88"/>
        <v>1.8572577375266519E-2</v>
      </c>
      <c r="I706">
        <f t="shared" si="89"/>
        <v>116.68977503112538</v>
      </c>
      <c r="J706">
        <f t="shared" si="84"/>
        <v>464.66745412510102</v>
      </c>
      <c r="K706" s="27">
        <f t="shared" si="85"/>
        <v>4010.3097834423643</v>
      </c>
    </row>
    <row r="707" spans="1:11" x14ac:dyDescent="0.25">
      <c r="A707" s="26">
        <v>657</v>
      </c>
      <c r="B707" s="82">
        <f t="shared" si="86"/>
        <v>0</v>
      </c>
      <c r="C707" s="58">
        <f t="shared" si="82"/>
        <v>104.50616427295054</v>
      </c>
      <c r="D707" s="83">
        <f t="shared" si="87"/>
        <v>445.77777777777789</v>
      </c>
      <c r="E707">
        <f t="shared" si="83"/>
        <v>0</v>
      </c>
      <c r="G707">
        <v>657</v>
      </c>
      <c r="H707" s="13">
        <f t="shared" si="88"/>
        <v>1.8572577375266519E-2</v>
      </c>
      <c r="I707">
        <f t="shared" si="89"/>
        <v>116.70834760850065</v>
      </c>
      <c r="J707">
        <f t="shared" si="84"/>
        <v>464.69017479367329</v>
      </c>
      <c r="K707" s="27">
        <f t="shared" si="85"/>
        <v>4010.7018476158187</v>
      </c>
    </row>
    <row r="708" spans="1:11" x14ac:dyDescent="0.25">
      <c r="A708" s="26">
        <v>658</v>
      </c>
      <c r="B708" s="82">
        <f t="shared" si="86"/>
        <v>0</v>
      </c>
      <c r="C708" s="58">
        <f t="shared" si="82"/>
        <v>104.50616427295054</v>
      </c>
      <c r="D708" s="83">
        <f t="shared" si="87"/>
        <v>445.77777777777789</v>
      </c>
      <c r="E708">
        <f t="shared" si="83"/>
        <v>0</v>
      </c>
      <c r="G708">
        <v>658</v>
      </c>
      <c r="H708" s="13">
        <f t="shared" si="88"/>
        <v>1.8572577375266519E-2</v>
      </c>
      <c r="I708">
        <f t="shared" si="89"/>
        <v>116.72692018587591</v>
      </c>
      <c r="J708">
        <f t="shared" si="84"/>
        <v>464.71288190327465</v>
      </c>
      <c r="K708" s="27">
        <f t="shared" si="85"/>
        <v>4011.0936970203115</v>
      </c>
    </row>
    <row r="709" spans="1:11" x14ac:dyDescent="0.25">
      <c r="A709" s="26">
        <v>659</v>
      </c>
      <c r="B709" s="82">
        <f t="shared" si="86"/>
        <v>0</v>
      </c>
      <c r="C709" s="58">
        <f t="shared" si="82"/>
        <v>104.50616427295054</v>
      </c>
      <c r="D709" s="83">
        <f t="shared" si="87"/>
        <v>445.77777777777789</v>
      </c>
      <c r="E709">
        <f t="shared" si="83"/>
        <v>0</v>
      </c>
      <c r="G709">
        <v>659</v>
      </c>
      <c r="H709" s="13">
        <f t="shared" si="88"/>
        <v>1.8572577375266519E-2</v>
      </c>
      <c r="I709">
        <f t="shared" si="89"/>
        <v>116.74549276325118</v>
      </c>
      <c r="J709">
        <f t="shared" si="84"/>
        <v>464.73557546844268</v>
      </c>
      <c r="K709" s="27">
        <f t="shared" si="85"/>
        <v>4011.4853318722726</v>
      </c>
    </row>
    <row r="710" spans="1:11" x14ac:dyDescent="0.25">
      <c r="A710" s="26">
        <v>660</v>
      </c>
      <c r="B710" s="82">
        <f t="shared" si="86"/>
        <v>0</v>
      </c>
      <c r="C710" s="58">
        <f t="shared" si="82"/>
        <v>104.50616427295054</v>
      </c>
      <c r="D710" s="83">
        <f t="shared" si="87"/>
        <v>445.77777777777789</v>
      </c>
      <c r="E710">
        <f t="shared" si="83"/>
        <v>0</v>
      </c>
      <c r="G710">
        <v>660</v>
      </c>
      <c r="H710" s="13">
        <f t="shared" si="88"/>
        <v>1.8572577375266519E-2</v>
      </c>
      <c r="I710">
        <f t="shared" si="89"/>
        <v>116.76406534062644</v>
      </c>
      <c r="J710">
        <f t="shared" si="84"/>
        <v>464.75825550368558</v>
      </c>
      <c r="K710" s="27">
        <f t="shared" si="85"/>
        <v>4011.8767523876936</v>
      </c>
    </row>
    <row r="711" spans="1:11" x14ac:dyDescent="0.25">
      <c r="A711" s="26">
        <v>661</v>
      </c>
      <c r="B711" s="82">
        <f t="shared" si="86"/>
        <v>0</v>
      </c>
      <c r="C711" s="58">
        <f t="shared" si="82"/>
        <v>104.50616427295054</v>
      </c>
      <c r="D711" s="83">
        <f t="shared" si="87"/>
        <v>445.77777777777789</v>
      </c>
      <c r="E711">
        <f t="shared" si="83"/>
        <v>0</v>
      </c>
      <c r="G711">
        <v>661</v>
      </c>
      <c r="H711" s="13">
        <f t="shared" si="88"/>
        <v>1.8572577375266519E-2</v>
      </c>
      <c r="I711">
        <f t="shared" si="89"/>
        <v>116.78263791800171</v>
      </c>
      <c r="J711">
        <f t="shared" si="84"/>
        <v>464.78092202348216</v>
      </c>
      <c r="K711" s="27">
        <f t="shared" si="85"/>
        <v>4012.2679587821281</v>
      </c>
    </row>
    <row r="712" spans="1:11" x14ac:dyDescent="0.25">
      <c r="A712" s="26">
        <v>662</v>
      </c>
      <c r="B712" s="82">
        <f t="shared" si="86"/>
        <v>0</v>
      </c>
      <c r="C712" s="58">
        <f t="shared" si="82"/>
        <v>104.50616427295054</v>
      </c>
      <c r="D712" s="83">
        <f t="shared" si="87"/>
        <v>445.77777777777789</v>
      </c>
      <c r="E712">
        <f t="shared" si="83"/>
        <v>0</v>
      </c>
      <c r="G712">
        <v>662</v>
      </c>
      <c r="H712" s="13">
        <f t="shared" si="88"/>
        <v>1.8572577375266519E-2</v>
      </c>
      <c r="I712">
        <f t="shared" si="89"/>
        <v>116.80121049537698</v>
      </c>
      <c r="J712">
        <f t="shared" si="84"/>
        <v>464.80357504228203</v>
      </c>
      <c r="K712" s="27">
        <f t="shared" si="85"/>
        <v>4012.6589512706964</v>
      </c>
    </row>
    <row r="713" spans="1:11" x14ac:dyDescent="0.25">
      <c r="A713" s="26">
        <v>663</v>
      </c>
      <c r="B713" s="82">
        <f t="shared" si="86"/>
        <v>0</v>
      </c>
      <c r="C713" s="58">
        <f t="shared" si="82"/>
        <v>104.50616427295054</v>
      </c>
      <c r="D713" s="83">
        <f t="shared" si="87"/>
        <v>445.77777777777789</v>
      </c>
      <c r="E713">
        <f t="shared" si="83"/>
        <v>0</v>
      </c>
      <c r="G713">
        <v>663</v>
      </c>
      <c r="H713" s="13">
        <f t="shared" si="88"/>
        <v>1.8572577375266519E-2</v>
      </c>
      <c r="I713">
        <f t="shared" si="89"/>
        <v>116.81978307275224</v>
      </c>
      <c r="J713">
        <f t="shared" si="84"/>
        <v>464.82621457450557</v>
      </c>
      <c r="K713" s="27">
        <f t="shared" si="85"/>
        <v>4013.049730068084</v>
      </c>
    </row>
    <row r="714" spans="1:11" x14ac:dyDescent="0.25">
      <c r="A714" s="26">
        <v>664</v>
      </c>
      <c r="B714" s="82">
        <f t="shared" si="86"/>
        <v>0</v>
      </c>
      <c r="C714" s="58">
        <f t="shared" si="82"/>
        <v>104.50616427295054</v>
      </c>
      <c r="D714" s="83">
        <f t="shared" si="87"/>
        <v>445.77777777777789</v>
      </c>
      <c r="E714">
        <f t="shared" si="83"/>
        <v>0</v>
      </c>
      <c r="G714">
        <v>664</v>
      </c>
      <c r="H714" s="13">
        <f t="shared" si="88"/>
        <v>1.8572577375266519E-2</v>
      </c>
      <c r="I714">
        <f t="shared" si="89"/>
        <v>116.83835565012751</v>
      </c>
      <c r="J714">
        <f t="shared" si="84"/>
        <v>464.84884063454405</v>
      </c>
      <c r="K714" s="27">
        <f t="shared" si="85"/>
        <v>4013.4402953885419</v>
      </c>
    </row>
    <row r="715" spans="1:11" x14ac:dyDescent="0.25">
      <c r="A715" s="26">
        <v>665</v>
      </c>
      <c r="B715" s="82">
        <f t="shared" si="86"/>
        <v>0</v>
      </c>
      <c r="C715" s="58">
        <f t="shared" si="82"/>
        <v>104.50616427295054</v>
      </c>
      <c r="D715" s="83">
        <f t="shared" si="87"/>
        <v>445.77777777777789</v>
      </c>
      <c r="E715">
        <f t="shared" si="83"/>
        <v>0</v>
      </c>
      <c r="G715">
        <v>665</v>
      </c>
      <c r="H715" s="13">
        <f t="shared" si="88"/>
        <v>1.8572577375266519E-2</v>
      </c>
      <c r="I715">
        <f t="shared" si="89"/>
        <v>116.85692822750278</v>
      </c>
      <c r="J715">
        <f t="shared" si="84"/>
        <v>464.87145323675975</v>
      </c>
      <c r="K715" s="27">
        <f t="shared" si="85"/>
        <v>4013.83064744589</v>
      </c>
    </row>
    <row r="716" spans="1:11" x14ac:dyDescent="0.25">
      <c r="A716" s="26">
        <v>666</v>
      </c>
      <c r="B716" s="82">
        <f t="shared" si="86"/>
        <v>0</v>
      </c>
      <c r="C716" s="58">
        <f t="shared" si="82"/>
        <v>104.50616427295054</v>
      </c>
      <c r="D716" s="83">
        <f t="shared" si="87"/>
        <v>445.77777777777789</v>
      </c>
      <c r="E716">
        <f t="shared" si="83"/>
        <v>0</v>
      </c>
      <c r="G716">
        <v>666</v>
      </c>
      <c r="H716" s="13">
        <f t="shared" si="88"/>
        <v>1.8572577375266519E-2</v>
      </c>
      <c r="I716">
        <f t="shared" si="89"/>
        <v>116.87550080487804</v>
      </c>
      <c r="J716">
        <f t="shared" si="84"/>
        <v>464.89405239548603</v>
      </c>
      <c r="K716" s="27">
        <f t="shared" si="85"/>
        <v>4014.2207864535194</v>
      </c>
    </row>
    <row r="717" spans="1:11" x14ac:dyDescent="0.25">
      <c r="A717" s="26">
        <v>667</v>
      </c>
      <c r="B717" s="82">
        <f t="shared" si="86"/>
        <v>0</v>
      </c>
      <c r="C717" s="58">
        <f t="shared" si="82"/>
        <v>104.50616427295054</v>
      </c>
      <c r="D717" s="83">
        <f t="shared" si="87"/>
        <v>445.77777777777789</v>
      </c>
      <c r="E717">
        <f t="shared" si="83"/>
        <v>0</v>
      </c>
      <c r="G717">
        <v>667</v>
      </c>
      <c r="H717" s="13">
        <f t="shared" si="88"/>
        <v>1.8572577375266519E-2</v>
      </c>
      <c r="I717">
        <f t="shared" si="89"/>
        <v>116.89407338225331</v>
      </c>
      <c r="J717">
        <f t="shared" si="84"/>
        <v>464.91663812502742</v>
      </c>
      <c r="K717" s="27">
        <f t="shared" si="85"/>
        <v>4014.6107126243896</v>
      </c>
    </row>
    <row r="718" spans="1:11" x14ac:dyDescent="0.25">
      <c r="A718" s="26">
        <v>668</v>
      </c>
      <c r="B718" s="82">
        <f t="shared" si="86"/>
        <v>0</v>
      </c>
      <c r="C718" s="58">
        <f t="shared" si="82"/>
        <v>104.50616427295054</v>
      </c>
      <c r="D718" s="83">
        <f t="shared" si="87"/>
        <v>445.77777777777789</v>
      </c>
      <c r="E718">
        <f t="shared" si="83"/>
        <v>0</v>
      </c>
      <c r="G718">
        <v>668</v>
      </c>
      <c r="H718" s="13">
        <f t="shared" si="88"/>
        <v>1.8572577375266519E-2</v>
      </c>
      <c r="I718">
        <f t="shared" si="89"/>
        <v>116.91264595962858</v>
      </c>
      <c r="J718">
        <f t="shared" si="84"/>
        <v>464.93921043965963</v>
      </c>
      <c r="K718" s="27">
        <f t="shared" si="85"/>
        <v>4015.0004261710342</v>
      </c>
    </row>
    <row r="719" spans="1:11" x14ac:dyDescent="0.25">
      <c r="A719" s="26">
        <v>669</v>
      </c>
      <c r="B719" s="82">
        <f t="shared" si="86"/>
        <v>0</v>
      </c>
      <c r="C719" s="58">
        <f t="shared" si="82"/>
        <v>104.50616427295054</v>
      </c>
      <c r="D719" s="83">
        <f t="shared" si="87"/>
        <v>445.77777777777789</v>
      </c>
      <c r="E719">
        <f t="shared" si="83"/>
        <v>0</v>
      </c>
      <c r="G719">
        <v>669</v>
      </c>
      <c r="H719" s="13">
        <f t="shared" si="88"/>
        <v>1.8572577375266519E-2</v>
      </c>
      <c r="I719">
        <f t="shared" si="89"/>
        <v>116.93121853700384</v>
      </c>
      <c r="J719">
        <f t="shared" si="84"/>
        <v>464.96176935362968</v>
      </c>
      <c r="K719" s="27">
        <f t="shared" si="85"/>
        <v>4015.3899273055563</v>
      </c>
    </row>
    <row r="720" spans="1:11" x14ac:dyDescent="0.25">
      <c r="A720" s="26">
        <v>670</v>
      </c>
      <c r="B720" s="82">
        <f t="shared" si="86"/>
        <v>0</v>
      </c>
      <c r="C720" s="58">
        <f t="shared" ref="C720:C783" si="90">($C$37-$C$36)/2000+C719</f>
        <v>104.50616427295054</v>
      </c>
      <c r="D720" s="83">
        <f t="shared" si="87"/>
        <v>445.77777777777789</v>
      </c>
      <c r="E720">
        <f t="shared" si="83"/>
        <v>0</v>
      </c>
      <c r="G720">
        <v>670</v>
      </c>
      <c r="H720" s="13">
        <f t="shared" si="88"/>
        <v>1.8572577375266519E-2</v>
      </c>
      <c r="I720">
        <f t="shared" si="89"/>
        <v>116.94979111437911</v>
      </c>
      <c r="J720">
        <f t="shared" si="84"/>
        <v>464.98431488115608</v>
      </c>
      <c r="K720" s="27">
        <f t="shared" si="85"/>
        <v>4015.7792162396381</v>
      </c>
    </row>
    <row r="721" spans="1:11" x14ac:dyDescent="0.25">
      <c r="A721" s="26">
        <v>671</v>
      </c>
      <c r="B721" s="82">
        <f t="shared" si="86"/>
        <v>0</v>
      </c>
      <c r="C721" s="58">
        <f t="shared" si="90"/>
        <v>104.50616427295054</v>
      </c>
      <c r="D721" s="83">
        <f t="shared" si="87"/>
        <v>445.77777777777789</v>
      </c>
      <c r="E721">
        <f t="shared" si="83"/>
        <v>0</v>
      </c>
      <c r="G721">
        <v>671</v>
      </c>
      <c r="H721" s="13">
        <f t="shared" si="88"/>
        <v>1.8572577375266519E-2</v>
      </c>
      <c r="I721">
        <f t="shared" si="89"/>
        <v>116.96836369175438</v>
      </c>
      <c r="J721">
        <f t="shared" si="84"/>
        <v>465.00684703642867</v>
      </c>
      <c r="K721" s="27">
        <f t="shared" si="85"/>
        <v>4016.168293184533</v>
      </c>
    </row>
    <row r="722" spans="1:11" x14ac:dyDescent="0.25">
      <c r="A722" s="26">
        <v>672</v>
      </c>
      <c r="B722" s="82">
        <f t="shared" si="86"/>
        <v>0</v>
      </c>
      <c r="C722" s="58">
        <f t="shared" si="90"/>
        <v>104.50616427295054</v>
      </c>
      <c r="D722" s="83">
        <f t="shared" si="87"/>
        <v>445.77777777777789</v>
      </c>
      <c r="E722">
        <f t="shared" si="83"/>
        <v>0</v>
      </c>
      <c r="G722">
        <v>672</v>
      </c>
      <c r="H722" s="13">
        <f t="shared" si="88"/>
        <v>1.8572577375266519E-2</v>
      </c>
      <c r="I722">
        <f t="shared" si="89"/>
        <v>116.98693626912964</v>
      </c>
      <c r="J722">
        <f t="shared" si="84"/>
        <v>465.02936583360889</v>
      </c>
      <c r="K722" s="27">
        <f t="shared" si="85"/>
        <v>4016.5571583510723</v>
      </c>
    </row>
    <row r="723" spans="1:11" x14ac:dyDescent="0.25">
      <c r="A723" s="26">
        <v>673</v>
      </c>
      <c r="B723" s="82">
        <f t="shared" si="86"/>
        <v>0</v>
      </c>
      <c r="C723" s="58">
        <f t="shared" si="90"/>
        <v>104.50616427295054</v>
      </c>
      <c r="D723" s="83">
        <f t="shared" si="87"/>
        <v>445.77777777777789</v>
      </c>
      <c r="E723">
        <f t="shared" si="83"/>
        <v>0</v>
      </c>
      <c r="G723">
        <v>673</v>
      </c>
      <c r="H723" s="13">
        <f t="shared" si="88"/>
        <v>1.8572577375266519E-2</v>
      </c>
      <c r="I723">
        <f t="shared" si="89"/>
        <v>117.00550884650491</v>
      </c>
      <c r="J723">
        <f t="shared" si="84"/>
        <v>465.05187128682991</v>
      </c>
      <c r="K723" s="27">
        <f t="shared" si="85"/>
        <v>4016.9458119496671</v>
      </c>
    </row>
    <row r="724" spans="1:11" x14ac:dyDescent="0.25">
      <c r="A724" s="26">
        <v>674</v>
      </c>
      <c r="B724" s="82">
        <f t="shared" si="86"/>
        <v>0</v>
      </c>
      <c r="C724" s="58">
        <f t="shared" si="90"/>
        <v>104.50616427295054</v>
      </c>
      <c r="D724" s="83">
        <f t="shared" si="87"/>
        <v>445.77777777777789</v>
      </c>
      <c r="E724">
        <f t="shared" si="83"/>
        <v>0</v>
      </c>
      <c r="G724">
        <v>674</v>
      </c>
      <c r="H724" s="13">
        <f t="shared" si="88"/>
        <v>1.8572577375266519E-2</v>
      </c>
      <c r="I724">
        <f t="shared" si="89"/>
        <v>117.02408142388018</v>
      </c>
      <c r="J724">
        <f t="shared" si="84"/>
        <v>465.07436341019644</v>
      </c>
      <c r="K724" s="27">
        <f t="shared" si="85"/>
        <v>4017.3342541903039</v>
      </c>
    </row>
    <row r="725" spans="1:11" x14ac:dyDescent="0.25">
      <c r="A725" s="26">
        <v>675</v>
      </c>
      <c r="B725" s="82">
        <f t="shared" si="86"/>
        <v>0</v>
      </c>
      <c r="C725" s="58">
        <f t="shared" si="90"/>
        <v>104.50616427295054</v>
      </c>
      <c r="D725" s="83">
        <f t="shared" si="87"/>
        <v>445.77777777777789</v>
      </c>
      <c r="E725">
        <f t="shared" si="83"/>
        <v>0</v>
      </c>
      <c r="G725">
        <v>675</v>
      </c>
      <c r="H725" s="13">
        <f t="shared" si="88"/>
        <v>1.8572577375266519E-2</v>
      </c>
      <c r="I725">
        <f t="shared" si="89"/>
        <v>117.04265400125544</v>
      </c>
      <c r="J725">
        <f t="shared" si="84"/>
        <v>465.09684221778519</v>
      </c>
      <c r="K725" s="27">
        <f t="shared" si="85"/>
        <v>4017.7224852825548</v>
      </c>
    </row>
    <row r="726" spans="1:11" x14ac:dyDescent="0.25">
      <c r="A726" s="26">
        <v>676</v>
      </c>
      <c r="B726" s="82">
        <f t="shared" si="86"/>
        <v>0</v>
      </c>
      <c r="C726" s="58">
        <f t="shared" si="90"/>
        <v>104.50616427295054</v>
      </c>
      <c r="D726" s="83">
        <f t="shared" si="87"/>
        <v>445.77777777777789</v>
      </c>
      <c r="E726">
        <f t="shared" si="83"/>
        <v>0</v>
      </c>
      <c r="G726">
        <v>676</v>
      </c>
      <c r="H726" s="13">
        <f t="shared" si="88"/>
        <v>1.8572577375266519E-2</v>
      </c>
      <c r="I726">
        <f t="shared" si="89"/>
        <v>117.06122657863071</v>
      </c>
      <c r="J726">
        <f t="shared" si="84"/>
        <v>465.11930772364457</v>
      </c>
      <c r="K726" s="27">
        <f t="shared" si="85"/>
        <v>4018.1105054355671</v>
      </c>
    </row>
    <row r="727" spans="1:11" x14ac:dyDescent="0.25">
      <c r="A727" s="26">
        <v>677</v>
      </c>
      <c r="B727" s="82">
        <f t="shared" si="86"/>
        <v>0</v>
      </c>
      <c r="C727" s="58">
        <f t="shared" si="90"/>
        <v>104.50616427295054</v>
      </c>
      <c r="D727" s="83">
        <f t="shared" si="87"/>
        <v>445.77777777777789</v>
      </c>
      <c r="E727">
        <f t="shared" si="83"/>
        <v>0</v>
      </c>
      <c r="G727">
        <v>677</v>
      </c>
      <c r="H727" s="13">
        <f t="shared" si="88"/>
        <v>1.8572577375266519E-2</v>
      </c>
      <c r="I727">
        <f t="shared" si="89"/>
        <v>117.07979915600598</v>
      </c>
      <c r="J727">
        <f t="shared" si="84"/>
        <v>465.14175994179499</v>
      </c>
      <c r="K727" s="27">
        <f t="shared" si="85"/>
        <v>4018.4983148580754</v>
      </c>
    </row>
    <row r="728" spans="1:11" x14ac:dyDescent="0.25">
      <c r="A728" s="26">
        <v>678</v>
      </c>
      <c r="B728" s="82">
        <f t="shared" si="86"/>
        <v>0</v>
      </c>
      <c r="C728" s="58">
        <f t="shared" si="90"/>
        <v>104.50616427295054</v>
      </c>
      <c r="D728" s="83">
        <f t="shared" si="87"/>
        <v>445.77777777777789</v>
      </c>
      <c r="E728">
        <f t="shared" si="83"/>
        <v>0</v>
      </c>
      <c r="G728">
        <v>678</v>
      </c>
      <c r="H728" s="13">
        <f t="shared" si="88"/>
        <v>1.8572577375266519E-2</v>
      </c>
      <c r="I728">
        <f t="shared" si="89"/>
        <v>117.09837173338124</v>
      </c>
      <c r="J728">
        <f t="shared" si="84"/>
        <v>465.16419888622892</v>
      </c>
      <c r="K728" s="27">
        <f t="shared" si="85"/>
        <v>4018.8859137583945</v>
      </c>
    </row>
    <row r="729" spans="1:11" x14ac:dyDescent="0.25">
      <c r="A729" s="26">
        <v>679</v>
      </c>
      <c r="B729" s="82">
        <f t="shared" si="86"/>
        <v>0</v>
      </c>
      <c r="C729" s="58">
        <f t="shared" si="90"/>
        <v>104.50616427295054</v>
      </c>
      <c r="D729" s="83">
        <f t="shared" si="87"/>
        <v>445.77777777777789</v>
      </c>
      <c r="E729">
        <f t="shared" si="83"/>
        <v>0</v>
      </c>
      <c r="G729">
        <v>679</v>
      </c>
      <c r="H729" s="13">
        <f t="shared" si="88"/>
        <v>1.8572577375266519E-2</v>
      </c>
      <c r="I729">
        <f t="shared" si="89"/>
        <v>117.11694431075651</v>
      </c>
      <c r="J729">
        <f t="shared" si="84"/>
        <v>465.18662457091091</v>
      </c>
      <c r="K729" s="27">
        <f t="shared" si="85"/>
        <v>4019.2733023444271</v>
      </c>
    </row>
    <row r="730" spans="1:11" x14ac:dyDescent="0.25">
      <c r="A730" s="26">
        <v>680</v>
      </c>
      <c r="B730" s="82">
        <f t="shared" si="86"/>
        <v>0</v>
      </c>
      <c r="C730" s="58">
        <f t="shared" si="90"/>
        <v>104.50616427295054</v>
      </c>
      <c r="D730" s="83">
        <f t="shared" si="87"/>
        <v>445.77777777777789</v>
      </c>
      <c r="E730">
        <f t="shared" si="83"/>
        <v>0</v>
      </c>
      <c r="G730">
        <v>680</v>
      </c>
      <c r="H730" s="13">
        <f t="shared" si="88"/>
        <v>1.8572577375266519E-2</v>
      </c>
      <c r="I730">
        <f t="shared" si="89"/>
        <v>117.13551688813178</v>
      </c>
      <c r="J730">
        <f t="shared" si="84"/>
        <v>465.20903700977766</v>
      </c>
      <c r="K730" s="27">
        <f t="shared" si="85"/>
        <v>4019.6604808236602</v>
      </c>
    </row>
    <row r="731" spans="1:11" x14ac:dyDescent="0.25">
      <c r="A731" s="26">
        <v>681</v>
      </c>
      <c r="B731" s="82">
        <f t="shared" si="86"/>
        <v>0</v>
      </c>
      <c r="C731" s="58">
        <f t="shared" si="90"/>
        <v>104.50616427295054</v>
      </c>
      <c r="D731" s="83">
        <f t="shared" si="87"/>
        <v>445.77777777777789</v>
      </c>
      <c r="E731">
        <f t="shared" si="83"/>
        <v>0</v>
      </c>
      <c r="G731">
        <v>681</v>
      </c>
      <c r="H731" s="13">
        <f t="shared" si="88"/>
        <v>1.8572577375266519E-2</v>
      </c>
      <c r="I731">
        <f t="shared" si="89"/>
        <v>117.15408946550704</v>
      </c>
      <c r="J731">
        <f t="shared" si="84"/>
        <v>465.23143621673819</v>
      </c>
      <c r="K731" s="27">
        <f t="shared" si="85"/>
        <v>4020.0474494031678</v>
      </c>
    </row>
    <row r="732" spans="1:11" x14ac:dyDescent="0.25">
      <c r="A732" s="26">
        <v>682</v>
      </c>
      <c r="B732" s="82">
        <f t="shared" si="86"/>
        <v>0</v>
      </c>
      <c r="C732" s="58">
        <f t="shared" si="90"/>
        <v>104.50616427295054</v>
      </c>
      <c r="D732" s="83">
        <f t="shared" si="87"/>
        <v>445.77777777777789</v>
      </c>
      <c r="E732">
        <f t="shared" si="83"/>
        <v>0</v>
      </c>
      <c r="G732">
        <v>682</v>
      </c>
      <c r="H732" s="13">
        <f t="shared" si="88"/>
        <v>1.8572577375266519E-2</v>
      </c>
      <c r="I732">
        <f t="shared" si="89"/>
        <v>117.17266204288231</v>
      </c>
      <c r="J732">
        <f t="shared" si="84"/>
        <v>465.25382220567388</v>
      </c>
      <c r="K732" s="27">
        <f t="shared" si="85"/>
        <v>4020.4342082896133</v>
      </c>
    </row>
    <row r="733" spans="1:11" x14ac:dyDescent="0.25">
      <c r="A733" s="26">
        <v>683</v>
      </c>
      <c r="B733" s="82">
        <f t="shared" si="86"/>
        <v>0</v>
      </c>
      <c r="C733" s="58">
        <f t="shared" si="90"/>
        <v>104.50616427295054</v>
      </c>
      <c r="D733" s="83">
        <f t="shared" si="87"/>
        <v>445.77777777777789</v>
      </c>
      <c r="E733">
        <f t="shared" si="83"/>
        <v>0</v>
      </c>
      <c r="G733">
        <v>683</v>
      </c>
      <c r="H733" s="13">
        <f t="shared" si="88"/>
        <v>1.8572577375266519E-2</v>
      </c>
      <c r="I733">
        <f t="shared" si="89"/>
        <v>117.19123462025757</v>
      </c>
      <c r="J733">
        <f t="shared" si="84"/>
        <v>465.2761949904384</v>
      </c>
      <c r="K733" s="27">
        <f t="shared" si="85"/>
        <v>4020.8207576892505</v>
      </c>
    </row>
    <row r="734" spans="1:11" x14ac:dyDescent="0.25">
      <c r="A734" s="26">
        <v>684</v>
      </c>
      <c r="B734" s="82">
        <f t="shared" si="86"/>
        <v>0</v>
      </c>
      <c r="C734" s="58">
        <f t="shared" si="90"/>
        <v>104.50616427295054</v>
      </c>
      <c r="D734" s="83">
        <f t="shared" si="87"/>
        <v>445.77777777777789</v>
      </c>
      <c r="E734">
        <f t="shared" si="83"/>
        <v>0</v>
      </c>
      <c r="G734">
        <v>684</v>
      </c>
      <c r="H734" s="13">
        <f t="shared" si="88"/>
        <v>1.8572577375266519E-2</v>
      </c>
      <c r="I734">
        <f t="shared" si="89"/>
        <v>117.20980719763284</v>
      </c>
      <c r="J734">
        <f t="shared" si="84"/>
        <v>465.2985545848581</v>
      </c>
      <c r="K734" s="27">
        <f t="shared" si="85"/>
        <v>4021.2070978079214</v>
      </c>
    </row>
    <row r="735" spans="1:11" x14ac:dyDescent="0.25">
      <c r="A735" s="26">
        <v>685</v>
      </c>
      <c r="B735" s="82">
        <f t="shared" si="86"/>
        <v>0</v>
      </c>
      <c r="C735" s="58">
        <f t="shared" si="90"/>
        <v>104.50616427295054</v>
      </c>
      <c r="D735" s="83">
        <f t="shared" si="87"/>
        <v>445.77777777777789</v>
      </c>
      <c r="E735">
        <f t="shared" si="83"/>
        <v>0</v>
      </c>
      <c r="G735">
        <v>685</v>
      </c>
      <c r="H735" s="13">
        <f t="shared" si="88"/>
        <v>1.8572577375266519E-2</v>
      </c>
      <c r="I735">
        <f t="shared" si="89"/>
        <v>117.22837977500811</v>
      </c>
      <c r="J735">
        <f t="shared" si="84"/>
        <v>465.32090100273172</v>
      </c>
      <c r="K735" s="27">
        <f t="shared" si="85"/>
        <v>4021.5932288510598</v>
      </c>
    </row>
    <row r="736" spans="1:11" x14ac:dyDescent="0.25">
      <c r="A736" s="26">
        <v>686</v>
      </c>
      <c r="B736" s="82">
        <f t="shared" si="86"/>
        <v>0</v>
      </c>
      <c r="C736" s="58">
        <f t="shared" si="90"/>
        <v>104.50616427295054</v>
      </c>
      <c r="D736" s="83">
        <f t="shared" si="87"/>
        <v>445.77777777777789</v>
      </c>
      <c r="E736">
        <f t="shared" si="83"/>
        <v>0</v>
      </c>
      <c r="G736">
        <v>686</v>
      </c>
      <c r="H736" s="13">
        <f t="shared" si="88"/>
        <v>1.8572577375266519E-2</v>
      </c>
      <c r="I736">
        <f t="shared" si="89"/>
        <v>117.24695235238337</v>
      </c>
      <c r="J736">
        <f t="shared" si="84"/>
        <v>465.34323425783066</v>
      </c>
      <c r="K736" s="27">
        <f t="shared" si="85"/>
        <v>4021.9791510236955</v>
      </c>
    </row>
    <row r="737" spans="1:11" x14ac:dyDescent="0.25">
      <c r="A737" s="26">
        <v>687</v>
      </c>
      <c r="B737" s="82">
        <f t="shared" si="86"/>
        <v>0</v>
      </c>
      <c r="C737" s="58">
        <f t="shared" si="90"/>
        <v>104.50616427295054</v>
      </c>
      <c r="D737" s="83">
        <f t="shared" si="87"/>
        <v>445.77777777777789</v>
      </c>
      <c r="E737">
        <f t="shared" si="83"/>
        <v>0</v>
      </c>
      <c r="G737">
        <v>687</v>
      </c>
      <c r="H737" s="13">
        <f t="shared" si="88"/>
        <v>1.8572577375266519E-2</v>
      </c>
      <c r="I737">
        <f t="shared" si="89"/>
        <v>117.26552492975864</v>
      </c>
      <c r="J737">
        <f t="shared" si="84"/>
        <v>465.36555436389921</v>
      </c>
      <c r="K737" s="27">
        <f t="shared" si="85"/>
        <v>4022.3648645304474</v>
      </c>
    </row>
    <row r="738" spans="1:11" x14ac:dyDescent="0.25">
      <c r="A738" s="26">
        <v>688</v>
      </c>
      <c r="B738" s="82">
        <f t="shared" si="86"/>
        <v>0</v>
      </c>
      <c r="C738" s="58">
        <f t="shared" si="90"/>
        <v>104.50616427295054</v>
      </c>
      <c r="D738" s="83">
        <f t="shared" si="87"/>
        <v>445.77777777777789</v>
      </c>
      <c r="E738">
        <f t="shared" si="83"/>
        <v>0</v>
      </c>
      <c r="G738">
        <v>688</v>
      </c>
      <c r="H738" s="13">
        <f t="shared" si="88"/>
        <v>1.8572577375266519E-2</v>
      </c>
      <c r="I738">
        <f t="shared" si="89"/>
        <v>117.28409750713391</v>
      </c>
      <c r="J738">
        <f t="shared" si="84"/>
        <v>465.3878613346543</v>
      </c>
      <c r="K738" s="27">
        <f t="shared" si="85"/>
        <v>4022.7503695755354</v>
      </c>
    </row>
    <row r="739" spans="1:11" x14ac:dyDescent="0.25">
      <c r="A739" s="26">
        <v>689</v>
      </c>
      <c r="B739" s="82">
        <f t="shared" si="86"/>
        <v>0</v>
      </c>
      <c r="C739" s="58">
        <f t="shared" si="90"/>
        <v>104.50616427295054</v>
      </c>
      <c r="D739" s="83">
        <f t="shared" si="87"/>
        <v>445.77777777777789</v>
      </c>
      <c r="E739">
        <f t="shared" si="83"/>
        <v>0</v>
      </c>
      <c r="G739">
        <v>689</v>
      </c>
      <c r="H739" s="13">
        <f t="shared" si="88"/>
        <v>1.8572577375266519E-2</v>
      </c>
      <c r="I739">
        <f t="shared" si="89"/>
        <v>117.30267008450917</v>
      </c>
      <c r="J739">
        <f t="shared" si="84"/>
        <v>465.41015518378578</v>
      </c>
      <c r="K739" s="27">
        <f t="shared" si="85"/>
        <v>4023.1356663627721</v>
      </c>
    </row>
    <row r="740" spans="1:11" x14ac:dyDescent="0.25">
      <c r="A740" s="26">
        <v>690</v>
      </c>
      <c r="B740" s="82">
        <f t="shared" si="86"/>
        <v>0</v>
      </c>
      <c r="C740" s="58">
        <f t="shared" si="90"/>
        <v>104.50616427295054</v>
      </c>
      <c r="D740" s="83">
        <f t="shared" si="87"/>
        <v>445.77777777777789</v>
      </c>
      <c r="E740">
        <f t="shared" si="83"/>
        <v>0</v>
      </c>
      <c r="G740">
        <v>690</v>
      </c>
      <c r="H740" s="13">
        <f t="shared" si="88"/>
        <v>1.8572577375266519E-2</v>
      </c>
      <c r="I740">
        <f t="shared" si="89"/>
        <v>117.32124266188444</v>
      </c>
      <c r="J740">
        <f t="shared" si="84"/>
        <v>465.43243592495639</v>
      </c>
      <c r="K740" s="27">
        <f t="shared" si="85"/>
        <v>4023.5207550955661</v>
      </c>
    </row>
    <row r="741" spans="1:11" x14ac:dyDescent="0.25">
      <c r="A741" s="26">
        <v>691</v>
      </c>
      <c r="B741" s="82">
        <f t="shared" si="86"/>
        <v>0</v>
      </c>
      <c r="C741" s="58">
        <f t="shared" si="90"/>
        <v>104.50616427295054</v>
      </c>
      <c r="D741" s="83">
        <f t="shared" si="87"/>
        <v>445.77777777777789</v>
      </c>
      <c r="E741">
        <f t="shared" si="83"/>
        <v>0</v>
      </c>
      <c r="G741">
        <v>691</v>
      </c>
      <c r="H741" s="13">
        <f t="shared" si="88"/>
        <v>1.8572577375266519E-2</v>
      </c>
      <c r="I741">
        <f t="shared" si="89"/>
        <v>117.33981523925971</v>
      </c>
      <c r="J741">
        <f t="shared" si="84"/>
        <v>465.45470357180204</v>
      </c>
      <c r="K741" s="27">
        <f t="shared" si="85"/>
        <v>4023.9056359769293</v>
      </c>
    </row>
    <row r="742" spans="1:11" x14ac:dyDescent="0.25">
      <c r="A742" s="26">
        <v>692</v>
      </c>
      <c r="B742" s="82">
        <f t="shared" si="86"/>
        <v>0</v>
      </c>
      <c r="C742" s="58">
        <f t="shared" si="90"/>
        <v>104.50616427295054</v>
      </c>
      <c r="D742" s="83">
        <f t="shared" si="87"/>
        <v>445.77777777777789</v>
      </c>
      <c r="E742">
        <f t="shared" si="83"/>
        <v>0</v>
      </c>
      <c r="G742">
        <v>692</v>
      </c>
      <c r="H742" s="13">
        <f t="shared" si="88"/>
        <v>1.8572577375266519E-2</v>
      </c>
      <c r="I742">
        <f t="shared" si="89"/>
        <v>117.35838781663497</v>
      </c>
      <c r="J742">
        <f t="shared" si="84"/>
        <v>465.4769581379316</v>
      </c>
      <c r="K742" s="27">
        <f t="shared" si="85"/>
        <v>4024.2903092094698</v>
      </c>
    </row>
    <row r="743" spans="1:11" x14ac:dyDescent="0.25">
      <c r="A743" s="26">
        <v>693</v>
      </c>
      <c r="B743" s="82">
        <f t="shared" si="86"/>
        <v>0</v>
      </c>
      <c r="C743" s="58">
        <f t="shared" si="90"/>
        <v>104.50616427295054</v>
      </c>
      <c r="D743" s="83">
        <f t="shared" si="87"/>
        <v>445.77777777777789</v>
      </c>
      <c r="E743">
        <f t="shared" si="83"/>
        <v>0</v>
      </c>
      <c r="G743">
        <v>693</v>
      </c>
      <c r="H743" s="13">
        <f t="shared" si="88"/>
        <v>1.8572577375266519E-2</v>
      </c>
      <c r="I743">
        <f t="shared" si="89"/>
        <v>117.37696039401024</v>
      </c>
      <c r="J743">
        <f t="shared" si="84"/>
        <v>465.49919963692713</v>
      </c>
      <c r="K743" s="27">
        <f t="shared" si="85"/>
        <v>4024.6747749953952</v>
      </c>
    </row>
    <row r="744" spans="1:11" x14ac:dyDescent="0.25">
      <c r="A744" s="26">
        <v>694</v>
      </c>
      <c r="B744" s="82">
        <f t="shared" si="86"/>
        <v>0</v>
      </c>
      <c r="C744" s="58">
        <f t="shared" si="90"/>
        <v>104.50616427295054</v>
      </c>
      <c r="D744" s="83">
        <f t="shared" si="87"/>
        <v>445.77777777777789</v>
      </c>
      <c r="E744">
        <f t="shared" si="83"/>
        <v>0</v>
      </c>
      <c r="G744">
        <v>694</v>
      </c>
      <c r="H744" s="13">
        <f t="shared" si="88"/>
        <v>1.8572577375266519E-2</v>
      </c>
      <c r="I744">
        <f t="shared" si="89"/>
        <v>117.39553297138551</v>
      </c>
      <c r="J744">
        <f t="shared" si="84"/>
        <v>465.52142808234396</v>
      </c>
      <c r="K744" s="27">
        <f t="shared" si="85"/>
        <v>4025.0590335365182</v>
      </c>
    </row>
    <row r="745" spans="1:11" x14ac:dyDescent="0.25">
      <c r="A745" s="26">
        <v>695</v>
      </c>
      <c r="B745" s="82">
        <f t="shared" si="86"/>
        <v>0</v>
      </c>
      <c r="C745" s="58">
        <f t="shared" si="90"/>
        <v>104.50616427295054</v>
      </c>
      <c r="D745" s="83">
        <f t="shared" si="87"/>
        <v>445.77777777777789</v>
      </c>
      <c r="E745">
        <f t="shared" si="83"/>
        <v>0</v>
      </c>
      <c r="G745">
        <v>695</v>
      </c>
      <c r="H745" s="13">
        <f t="shared" si="88"/>
        <v>1.8572577375266519E-2</v>
      </c>
      <c r="I745">
        <f t="shared" si="89"/>
        <v>117.41410554876077</v>
      </c>
      <c r="J745">
        <f t="shared" si="84"/>
        <v>465.54364348771077</v>
      </c>
      <c r="K745" s="27">
        <f t="shared" si="85"/>
        <v>4025.4430850342528</v>
      </c>
    </row>
    <row r="746" spans="1:11" x14ac:dyDescent="0.25">
      <c r="A746" s="26">
        <v>696</v>
      </c>
      <c r="B746" s="82">
        <f t="shared" si="86"/>
        <v>0</v>
      </c>
      <c r="C746" s="58">
        <f t="shared" si="90"/>
        <v>104.50616427295054</v>
      </c>
      <c r="D746" s="83">
        <f t="shared" si="87"/>
        <v>445.77777777777789</v>
      </c>
      <c r="E746">
        <f t="shared" si="83"/>
        <v>0</v>
      </c>
      <c r="G746">
        <v>696</v>
      </c>
      <c r="H746" s="13">
        <f t="shared" si="88"/>
        <v>1.8572577375266519E-2</v>
      </c>
      <c r="I746">
        <f t="shared" si="89"/>
        <v>117.43267812613604</v>
      </c>
      <c r="J746">
        <f t="shared" si="84"/>
        <v>465.56584586652957</v>
      </c>
      <c r="K746" s="27">
        <f t="shared" si="85"/>
        <v>4025.8269296896183</v>
      </c>
    </row>
    <row r="747" spans="1:11" x14ac:dyDescent="0.25">
      <c r="A747" s="26">
        <v>697</v>
      </c>
      <c r="B747" s="82">
        <f t="shared" si="86"/>
        <v>0</v>
      </c>
      <c r="C747" s="58">
        <f t="shared" si="90"/>
        <v>104.50616427295054</v>
      </c>
      <c r="D747" s="83">
        <f t="shared" si="87"/>
        <v>445.77777777777789</v>
      </c>
      <c r="E747">
        <f t="shared" si="83"/>
        <v>0</v>
      </c>
      <c r="G747">
        <v>697</v>
      </c>
      <c r="H747" s="13">
        <f t="shared" si="88"/>
        <v>1.8572577375266519E-2</v>
      </c>
      <c r="I747">
        <f t="shared" si="89"/>
        <v>117.45125070351131</v>
      </c>
      <c r="J747">
        <f t="shared" si="84"/>
        <v>465.5880352322759</v>
      </c>
      <c r="K747" s="27">
        <f t="shared" si="85"/>
        <v>4026.2105677032359</v>
      </c>
    </row>
    <row r="748" spans="1:11" x14ac:dyDescent="0.25">
      <c r="A748" s="26">
        <v>698</v>
      </c>
      <c r="B748" s="82">
        <f t="shared" si="86"/>
        <v>0</v>
      </c>
      <c r="C748" s="58">
        <f t="shared" si="90"/>
        <v>104.50616427295054</v>
      </c>
      <c r="D748" s="83">
        <f t="shared" si="87"/>
        <v>445.77777777777789</v>
      </c>
      <c r="E748">
        <f t="shared" si="83"/>
        <v>0</v>
      </c>
      <c r="G748">
        <v>698</v>
      </c>
      <c r="H748" s="13">
        <f t="shared" si="88"/>
        <v>1.8572577375266519E-2</v>
      </c>
      <c r="I748">
        <f t="shared" si="89"/>
        <v>117.46982328088657</v>
      </c>
      <c r="J748">
        <f t="shared" si="84"/>
        <v>465.61021159839868</v>
      </c>
      <c r="K748" s="27">
        <f t="shared" si="85"/>
        <v>4026.593999275336</v>
      </c>
    </row>
    <row r="749" spans="1:11" x14ac:dyDescent="0.25">
      <c r="A749" s="26">
        <v>699</v>
      </c>
      <c r="B749" s="82">
        <f t="shared" si="86"/>
        <v>0</v>
      </c>
      <c r="C749" s="58">
        <f t="shared" si="90"/>
        <v>104.50616427295054</v>
      </c>
      <c r="D749" s="83">
        <f t="shared" si="87"/>
        <v>445.77777777777789</v>
      </c>
      <c r="E749">
        <f t="shared" si="83"/>
        <v>0</v>
      </c>
      <c r="G749">
        <v>699</v>
      </c>
      <c r="H749" s="13">
        <f t="shared" si="88"/>
        <v>1.8572577375266519E-2</v>
      </c>
      <c r="I749">
        <f t="shared" si="89"/>
        <v>117.48839585826184</v>
      </c>
      <c r="J749">
        <f t="shared" si="84"/>
        <v>465.63237497832074</v>
      </c>
      <c r="K749" s="27">
        <f t="shared" si="85"/>
        <v>4026.9772246057569</v>
      </c>
    </row>
    <row r="750" spans="1:11" x14ac:dyDescent="0.25">
      <c r="A750" s="26">
        <v>700</v>
      </c>
      <c r="B750" s="82">
        <f t="shared" si="86"/>
        <v>0</v>
      </c>
      <c r="C750" s="58">
        <f t="shared" si="90"/>
        <v>104.50616427295054</v>
      </c>
      <c r="D750" s="83">
        <f t="shared" si="87"/>
        <v>445.77777777777789</v>
      </c>
      <c r="E750">
        <f t="shared" si="83"/>
        <v>0</v>
      </c>
      <c r="G750">
        <v>700</v>
      </c>
      <c r="H750" s="13">
        <f t="shared" si="88"/>
        <v>1.8572577375266519E-2</v>
      </c>
      <c r="I750">
        <f t="shared" si="89"/>
        <v>117.50696843563711</v>
      </c>
      <c r="J750">
        <f t="shared" si="84"/>
        <v>465.65452538543826</v>
      </c>
      <c r="K750" s="27">
        <f t="shared" si="85"/>
        <v>4027.3602438939415</v>
      </c>
    </row>
    <row r="751" spans="1:11" x14ac:dyDescent="0.25">
      <c r="A751" s="26">
        <v>701</v>
      </c>
      <c r="B751" s="82">
        <f t="shared" si="86"/>
        <v>0</v>
      </c>
      <c r="C751" s="58">
        <f t="shared" si="90"/>
        <v>104.50616427295054</v>
      </c>
      <c r="D751" s="83">
        <f t="shared" si="87"/>
        <v>445.77777777777789</v>
      </c>
      <c r="E751">
        <f t="shared" si="83"/>
        <v>0</v>
      </c>
      <c r="G751">
        <v>701</v>
      </c>
      <c r="H751" s="13">
        <f t="shared" si="88"/>
        <v>1.8572577375266519E-2</v>
      </c>
      <c r="I751">
        <f t="shared" si="89"/>
        <v>117.52554101301237</v>
      </c>
      <c r="J751">
        <f t="shared" si="84"/>
        <v>465.67666283312138</v>
      </c>
      <c r="K751" s="27">
        <f t="shared" si="85"/>
        <v>4027.7430573389452</v>
      </c>
    </row>
    <row r="752" spans="1:11" x14ac:dyDescent="0.25">
      <c r="A752" s="26">
        <v>702</v>
      </c>
      <c r="B752" s="82">
        <f t="shared" si="86"/>
        <v>0</v>
      </c>
      <c r="C752" s="58">
        <f t="shared" si="90"/>
        <v>104.50616427295054</v>
      </c>
      <c r="D752" s="83">
        <f t="shared" si="87"/>
        <v>445.77777777777789</v>
      </c>
      <c r="E752">
        <f t="shared" si="83"/>
        <v>0</v>
      </c>
      <c r="G752">
        <v>702</v>
      </c>
      <c r="H752" s="13">
        <f t="shared" si="88"/>
        <v>1.8572577375266519E-2</v>
      </c>
      <c r="I752">
        <f t="shared" si="89"/>
        <v>117.54411359038764</v>
      </c>
      <c r="J752">
        <f t="shared" si="84"/>
        <v>465.69878733471404</v>
      </c>
      <c r="K752" s="27">
        <f t="shared" si="85"/>
        <v>4028.1256651394328</v>
      </c>
    </row>
    <row r="753" spans="1:11" x14ac:dyDescent="0.25">
      <c r="A753" s="26">
        <v>703</v>
      </c>
      <c r="B753" s="82">
        <f t="shared" si="86"/>
        <v>0</v>
      </c>
      <c r="C753" s="58">
        <f t="shared" si="90"/>
        <v>104.50616427295054</v>
      </c>
      <c r="D753" s="83">
        <f t="shared" si="87"/>
        <v>445.77777777777789</v>
      </c>
      <c r="E753">
        <f t="shared" si="83"/>
        <v>0</v>
      </c>
      <c r="G753">
        <v>703</v>
      </c>
      <c r="H753" s="13">
        <f t="shared" si="88"/>
        <v>1.8572577375266519E-2</v>
      </c>
      <c r="I753">
        <f t="shared" si="89"/>
        <v>117.56268616776291</v>
      </c>
      <c r="J753">
        <f t="shared" si="84"/>
        <v>465.72089890353408</v>
      </c>
      <c r="K753" s="27">
        <f t="shared" si="85"/>
        <v>4028.5080674936821</v>
      </c>
    </row>
    <row r="754" spans="1:11" x14ac:dyDescent="0.25">
      <c r="A754" s="26">
        <v>704</v>
      </c>
      <c r="B754" s="82">
        <f t="shared" si="86"/>
        <v>0</v>
      </c>
      <c r="C754" s="58">
        <f t="shared" si="90"/>
        <v>104.50616427295054</v>
      </c>
      <c r="D754" s="83">
        <f t="shared" si="87"/>
        <v>445.77777777777789</v>
      </c>
      <c r="E754">
        <f t="shared" si="83"/>
        <v>0</v>
      </c>
      <c r="G754">
        <v>704</v>
      </c>
      <c r="H754" s="13">
        <f t="shared" si="88"/>
        <v>1.8572577375266519E-2</v>
      </c>
      <c r="I754">
        <f t="shared" si="89"/>
        <v>117.58125874513817</v>
      </c>
      <c r="J754">
        <f t="shared" si="84"/>
        <v>465.74299755287319</v>
      </c>
      <c r="K754" s="27">
        <f t="shared" si="85"/>
        <v>4028.8902645995818</v>
      </c>
    </row>
    <row r="755" spans="1:11" x14ac:dyDescent="0.25">
      <c r="A755" s="26">
        <v>705</v>
      </c>
      <c r="B755" s="82">
        <f t="shared" si="86"/>
        <v>0</v>
      </c>
      <c r="C755" s="58">
        <f t="shared" si="90"/>
        <v>104.50616427295054</v>
      </c>
      <c r="D755" s="83">
        <f t="shared" si="87"/>
        <v>445.77777777777789</v>
      </c>
      <c r="E755">
        <f t="shared" ref="E755:E818" si="91">((D755^2)+(D755*D756)+(D756^2))*B756/3</f>
        <v>0</v>
      </c>
      <c r="G755">
        <v>705</v>
      </c>
      <c r="H755" s="13">
        <f t="shared" si="88"/>
        <v>1.8572577375266519E-2</v>
      </c>
      <c r="I755">
        <f t="shared" si="89"/>
        <v>117.59983132251344</v>
      </c>
      <c r="J755">
        <f t="shared" ref="J755:J818" si="92">IF($G$28&lt;$C$14,0,((($C$11^2)-((I755-$C$13)^2))^0.5)+$C$16)</f>
        <v>465.76508329599727</v>
      </c>
      <c r="K755" s="27">
        <f t="shared" ref="K755:K818" si="93">((J755^2)+(J755*J756)+(J756^2))*H756/3</f>
        <v>4029.2722566546331</v>
      </c>
    </row>
    <row r="756" spans="1:11" x14ac:dyDescent="0.25">
      <c r="A756" s="26">
        <v>706</v>
      </c>
      <c r="B756" s="82">
        <f t="shared" ref="B756:B819" si="94">C756-C755</f>
        <v>0</v>
      </c>
      <c r="C756" s="58">
        <f t="shared" si="90"/>
        <v>104.50616427295054</v>
      </c>
      <c r="D756" s="83">
        <f t="shared" ref="D756:D819" si="95">IF($G$28&lt;$C$14,0,((($C$11^2)-((C756-$C$13)^2))^0.5)+$C$16)</f>
        <v>445.77777777777789</v>
      </c>
      <c r="E756">
        <f t="shared" si="91"/>
        <v>0</v>
      </c>
      <c r="G756">
        <v>706</v>
      </c>
      <c r="H756" s="13">
        <f t="shared" ref="H756:H819" si="96">I756-I755</f>
        <v>1.8572577375266519E-2</v>
      </c>
      <c r="I756">
        <f t="shared" ref="I756:I819" si="97">($G$27-$C$14)/2000+I755</f>
        <v>117.6184038998887</v>
      </c>
      <c r="J756">
        <f t="shared" si="92"/>
        <v>465.78715614614623</v>
      </c>
      <c r="K756" s="27">
        <f t="shared" si="93"/>
        <v>4029.654043855955</v>
      </c>
    </row>
    <row r="757" spans="1:11" x14ac:dyDescent="0.25">
      <c r="A757" s="26">
        <v>707</v>
      </c>
      <c r="B757" s="82">
        <f t="shared" si="94"/>
        <v>0</v>
      </c>
      <c r="C757" s="58">
        <f t="shared" si="90"/>
        <v>104.50616427295054</v>
      </c>
      <c r="D757" s="83">
        <f t="shared" si="95"/>
        <v>445.77777777777789</v>
      </c>
      <c r="E757">
        <f t="shared" si="91"/>
        <v>0</v>
      </c>
      <c r="G757">
        <v>707</v>
      </c>
      <c r="H757" s="13">
        <f t="shared" si="96"/>
        <v>1.8572577375266519E-2</v>
      </c>
      <c r="I757">
        <f t="shared" si="97"/>
        <v>117.63697647726397</v>
      </c>
      <c r="J757">
        <f t="shared" si="92"/>
        <v>465.80921611653423</v>
      </c>
      <c r="K757" s="27">
        <f t="shared" si="93"/>
        <v>4030.0356264002821</v>
      </c>
    </row>
    <row r="758" spans="1:11" x14ac:dyDescent="0.25">
      <c r="A758" s="26">
        <v>708</v>
      </c>
      <c r="B758" s="82">
        <f t="shared" si="94"/>
        <v>0</v>
      </c>
      <c r="C758" s="58">
        <f t="shared" si="90"/>
        <v>104.50616427295054</v>
      </c>
      <c r="D758" s="83">
        <f t="shared" si="95"/>
        <v>445.77777777777789</v>
      </c>
      <c r="E758">
        <f t="shared" si="91"/>
        <v>0</v>
      </c>
      <c r="G758">
        <v>708</v>
      </c>
      <c r="H758" s="13">
        <f t="shared" si="96"/>
        <v>1.8572577375266519E-2</v>
      </c>
      <c r="I758">
        <f t="shared" si="97"/>
        <v>117.65554905463924</v>
      </c>
      <c r="J758">
        <f t="shared" si="92"/>
        <v>465.83126322034957</v>
      </c>
      <c r="K758" s="27">
        <f t="shared" si="93"/>
        <v>4030.4170044839625</v>
      </c>
    </row>
    <row r="759" spans="1:11" x14ac:dyDescent="0.25">
      <c r="A759" s="26">
        <v>709</v>
      </c>
      <c r="B759" s="82">
        <f t="shared" si="94"/>
        <v>0</v>
      </c>
      <c r="C759" s="58">
        <f t="shared" si="90"/>
        <v>104.50616427295054</v>
      </c>
      <c r="D759" s="83">
        <f t="shared" si="95"/>
        <v>445.77777777777789</v>
      </c>
      <c r="E759">
        <f t="shared" si="91"/>
        <v>0</v>
      </c>
      <c r="G759">
        <v>709</v>
      </c>
      <c r="H759" s="13">
        <f t="shared" si="96"/>
        <v>1.8572577375266519E-2</v>
      </c>
      <c r="I759">
        <f t="shared" si="97"/>
        <v>117.6741216320145</v>
      </c>
      <c r="J759">
        <f t="shared" si="92"/>
        <v>465.85329747075502</v>
      </c>
      <c r="K759" s="27">
        <f t="shared" si="93"/>
        <v>4030.7981783029659</v>
      </c>
    </row>
    <row r="760" spans="1:11" x14ac:dyDescent="0.25">
      <c r="A760" s="26">
        <v>710</v>
      </c>
      <c r="B760" s="82">
        <f t="shared" si="94"/>
        <v>0</v>
      </c>
      <c r="C760" s="58">
        <f t="shared" si="90"/>
        <v>104.50616427295054</v>
      </c>
      <c r="D760" s="83">
        <f t="shared" si="95"/>
        <v>445.77777777777789</v>
      </c>
      <c r="E760">
        <f t="shared" si="91"/>
        <v>0</v>
      </c>
      <c r="G760">
        <v>710</v>
      </c>
      <c r="H760" s="13">
        <f t="shared" si="96"/>
        <v>1.8572577375266519E-2</v>
      </c>
      <c r="I760">
        <f t="shared" si="97"/>
        <v>117.69269420938977</v>
      </c>
      <c r="J760">
        <f t="shared" si="92"/>
        <v>465.87531888088768</v>
      </c>
      <c r="K760" s="27">
        <f t="shared" si="93"/>
        <v>4031.1791480528786</v>
      </c>
    </row>
    <row r="761" spans="1:11" x14ac:dyDescent="0.25">
      <c r="A761" s="26">
        <v>711</v>
      </c>
      <c r="B761" s="82">
        <f t="shared" si="94"/>
        <v>0</v>
      </c>
      <c r="C761" s="58">
        <f t="shared" si="90"/>
        <v>104.50616427295054</v>
      </c>
      <c r="D761" s="83">
        <f t="shared" si="95"/>
        <v>445.77777777777789</v>
      </c>
      <c r="E761">
        <f t="shared" si="91"/>
        <v>0</v>
      </c>
      <c r="G761">
        <v>711</v>
      </c>
      <c r="H761" s="13">
        <f t="shared" si="96"/>
        <v>1.8572577375266519E-2</v>
      </c>
      <c r="I761">
        <f t="shared" si="97"/>
        <v>117.71126678676504</v>
      </c>
      <c r="J761">
        <f t="shared" si="92"/>
        <v>465.89732746385909</v>
      </c>
      <c r="K761" s="27">
        <f t="shared" si="93"/>
        <v>4031.5599139289075</v>
      </c>
    </row>
    <row r="762" spans="1:11" x14ac:dyDescent="0.25">
      <c r="A762" s="26">
        <v>712</v>
      </c>
      <c r="B762" s="82">
        <f t="shared" si="94"/>
        <v>0</v>
      </c>
      <c r="C762" s="58">
        <f t="shared" si="90"/>
        <v>104.50616427295054</v>
      </c>
      <c r="D762" s="83">
        <f t="shared" si="95"/>
        <v>445.77777777777789</v>
      </c>
      <c r="E762">
        <f t="shared" si="91"/>
        <v>0</v>
      </c>
      <c r="G762">
        <v>712</v>
      </c>
      <c r="H762" s="13">
        <f t="shared" si="96"/>
        <v>1.8572577375266519E-2</v>
      </c>
      <c r="I762">
        <f t="shared" si="97"/>
        <v>117.7298393641403</v>
      </c>
      <c r="J762">
        <f t="shared" si="92"/>
        <v>465.91932323275529</v>
      </c>
      <c r="K762" s="27">
        <f t="shared" si="93"/>
        <v>4031.9404761258807</v>
      </c>
    </row>
    <row r="763" spans="1:11" x14ac:dyDescent="0.25">
      <c r="A763" s="26">
        <v>713</v>
      </c>
      <c r="B763" s="82">
        <f t="shared" si="94"/>
        <v>0</v>
      </c>
      <c r="C763" s="58">
        <f t="shared" si="90"/>
        <v>104.50616427295054</v>
      </c>
      <c r="D763" s="83">
        <f t="shared" si="95"/>
        <v>445.77777777777789</v>
      </c>
      <c r="E763">
        <f t="shared" si="91"/>
        <v>0</v>
      </c>
      <c r="G763">
        <v>713</v>
      </c>
      <c r="H763" s="13">
        <f t="shared" si="96"/>
        <v>1.8572577375266519E-2</v>
      </c>
      <c r="I763">
        <f t="shared" si="97"/>
        <v>117.74841194151557</v>
      </c>
      <c r="J763">
        <f t="shared" si="92"/>
        <v>465.94130620063703</v>
      </c>
      <c r="K763" s="27">
        <f t="shared" si="93"/>
        <v>4032.3208348382491</v>
      </c>
    </row>
    <row r="764" spans="1:11" x14ac:dyDescent="0.25">
      <c r="A764" s="26">
        <v>714</v>
      </c>
      <c r="B764" s="82">
        <f t="shared" si="94"/>
        <v>0</v>
      </c>
      <c r="C764" s="58">
        <f t="shared" si="90"/>
        <v>104.50616427295054</v>
      </c>
      <c r="D764" s="83">
        <f t="shared" si="95"/>
        <v>445.77777777777789</v>
      </c>
      <c r="E764">
        <f t="shared" si="91"/>
        <v>0</v>
      </c>
      <c r="G764">
        <v>714</v>
      </c>
      <c r="H764" s="13">
        <f t="shared" si="96"/>
        <v>1.8572577375266519E-2</v>
      </c>
      <c r="I764">
        <f t="shared" si="97"/>
        <v>117.76698451889084</v>
      </c>
      <c r="J764">
        <f t="shared" si="92"/>
        <v>465.9632763805397</v>
      </c>
      <c r="K764" s="27">
        <f t="shared" si="93"/>
        <v>4032.7009902600853</v>
      </c>
    </row>
    <row r="765" spans="1:11" x14ac:dyDescent="0.25">
      <c r="A765" s="26">
        <v>715</v>
      </c>
      <c r="B765" s="82">
        <f t="shared" si="94"/>
        <v>0</v>
      </c>
      <c r="C765" s="58">
        <f t="shared" si="90"/>
        <v>104.50616427295054</v>
      </c>
      <c r="D765" s="83">
        <f t="shared" si="95"/>
        <v>445.77777777777789</v>
      </c>
      <c r="E765">
        <f t="shared" si="91"/>
        <v>0</v>
      </c>
      <c r="G765">
        <v>715</v>
      </c>
      <c r="H765" s="13">
        <f t="shared" si="96"/>
        <v>1.8572577375266519E-2</v>
      </c>
      <c r="I765">
        <f t="shared" si="97"/>
        <v>117.7855570962661</v>
      </c>
      <c r="J765">
        <f t="shared" si="92"/>
        <v>465.98523378547327</v>
      </c>
      <c r="K765" s="27">
        <f t="shared" si="93"/>
        <v>4033.0809425850853</v>
      </c>
    </row>
    <row r="766" spans="1:11" x14ac:dyDescent="0.25">
      <c r="A766" s="26">
        <v>716</v>
      </c>
      <c r="B766" s="82">
        <f t="shared" si="94"/>
        <v>0</v>
      </c>
      <c r="C766" s="58">
        <f t="shared" si="90"/>
        <v>104.50616427295054</v>
      </c>
      <c r="D766" s="83">
        <f t="shared" si="95"/>
        <v>445.77777777777789</v>
      </c>
      <c r="E766">
        <f t="shared" si="91"/>
        <v>0</v>
      </c>
      <c r="G766">
        <v>716</v>
      </c>
      <c r="H766" s="13">
        <f t="shared" si="96"/>
        <v>1.8572577375266519E-2</v>
      </c>
      <c r="I766">
        <f t="shared" si="97"/>
        <v>117.80412967364137</v>
      </c>
      <c r="J766">
        <f t="shared" si="92"/>
        <v>466.00717842842283</v>
      </c>
      <c r="K766" s="27">
        <f t="shared" si="93"/>
        <v>4033.4606920065721</v>
      </c>
    </row>
    <row r="767" spans="1:11" x14ac:dyDescent="0.25">
      <c r="A767" s="26">
        <v>717</v>
      </c>
      <c r="B767" s="82">
        <f t="shared" si="94"/>
        <v>0</v>
      </c>
      <c r="C767" s="58">
        <f t="shared" si="90"/>
        <v>104.50616427295054</v>
      </c>
      <c r="D767" s="83">
        <f t="shared" si="95"/>
        <v>445.77777777777789</v>
      </c>
      <c r="E767">
        <f t="shared" si="91"/>
        <v>0</v>
      </c>
      <c r="G767">
        <v>717</v>
      </c>
      <c r="H767" s="13">
        <f t="shared" si="96"/>
        <v>1.8572577375266519E-2</v>
      </c>
      <c r="I767">
        <f t="shared" si="97"/>
        <v>117.82270225101664</v>
      </c>
      <c r="J767">
        <f t="shared" si="92"/>
        <v>466.02911032234806</v>
      </c>
      <c r="K767" s="27">
        <f t="shared" si="93"/>
        <v>4033.8402387174951</v>
      </c>
    </row>
    <row r="768" spans="1:11" x14ac:dyDescent="0.25">
      <c r="A768" s="26">
        <v>718</v>
      </c>
      <c r="B768" s="82">
        <f t="shared" si="94"/>
        <v>0</v>
      </c>
      <c r="C768" s="58">
        <f t="shared" si="90"/>
        <v>104.50616427295054</v>
      </c>
      <c r="D768" s="83">
        <f t="shared" si="95"/>
        <v>445.77777777777789</v>
      </c>
      <c r="E768">
        <f t="shared" si="91"/>
        <v>0</v>
      </c>
      <c r="G768">
        <v>718</v>
      </c>
      <c r="H768" s="13">
        <f t="shared" si="96"/>
        <v>1.8572577375266519E-2</v>
      </c>
      <c r="I768">
        <f t="shared" si="97"/>
        <v>117.8412748283919</v>
      </c>
      <c r="J768">
        <f t="shared" si="92"/>
        <v>466.05102948018373</v>
      </c>
      <c r="K768" s="27">
        <f t="shared" si="93"/>
        <v>4034.219582910428</v>
      </c>
    </row>
    <row r="769" spans="1:11" x14ac:dyDescent="0.25">
      <c r="A769" s="26">
        <v>719</v>
      </c>
      <c r="B769" s="82">
        <f t="shared" si="94"/>
        <v>0</v>
      </c>
      <c r="C769" s="58">
        <f t="shared" si="90"/>
        <v>104.50616427295054</v>
      </c>
      <c r="D769" s="83">
        <f t="shared" si="95"/>
        <v>445.77777777777789</v>
      </c>
      <c r="E769">
        <f t="shared" si="91"/>
        <v>0</v>
      </c>
      <c r="G769">
        <v>719</v>
      </c>
      <c r="H769" s="13">
        <f t="shared" si="96"/>
        <v>1.8572577375266519E-2</v>
      </c>
      <c r="I769">
        <f t="shared" si="97"/>
        <v>117.85984740576717</v>
      </c>
      <c r="J769">
        <f t="shared" si="92"/>
        <v>466.07293591483955</v>
      </c>
      <c r="K769" s="27">
        <f t="shared" si="93"/>
        <v>4034.5987247775761</v>
      </c>
    </row>
    <row r="770" spans="1:11" x14ac:dyDescent="0.25">
      <c r="A770" s="26">
        <v>720</v>
      </c>
      <c r="B770" s="82">
        <f t="shared" si="94"/>
        <v>0</v>
      </c>
      <c r="C770" s="58">
        <f t="shared" si="90"/>
        <v>104.50616427295054</v>
      </c>
      <c r="D770" s="83">
        <f t="shared" si="95"/>
        <v>445.77777777777789</v>
      </c>
      <c r="E770">
        <f t="shared" si="91"/>
        <v>0</v>
      </c>
      <c r="G770">
        <v>720</v>
      </c>
      <c r="H770" s="13">
        <f t="shared" si="96"/>
        <v>1.8572577375266519E-2</v>
      </c>
      <c r="I770">
        <f t="shared" si="97"/>
        <v>117.87841998314244</v>
      </c>
      <c r="J770">
        <f t="shared" si="92"/>
        <v>466.09482963920038</v>
      </c>
      <c r="K770" s="27">
        <f t="shared" si="93"/>
        <v>4034.9776645107709</v>
      </c>
    </row>
    <row r="771" spans="1:11" x14ac:dyDescent="0.25">
      <c r="A771" s="26">
        <v>721</v>
      </c>
      <c r="B771" s="82">
        <f t="shared" si="94"/>
        <v>0</v>
      </c>
      <c r="C771" s="58">
        <f t="shared" si="90"/>
        <v>104.50616427295054</v>
      </c>
      <c r="D771" s="83">
        <f t="shared" si="95"/>
        <v>445.77777777777789</v>
      </c>
      <c r="E771">
        <f t="shared" si="91"/>
        <v>0</v>
      </c>
      <c r="G771">
        <v>721</v>
      </c>
      <c r="H771" s="13">
        <f t="shared" si="96"/>
        <v>1.8572577375266519E-2</v>
      </c>
      <c r="I771">
        <f t="shared" si="97"/>
        <v>117.8969925605177</v>
      </c>
      <c r="J771">
        <f t="shared" si="92"/>
        <v>466.11671066612615</v>
      </c>
      <c r="K771" s="27">
        <f t="shared" si="93"/>
        <v>4035.3564023014751</v>
      </c>
    </row>
    <row r="772" spans="1:11" x14ac:dyDescent="0.25">
      <c r="A772" s="26">
        <v>722</v>
      </c>
      <c r="B772" s="82">
        <f t="shared" si="94"/>
        <v>0</v>
      </c>
      <c r="C772" s="58">
        <f t="shared" si="90"/>
        <v>104.50616427295054</v>
      </c>
      <c r="D772" s="83">
        <f t="shared" si="95"/>
        <v>445.77777777777789</v>
      </c>
      <c r="E772">
        <f t="shared" si="91"/>
        <v>0</v>
      </c>
      <c r="G772">
        <v>722</v>
      </c>
      <c r="H772" s="13">
        <f t="shared" si="96"/>
        <v>1.8572577375266519E-2</v>
      </c>
      <c r="I772">
        <f t="shared" si="97"/>
        <v>117.91556513789297</v>
      </c>
      <c r="J772">
        <f t="shared" si="92"/>
        <v>466.1385790084521</v>
      </c>
      <c r="K772" s="27">
        <f t="shared" si="93"/>
        <v>4035.7349383407818</v>
      </c>
    </row>
    <row r="773" spans="1:11" x14ac:dyDescent="0.25">
      <c r="A773" s="26">
        <v>723</v>
      </c>
      <c r="B773" s="82">
        <f t="shared" si="94"/>
        <v>0</v>
      </c>
      <c r="C773" s="58">
        <f t="shared" si="90"/>
        <v>104.50616427295054</v>
      </c>
      <c r="D773" s="83">
        <f t="shared" si="95"/>
        <v>445.77777777777789</v>
      </c>
      <c r="E773">
        <f t="shared" si="91"/>
        <v>0</v>
      </c>
      <c r="G773">
        <v>723</v>
      </c>
      <c r="H773" s="13">
        <f t="shared" si="96"/>
        <v>1.8572577375266519E-2</v>
      </c>
      <c r="I773">
        <f t="shared" si="97"/>
        <v>117.93413771526824</v>
      </c>
      <c r="J773">
        <f t="shared" si="92"/>
        <v>466.16043467898862</v>
      </c>
      <c r="K773" s="27">
        <f t="shared" si="93"/>
        <v>4036.1132728194193</v>
      </c>
    </row>
    <row r="774" spans="1:11" x14ac:dyDescent="0.25">
      <c r="A774" s="26">
        <v>724</v>
      </c>
      <c r="B774" s="82">
        <f t="shared" si="94"/>
        <v>0</v>
      </c>
      <c r="C774" s="58">
        <f t="shared" si="90"/>
        <v>104.50616427295054</v>
      </c>
      <c r="D774" s="83">
        <f t="shared" si="95"/>
        <v>445.77777777777789</v>
      </c>
      <c r="E774">
        <f t="shared" si="91"/>
        <v>0</v>
      </c>
      <c r="G774">
        <v>724</v>
      </c>
      <c r="H774" s="13">
        <f t="shared" si="96"/>
        <v>1.8572577375266519E-2</v>
      </c>
      <c r="I774">
        <f t="shared" si="97"/>
        <v>117.9527102926435</v>
      </c>
      <c r="J774">
        <f t="shared" si="92"/>
        <v>466.18227769052163</v>
      </c>
      <c r="K774" s="27">
        <f t="shared" si="93"/>
        <v>4036.4914059277457</v>
      </c>
    </row>
    <row r="775" spans="1:11" x14ac:dyDescent="0.25">
      <c r="A775" s="26">
        <v>725</v>
      </c>
      <c r="B775" s="82">
        <f t="shared" si="94"/>
        <v>0</v>
      </c>
      <c r="C775" s="58">
        <f t="shared" si="90"/>
        <v>104.50616427295054</v>
      </c>
      <c r="D775" s="83">
        <f t="shared" si="95"/>
        <v>445.77777777777789</v>
      </c>
      <c r="E775">
        <f t="shared" si="91"/>
        <v>0</v>
      </c>
      <c r="G775">
        <v>725</v>
      </c>
      <c r="H775" s="13">
        <f t="shared" si="96"/>
        <v>1.8572577375266519E-2</v>
      </c>
      <c r="I775">
        <f t="shared" si="97"/>
        <v>117.97128287001877</v>
      </c>
      <c r="J775">
        <f t="shared" si="92"/>
        <v>466.2041080558123</v>
      </c>
      <c r="K775" s="27">
        <f t="shared" si="93"/>
        <v>4036.8693378557546</v>
      </c>
    </row>
    <row r="776" spans="1:11" x14ac:dyDescent="0.25">
      <c r="A776" s="26">
        <v>726</v>
      </c>
      <c r="B776" s="82">
        <f t="shared" si="94"/>
        <v>0</v>
      </c>
      <c r="C776" s="58">
        <f t="shared" si="90"/>
        <v>104.50616427295054</v>
      </c>
      <c r="D776" s="83">
        <f t="shared" si="95"/>
        <v>445.77777777777789</v>
      </c>
      <c r="E776">
        <f t="shared" si="91"/>
        <v>0</v>
      </c>
      <c r="G776">
        <v>726</v>
      </c>
      <c r="H776" s="13">
        <f t="shared" si="96"/>
        <v>1.8572577375266519E-2</v>
      </c>
      <c r="I776">
        <f t="shared" si="97"/>
        <v>117.98985544739404</v>
      </c>
      <c r="J776">
        <f t="shared" si="92"/>
        <v>466.22592578759736</v>
      </c>
      <c r="K776" s="27">
        <f t="shared" si="93"/>
        <v>4037.2470687930731</v>
      </c>
    </row>
    <row r="777" spans="1:11" x14ac:dyDescent="0.25">
      <c r="A777" s="26">
        <v>727</v>
      </c>
      <c r="B777" s="82">
        <f t="shared" si="94"/>
        <v>0</v>
      </c>
      <c r="C777" s="58">
        <f t="shared" si="90"/>
        <v>104.50616427295054</v>
      </c>
      <c r="D777" s="83">
        <f t="shared" si="95"/>
        <v>445.77777777777789</v>
      </c>
      <c r="E777">
        <f t="shared" si="91"/>
        <v>0</v>
      </c>
      <c r="G777">
        <v>727</v>
      </c>
      <c r="H777" s="13">
        <f t="shared" si="96"/>
        <v>1.8572577375266519E-2</v>
      </c>
      <c r="I777">
        <f t="shared" si="97"/>
        <v>118.0084280247693</v>
      </c>
      <c r="J777">
        <f t="shared" si="92"/>
        <v>466.247730898589</v>
      </c>
      <c r="K777" s="27">
        <f t="shared" si="93"/>
        <v>4037.624598928966</v>
      </c>
    </row>
    <row r="778" spans="1:11" x14ac:dyDescent="0.25">
      <c r="A778" s="26">
        <v>728</v>
      </c>
      <c r="B778" s="82">
        <f t="shared" si="94"/>
        <v>0</v>
      </c>
      <c r="C778" s="58">
        <f t="shared" si="90"/>
        <v>104.50616427295054</v>
      </c>
      <c r="D778" s="83">
        <f t="shared" si="95"/>
        <v>445.77777777777789</v>
      </c>
      <c r="E778">
        <f t="shared" si="91"/>
        <v>0</v>
      </c>
      <c r="G778">
        <v>728</v>
      </c>
      <c r="H778" s="13">
        <f t="shared" si="96"/>
        <v>1.8572577375266519E-2</v>
      </c>
      <c r="I778">
        <f t="shared" si="97"/>
        <v>118.02700060214457</v>
      </c>
      <c r="J778">
        <f t="shared" si="92"/>
        <v>466.26952340147517</v>
      </c>
      <c r="K778" s="27">
        <f t="shared" si="93"/>
        <v>4038.0019284523369</v>
      </c>
    </row>
    <row r="779" spans="1:11" x14ac:dyDescent="0.25">
      <c r="A779" s="26">
        <v>729</v>
      </c>
      <c r="B779" s="82">
        <f t="shared" si="94"/>
        <v>0</v>
      </c>
      <c r="C779" s="58">
        <f t="shared" si="90"/>
        <v>104.50616427295054</v>
      </c>
      <c r="D779" s="83">
        <f t="shared" si="95"/>
        <v>445.77777777777789</v>
      </c>
      <c r="E779">
        <f t="shared" si="91"/>
        <v>0</v>
      </c>
      <c r="G779">
        <v>729</v>
      </c>
      <c r="H779" s="13">
        <f t="shared" si="96"/>
        <v>1.8572577375266519E-2</v>
      </c>
      <c r="I779">
        <f t="shared" si="97"/>
        <v>118.04557317951983</v>
      </c>
      <c r="J779">
        <f t="shared" si="92"/>
        <v>466.2913033089194</v>
      </c>
      <c r="K779" s="27">
        <f t="shared" si="93"/>
        <v>4038.3790575517219</v>
      </c>
    </row>
    <row r="780" spans="1:11" x14ac:dyDescent="0.25">
      <c r="A780" s="26">
        <v>730</v>
      </c>
      <c r="B780" s="82">
        <f t="shared" si="94"/>
        <v>0</v>
      </c>
      <c r="C780" s="58">
        <f t="shared" si="90"/>
        <v>104.50616427295054</v>
      </c>
      <c r="D780" s="83">
        <f t="shared" si="95"/>
        <v>445.77777777777789</v>
      </c>
      <c r="E780">
        <f t="shared" si="91"/>
        <v>0</v>
      </c>
      <c r="G780">
        <v>730</v>
      </c>
      <c r="H780" s="13">
        <f t="shared" si="96"/>
        <v>1.8572577375266519E-2</v>
      </c>
      <c r="I780">
        <f t="shared" si="97"/>
        <v>118.0641457568951</v>
      </c>
      <c r="J780">
        <f t="shared" si="92"/>
        <v>466.31307063356093</v>
      </c>
      <c r="K780" s="27">
        <f t="shared" si="93"/>
        <v>4038.7559864153027</v>
      </c>
    </row>
    <row r="781" spans="1:11" x14ac:dyDescent="0.25">
      <c r="A781" s="26">
        <v>731</v>
      </c>
      <c r="B781" s="82">
        <f t="shared" si="94"/>
        <v>0</v>
      </c>
      <c r="C781" s="58">
        <f t="shared" si="90"/>
        <v>104.50616427295054</v>
      </c>
      <c r="D781" s="83">
        <f t="shared" si="95"/>
        <v>445.77777777777789</v>
      </c>
      <c r="E781">
        <f t="shared" si="91"/>
        <v>0</v>
      </c>
      <c r="G781">
        <v>731</v>
      </c>
      <c r="H781" s="13">
        <f t="shared" si="96"/>
        <v>1.8572577375266519E-2</v>
      </c>
      <c r="I781">
        <f t="shared" si="97"/>
        <v>118.08271833427037</v>
      </c>
      <c r="J781">
        <f t="shared" si="92"/>
        <v>466.33482538801485</v>
      </c>
      <c r="K781" s="27">
        <f t="shared" si="93"/>
        <v>4039.1327152308945</v>
      </c>
    </row>
    <row r="782" spans="1:11" x14ac:dyDescent="0.25">
      <c r="A782" s="26">
        <v>732</v>
      </c>
      <c r="B782" s="82">
        <f t="shared" si="94"/>
        <v>0</v>
      </c>
      <c r="C782" s="58">
        <f t="shared" si="90"/>
        <v>104.50616427295054</v>
      </c>
      <c r="D782" s="83">
        <f t="shared" si="95"/>
        <v>445.77777777777789</v>
      </c>
      <c r="E782">
        <f t="shared" si="91"/>
        <v>0</v>
      </c>
      <c r="G782">
        <v>732</v>
      </c>
      <c r="H782" s="13">
        <f t="shared" si="96"/>
        <v>1.8572577375266519E-2</v>
      </c>
      <c r="I782">
        <f t="shared" si="97"/>
        <v>118.10129091164563</v>
      </c>
      <c r="J782">
        <f t="shared" si="92"/>
        <v>466.35656758487221</v>
      </c>
      <c r="K782" s="27">
        <f t="shared" si="93"/>
        <v>4039.5092441859579</v>
      </c>
    </row>
    <row r="783" spans="1:11" x14ac:dyDescent="0.25">
      <c r="A783" s="26">
        <v>733</v>
      </c>
      <c r="B783" s="82">
        <f t="shared" si="94"/>
        <v>0</v>
      </c>
      <c r="C783" s="58">
        <f t="shared" si="90"/>
        <v>104.50616427295054</v>
      </c>
      <c r="D783" s="83">
        <f t="shared" si="95"/>
        <v>445.77777777777789</v>
      </c>
      <c r="E783">
        <f t="shared" si="91"/>
        <v>0</v>
      </c>
      <c r="G783">
        <v>733</v>
      </c>
      <c r="H783" s="13">
        <f t="shared" si="96"/>
        <v>1.8572577375266519E-2</v>
      </c>
      <c r="I783">
        <f t="shared" si="97"/>
        <v>118.1198634890209</v>
      </c>
      <c r="J783">
        <f t="shared" si="92"/>
        <v>466.37829723669978</v>
      </c>
      <c r="K783" s="27">
        <f t="shared" si="93"/>
        <v>4039.8855734675949</v>
      </c>
    </row>
    <row r="784" spans="1:11" x14ac:dyDescent="0.25">
      <c r="A784" s="26">
        <v>734</v>
      </c>
      <c r="B784" s="82">
        <f t="shared" si="94"/>
        <v>0</v>
      </c>
      <c r="C784" s="58">
        <f t="shared" ref="C784:C847" si="98">($C$37-$C$36)/2000+C783</f>
        <v>104.50616427295054</v>
      </c>
      <c r="D784" s="83">
        <f t="shared" si="95"/>
        <v>445.77777777777789</v>
      </c>
      <c r="E784">
        <f t="shared" si="91"/>
        <v>0</v>
      </c>
      <c r="G784">
        <v>734</v>
      </c>
      <c r="H784" s="13">
        <f t="shared" si="96"/>
        <v>1.8572577375266519E-2</v>
      </c>
      <c r="I784">
        <f t="shared" si="97"/>
        <v>118.13843606639617</v>
      </c>
      <c r="J784">
        <f t="shared" si="92"/>
        <v>466.40001435604057</v>
      </c>
      <c r="K784" s="27">
        <f t="shared" si="93"/>
        <v>4040.2617032625476</v>
      </c>
    </row>
    <row r="785" spans="1:11" x14ac:dyDescent="0.25">
      <c r="A785" s="26">
        <v>735</v>
      </c>
      <c r="B785" s="82">
        <f t="shared" si="94"/>
        <v>0</v>
      </c>
      <c r="C785" s="58">
        <f t="shared" si="98"/>
        <v>104.50616427295054</v>
      </c>
      <c r="D785" s="83">
        <f t="shared" si="95"/>
        <v>445.77777777777789</v>
      </c>
      <c r="E785">
        <f t="shared" si="91"/>
        <v>0</v>
      </c>
      <c r="G785">
        <v>735</v>
      </c>
      <c r="H785" s="13">
        <f t="shared" si="96"/>
        <v>1.8572577375266519E-2</v>
      </c>
      <c r="I785">
        <f t="shared" si="97"/>
        <v>118.15700864377143</v>
      </c>
      <c r="J785">
        <f t="shared" si="92"/>
        <v>466.4217189554135</v>
      </c>
      <c r="K785" s="27">
        <f t="shared" si="93"/>
        <v>4040.6376337572055</v>
      </c>
    </row>
    <row r="786" spans="1:11" x14ac:dyDescent="0.25">
      <c r="A786" s="26">
        <v>736</v>
      </c>
      <c r="B786" s="82">
        <f t="shared" si="94"/>
        <v>0</v>
      </c>
      <c r="C786" s="58">
        <f t="shared" si="98"/>
        <v>104.50616427295054</v>
      </c>
      <c r="D786" s="83">
        <f t="shared" si="95"/>
        <v>445.77777777777789</v>
      </c>
      <c r="E786">
        <f t="shared" si="91"/>
        <v>0</v>
      </c>
      <c r="G786">
        <v>736</v>
      </c>
      <c r="H786" s="13">
        <f t="shared" si="96"/>
        <v>1.8572577375266519E-2</v>
      </c>
      <c r="I786">
        <f t="shared" si="97"/>
        <v>118.1755812211467</v>
      </c>
      <c r="J786">
        <f t="shared" si="92"/>
        <v>466.4434110473137</v>
      </c>
      <c r="K786" s="27">
        <f t="shared" si="93"/>
        <v>4041.0133651376004</v>
      </c>
    </row>
    <row r="787" spans="1:11" x14ac:dyDescent="0.25">
      <c r="A787" s="26">
        <v>737</v>
      </c>
      <c r="B787" s="82">
        <f t="shared" si="94"/>
        <v>0</v>
      </c>
      <c r="C787" s="58">
        <f t="shared" si="98"/>
        <v>104.50616427295054</v>
      </c>
      <c r="D787" s="83">
        <f t="shared" si="95"/>
        <v>445.77777777777789</v>
      </c>
      <c r="E787">
        <f t="shared" si="91"/>
        <v>0</v>
      </c>
      <c r="G787">
        <v>737</v>
      </c>
      <c r="H787" s="13">
        <f t="shared" si="96"/>
        <v>1.8572577375266519E-2</v>
      </c>
      <c r="I787">
        <f t="shared" si="97"/>
        <v>118.19415379852197</v>
      </c>
      <c r="J787">
        <f t="shared" si="92"/>
        <v>466.46509064421241</v>
      </c>
      <c r="K787" s="27">
        <f t="shared" si="93"/>
        <v>4041.3888975894101</v>
      </c>
    </row>
    <row r="788" spans="1:11" x14ac:dyDescent="0.25">
      <c r="A788" s="26">
        <v>738</v>
      </c>
      <c r="B788" s="82">
        <f t="shared" si="94"/>
        <v>0</v>
      </c>
      <c r="C788" s="58">
        <f t="shared" si="98"/>
        <v>104.50616427295054</v>
      </c>
      <c r="D788" s="83">
        <f t="shared" si="95"/>
        <v>445.77777777777789</v>
      </c>
      <c r="E788">
        <f t="shared" si="91"/>
        <v>0</v>
      </c>
      <c r="G788">
        <v>738</v>
      </c>
      <c r="H788" s="13">
        <f t="shared" si="96"/>
        <v>1.8572577375266519E-2</v>
      </c>
      <c r="I788">
        <f t="shared" si="97"/>
        <v>118.21272637589723</v>
      </c>
      <c r="J788">
        <f t="shared" si="92"/>
        <v>466.48675775855719</v>
      </c>
      <c r="K788" s="27">
        <f t="shared" si="93"/>
        <v>4041.7642312979601</v>
      </c>
    </row>
    <row r="789" spans="1:11" x14ac:dyDescent="0.25">
      <c r="A789" s="26">
        <v>739</v>
      </c>
      <c r="B789" s="82">
        <f t="shared" si="94"/>
        <v>0</v>
      </c>
      <c r="C789" s="58">
        <f t="shared" si="98"/>
        <v>104.50616427295054</v>
      </c>
      <c r="D789" s="83">
        <f t="shared" si="95"/>
        <v>445.77777777777789</v>
      </c>
      <c r="E789">
        <f t="shared" si="91"/>
        <v>0</v>
      </c>
      <c r="G789">
        <v>739</v>
      </c>
      <c r="H789" s="13">
        <f t="shared" si="96"/>
        <v>1.8572577375266519E-2</v>
      </c>
      <c r="I789">
        <f t="shared" si="97"/>
        <v>118.2312989532725</v>
      </c>
      <c r="J789">
        <f t="shared" si="92"/>
        <v>466.50841240277191</v>
      </c>
      <c r="K789" s="27">
        <f t="shared" si="93"/>
        <v>4042.1393664482225</v>
      </c>
    </row>
    <row r="790" spans="1:11" x14ac:dyDescent="0.25">
      <c r="A790" s="26">
        <v>740</v>
      </c>
      <c r="B790" s="82">
        <f t="shared" si="94"/>
        <v>0</v>
      </c>
      <c r="C790" s="58">
        <f t="shared" si="98"/>
        <v>104.50616427295054</v>
      </c>
      <c r="D790" s="83">
        <f t="shared" si="95"/>
        <v>445.77777777777789</v>
      </c>
      <c r="E790">
        <f t="shared" si="91"/>
        <v>0</v>
      </c>
      <c r="G790">
        <v>740</v>
      </c>
      <c r="H790" s="13">
        <f t="shared" si="96"/>
        <v>1.8572577375266519E-2</v>
      </c>
      <c r="I790">
        <f t="shared" si="97"/>
        <v>118.24987153064777</v>
      </c>
      <c r="J790">
        <f t="shared" si="92"/>
        <v>466.53005458925685</v>
      </c>
      <c r="K790" s="27">
        <f t="shared" si="93"/>
        <v>4042.5143032248179</v>
      </c>
    </row>
    <row r="791" spans="1:11" x14ac:dyDescent="0.25">
      <c r="A791" s="26">
        <v>741</v>
      </c>
      <c r="B791" s="82">
        <f t="shared" si="94"/>
        <v>0</v>
      </c>
      <c r="C791" s="58">
        <f t="shared" si="98"/>
        <v>104.50616427295054</v>
      </c>
      <c r="D791" s="83">
        <f t="shared" si="95"/>
        <v>445.77777777777789</v>
      </c>
      <c r="E791">
        <f t="shared" si="91"/>
        <v>0</v>
      </c>
      <c r="G791">
        <v>741</v>
      </c>
      <c r="H791" s="13">
        <f t="shared" si="96"/>
        <v>1.8572577375266519E-2</v>
      </c>
      <c r="I791">
        <f t="shared" si="97"/>
        <v>118.26844410802303</v>
      </c>
      <c r="J791">
        <f t="shared" si="92"/>
        <v>466.55168433038864</v>
      </c>
      <c r="K791" s="27">
        <f t="shared" si="93"/>
        <v>4042.8890418120154</v>
      </c>
    </row>
    <row r="792" spans="1:11" x14ac:dyDescent="0.25">
      <c r="A792" s="26">
        <v>742</v>
      </c>
      <c r="B792" s="82">
        <f t="shared" si="94"/>
        <v>0</v>
      </c>
      <c r="C792" s="58">
        <f t="shared" si="98"/>
        <v>104.50616427295054</v>
      </c>
      <c r="D792" s="83">
        <f t="shared" si="95"/>
        <v>445.77777777777789</v>
      </c>
      <c r="E792">
        <f t="shared" si="91"/>
        <v>0</v>
      </c>
      <c r="G792">
        <v>742</v>
      </c>
      <c r="H792" s="13">
        <f t="shared" si="96"/>
        <v>1.8572577375266519E-2</v>
      </c>
      <c r="I792">
        <f t="shared" si="97"/>
        <v>118.2870166853983</v>
      </c>
      <c r="J792">
        <f t="shared" si="92"/>
        <v>466.57330163852049</v>
      </c>
      <c r="K792" s="27">
        <f t="shared" si="93"/>
        <v>4043.263582393738</v>
      </c>
    </row>
    <row r="793" spans="1:11" x14ac:dyDescent="0.25">
      <c r="A793" s="26">
        <v>743</v>
      </c>
      <c r="B793" s="82">
        <f t="shared" si="94"/>
        <v>0</v>
      </c>
      <c r="C793" s="58">
        <f t="shared" si="98"/>
        <v>104.50616427295054</v>
      </c>
      <c r="D793" s="83">
        <f t="shared" si="95"/>
        <v>445.77777777777789</v>
      </c>
      <c r="E793">
        <f t="shared" si="91"/>
        <v>0</v>
      </c>
      <c r="G793">
        <v>743</v>
      </c>
      <c r="H793" s="13">
        <f t="shared" si="96"/>
        <v>1.8572577375266519E-2</v>
      </c>
      <c r="I793">
        <f t="shared" si="97"/>
        <v>118.30558926277357</v>
      </c>
      <c r="J793">
        <f t="shared" si="92"/>
        <v>466.5949065259822</v>
      </c>
      <c r="K793" s="27">
        <f t="shared" si="93"/>
        <v>4043.6379251535564</v>
      </c>
    </row>
    <row r="794" spans="1:11" x14ac:dyDescent="0.25">
      <c r="A794" s="26">
        <v>744</v>
      </c>
      <c r="B794" s="82">
        <f t="shared" si="94"/>
        <v>0</v>
      </c>
      <c r="C794" s="58">
        <f t="shared" si="98"/>
        <v>104.50616427295054</v>
      </c>
      <c r="D794" s="83">
        <f t="shared" si="95"/>
        <v>445.77777777777789</v>
      </c>
      <c r="E794">
        <f t="shared" si="91"/>
        <v>0</v>
      </c>
      <c r="G794">
        <v>744</v>
      </c>
      <c r="H794" s="13">
        <f t="shared" si="96"/>
        <v>1.8572577375266519E-2</v>
      </c>
      <c r="I794">
        <f t="shared" si="97"/>
        <v>118.32416184014883</v>
      </c>
      <c r="J794">
        <f t="shared" si="92"/>
        <v>466.61649900508019</v>
      </c>
      <c r="K794" s="27">
        <f t="shared" si="93"/>
        <v>4044.0120702746949</v>
      </c>
    </row>
    <row r="795" spans="1:11" x14ac:dyDescent="0.25">
      <c r="A795" s="26">
        <v>745</v>
      </c>
      <c r="B795" s="82">
        <f t="shared" si="94"/>
        <v>0</v>
      </c>
      <c r="C795" s="58">
        <f t="shared" si="98"/>
        <v>104.50616427295054</v>
      </c>
      <c r="D795" s="83">
        <f t="shared" si="95"/>
        <v>445.77777777777789</v>
      </c>
      <c r="E795">
        <f t="shared" si="91"/>
        <v>0</v>
      </c>
      <c r="G795">
        <v>745</v>
      </c>
      <c r="H795" s="13">
        <f t="shared" si="96"/>
        <v>1.8572577375266519E-2</v>
      </c>
      <c r="I795">
        <f t="shared" si="97"/>
        <v>118.3427344175241</v>
      </c>
      <c r="J795">
        <f t="shared" si="92"/>
        <v>466.63807908809741</v>
      </c>
      <c r="K795" s="27">
        <f t="shared" si="93"/>
        <v>4044.3860179400308</v>
      </c>
    </row>
    <row r="796" spans="1:11" x14ac:dyDescent="0.25">
      <c r="A796" s="26">
        <v>746</v>
      </c>
      <c r="B796" s="82">
        <f t="shared" si="94"/>
        <v>0</v>
      </c>
      <c r="C796" s="58">
        <f t="shared" si="98"/>
        <v>104.50616427295054</v>
      </c>
      <c r="D796" s="83">
        <f t="shared" si="95"/>
        <v>445.77777777777789</v>
      </c>
      <c r="E796">
        <f t="shared" si="91"/>
        <v>0</v>
      </c>
      <c r="G796">
        <v>746</v>
      </c>
      <c r="H796" s="13">
        <f t="shared" si="96"/>
        <v>1.8572577375266519E-2</v>
      </c>
      <c r="I796">
        <f t="shared" si="97"/>
        <v>118.36130699489937</v>
      </c>
      <c r="J796">
        <f t="shared" si="92"/>
        <v>466.65964678729392</v>
      </c>
      <c r="K796" s="27">
        <f t="shared" si="93"/>
        <v>4044.7597683320946</v>
      </c>
    </row>
    <row r="797" spans="1:11" x14ac:dyDescent="0.25">
      <c r="A797" s="26">
        <v>747</v>
      </c>
      <c r="B797" s="82">
        <f t="shared" si="94"/>
        <v>0</v>
      </c>
      <c r="C797" s="58">
        <f t="shared" si="98"/>
        <v>104.50616427295054</v>
      </c>
      <c r="D797" s="83">
        <f t="shared" si="95"/>
        <v>445.77777777777789</v>
      </c>
      <c r="E797">
        <f t="shared" si="91"/>
        <v>0</v>
      </c>
      <c r="G797">
        <v>747</v>
      </c>
      <c r="H797" s="13">
        <f t="shared" si="96"/>
        <v>1.8572577375266519E-2</v>
      </c>
      <c r="I797">
        <f t="shared" si="97"/>
        <v>118.37987957227463</v>
      </c>
      <c r="J797">
        <f t="shared" si="92"/>
        <v>466.68120211490623</v>
      </c>
      <c r="K797" s="27">
        <f t="shared" si="93"/>
        <v>4045.1333216330736</v>
      </c>
    </row>
    <row r="798" spans="1:11" x14ac:dyDescent="0.25">
      <c r="A798" s="26">
        <v>748</v>
      </c>
      <c r="B798" s="82">
        <f t="shared" si="94"/>
        <v>0</v>
      </c>
      <c r="C798" s="58">
        <f t="shared" si="98"/>
        <v>104.50616427295054</v>
      </c>
      <c r="D798" s="83">
        <f t="shared" si="95"/>
        <v>445.77777777777789</v>
      </c>
      <c r="E798">
        <f t="shared" si="91"/>
        <v>0</v>
      </c>
      <c r="G798">
        <v>748</v>
      </c>
      <c r="H798" s="13">
        <f t="shared" si="96"/>
        <v>1.8572577375266519E-2</v>
      </c>
      <c r="I798">
        <f t="shared" si="97"/>
        <v>118.3984521496499</v>
      </c>
      <c r="J798">
        <f t="shared" si="92"/>
        <v>466.70274508314787</v>
      </c>
      <c r="K798" s="27">
        <f t="shared" si="93"/>
        <v>4045.5066780248089</v>
      </c>
    </row>
    <row r="799" spans="1:11" x14ac:dyDescent="0.25">
      <c r="A799" s="26">
        <v>749</v>
      </c>
      <c r="B799" s="82">
        <f t="shared" si="94"/>
        <v>0</v>
      </c>
      <c r="C799" s="58">
        <f t="shared" si="98"/>
        <v>104.50616427295054</v>
      </c>
      <c r="D799" s="83">
        <f t="shared" si="95"/>
        <v>445.77777777777789</v>
      </c>
      <c r="E799">
        <f t="shared" si="91"/>
        <v>0</v>
      </c>
      <c r="G799">
        <v>749</v>
      </c>
      <c r="H799" s="13">
        <f t="shared" si="96"/>
        <v>1.8572577375266519E-2</v>
      </c>
      <c r="I799">
        <f t="shared" si="97"/>
        <v>118.41702472702517</v>
      </c>
      <c r="J799">
        <f t="shared" si="92"/>
        <v>466.72427570420945</v>
      </c>
      <c r="K799" s="27">
        <f t="shared" si="93"/>
        <v>4045.8798376888012</v>
      </c>
    </row>
    <row r="800" spans="1:11" x14ac:dyDescent="0.25">
      <c r="A800" s="26">
        <v>750</v>
      </c>
      <c r="B800" s="82">
        <f t="shared" si="94"/>
        <v>0</v>
      </c>
      <c r="C800" s="58">
        <f t="shared" si="98"/>
        <v>104.50616427295054</v>
      </c>
      <c r="D800" s="83">
        <f t="shared" si="95"/>
        <v>445.77777777777789</v>
      </c>
      <c r="E800">
        <f t="shared" si="91"/>
        <v>0</v>
      </c>
      <c r="G800">
        <v>750</v>
      </c>
      <c r="H800" s="13">
        <f t="shared" si="96"/>
        <v>1.8572577375266519E-2</v>
      </c>
      <c r="I800">
        <f t="shared" si="97"/>
        <v>118.43559730440043</v>
      </c>
      <c r="J800">
        <f t="shared" si="92"/>
        <v>466.74579399025839</v>
      </c>
      <c r="K800" s="27">
        <f t="shared" si="93"/>
        <v>4046.252800806205</v>
      </c>
    </row>
    <row r="801" spans="1:11" x14ac:dyDescent="0.25">
      <c r="A801" s="26">
        <v>751</v>
      </c>
      <c r="B801" s="82">
        <f t="shared" si="94"/>
        <v>0</v>
      </c>
      <c r="C801" s="58">
        <f t="shared" si="98"/>
        <v>104.50616427295054</v>
      </c>
      <c r="D801" s="83">
        <f t="shared" si="95"/>
        <v>445.77777777777789</v>
      </c>
      <c r="E801">
        <f t="shared" si="91"/>
        <v>0</v>
      </c>
      <c r="G801">
        <v>751</v>
      </c>
      <c r="H801" s="13">
        <f t="shared" si="96"/>
        <v>1.8572577375266519E-2</v>
      </c>
      <c r="I801">
        <f t="shared" si="97"/>
        <v>118.4541698817757</v>
      </c>
      <c r="J801">
        <f t="shared" si="92"/>
        <v>466.76729995343919</v>
      </c>
      <c r="K801" s="27">
        <f t="shared" si="93"/>
        <v>4046.6255675578382</v>
      </c>
    </row>
    <row r="802" spans="1:11" x14ac:dyDescent="0.25">
      <c r="A802" s="26">
        <v>752</v>
      </c>
      <c r="B802" s="82">
        <f t="shared" si="94"/>
        <v>0</v>
      </c>
      <c r="C802" s="58">
        <f t="shared" si="98"/>
        <v>104.50616427295054</v>
      </c>
      <c r="D802" s="83">
        <f t="shared" si="95"/>
        <v>445.77777777777789</v>
      </c>
      <c r="E802">
        <f t="shared" si="91"/>
        <v>0</v>
      </c>
      <c r="G802">
        <v>752</v>
      </c>
      <c r="H802" s="13">
        <f t="shared" si="96"/>
        <v>1.8572577375266519E-2</v>
      </c>
      <c r="I802">
        <f t="shared" si="97"/>
        <v>118.47274245915096</v>
      </c>
      <c r="J802">
        <f t="shared" si="92"/>
        <v>466.78879360587359</v>
      </c>
      <c r="K802" s="27">
        <f t="shared" si="93"/>
        <v>4046.9981381241741</v>
      </c>
    </row>
    <row r="803" spans="1:11" x14ac:dyDescent="0.25">
      <c r="A803" s="26">
        <v>753</v>
      </c>
      <c r="B803" s="82">
        <f t="shared" si="94"/>
        <v>0</v>
      </c>
      <c r="C803" s="58">
        <f t="shared" si="98"/>
        <v>104.50616427295054</v>
      </c>
      <c r="D803" s="83">
        <f t="shared" si="95"/>
        <v>445.77777777777789</v>
      </c>
      <c r="E803">
        <f t="shared" si="91"/>
        <v>0</v>
      </c>
      <c r="G803">
        <v>753</v>
      </c>
      <c r="H803" s="13">
        <f t="shared" si="96"/>
        <v>1.8572577375266519E-2</v>
      </c>
      <c r="I803">
        <f t="shared" si="97"/>
        <v>118.49131503652623</v>
      </c>
      <c r="J803">
        <f t="shared" si="92"/>
        <v>466.81027495966043</v>
      </c>
      <c r="K803" s="27">
        <f t="shared" si="93"/>
        <v>4047.3705126853474</v>
      </c>
    </row>
    <row r="804" spans="1:11" x14ac:dyDescent="0.25">
      <c r="A804" s="26">
        <v>754</v>
      </c>
      <c r="B804" s="82">
        <f t="shared" si="94"/>
        <v>0</v>
      </c>
      <c r="C804" s="58">
        <f t="shared" si="98"/>
        <v>104.50616427295054</v>
      </c>
      <c r="D804" s="83">
        <f t="shared" si="95"/>
        <v>445.77777777777789</v>
      </c>
      <c r="E804">
        <f t="shared" si="91"/>
        <v>0</v>
      </c>
      <c r="G804">
        <v>754</v>
      </c>
      <c r="H804" s="13">
        <f t="shared" si="96"/>
        <v>1.8572577375266519E-2</v>
      </c>
      <c r="I804">
        <f t="shared" si="97"/>
        <v>118.5098876139015</v>
      </c>
      <c r="J804">
        <f t="shared" si="92"/>
        <v>466.83174402687575</v>
      </c>
      <c r="K804" s="27">
        <f t="shared" si="93"/>
        <v>4047.7426914211542</v>
      </c>
    </row>
    <row r="805" spans="1:11" x14ac:dyDescent="0.25">
      <c r="A805" s="26">
        <v>755</v>
      </c>
      <c r="B805" s="82">
        <f t="shared" si="94"/>
        <v>0</v>
      </c>
      <c r="C805" s="58">
        <f t="shared" si="98"/>
        <v>104.50616427295054</v>
      </c>
      <c r="D805" s="83">
        <f t="shared" si="95"/>
        <v>445.77777777777789</v>
      </c>
      <c r="E805">
        <f t="shared" si="91"/>
        <v>0</v>
      </c>
      <c r="G805">
        <v>755</v>
      </c>
      <c r="H805" s="13">
        <f t="shared" si="96"/>
        <v>1.8572577375266519E-2</v>
      </c>
      <c r="I805">
        <f t="shared" si="97"/>
        <v>118.52846019127676</v>
      </c>
      <c r="J805">
        <f t="shared" si="92"/>
        <v>466.85320081957292</v>
      </c>
      <c r="K805" s="27">
        <f t="shared" si="93"/>
        <v>4048.1146745110545</v>
      </c>
    </row>
    <row r="806" spans="1:11" x14ac:dyDescent="0.25">
      <c r="A806" s="26">
        <v>756</v>
      </c>
      <c r="B806" s="82">
        <f t="shared" si="94"/>
        <v>0</v>
      </c>
      <c r="C806" s="58">
        <f t="shared" si="98"/>
        <v>104.50616427295054</v>
      </c>
      <c r="D806" s="83">
        <f t="shared" si="95"/>
        <v>445.77777777777789</v>
      </c>
      <c r="E806">
        <f t="shared" si="91"/>
        <v>0</v>
      </c>
      <c r="G806">
        <v>756</v>
      </c>
      <c r="H806" s="13">
        <f t="shared" si="96"/>
        <v>1.8572577375266519E-2</v>
      </c>
      <c r="I806">
        <f t="shared" si="97"/>
        <v>118.54703276865203</v>
      </c>
      <c r="J806">
        <f t="shared" si="92"/>
        <v>466.87464534978278</v>
      </c>
      <c r="K806" s="27">
        <f t="shared" si="93"/>
        <v>4048.4864621341699</v>
      </c>
    </row>
    <row r="807" spans="1:11" x14ac:dyDescent="0.25">
      <c r="A807" s="26">
        <v>757</v>
      </c>
      <c r="B807" s="82">
        <f t="shared" si="94"/>
        <v>0</v>
      </c>
      <c r="C807" s="58">
        <f t="shared" si="98"/>
        <v>104.50616427295054</v>
      </c>
      <c r="D807" s="83">
        <f t="shared" si="95"/>
        <v>445.77777777777789</v>
      </c>
      <c r="E807">
        <f t="shared" si="91"/>
        <v>0</v>
      </c>
      <c r="G807">
        <v>757</v>
      </c>
      <c r="H807" s="13">
        <f t="shared" si="96"/>
        <v>1.8572577375266519E-2</v>
      </c>
      <c r="I807">
        <f t="shared" si="97"/>
        <v>118.5656053460273</v>
      </c>
      <c r="J807">
        <f t="shared" si="92"/>
        <v>466.89607762951346</v>
      </c>
      <c r="K807" s="27">
        <f t="shared" si="93"/>
        <v>4048.8580544692845</v>
      </c>
    </row>
    <row r="808" spans="1:11" x14ac:dyDescent="0.25">
      <c r="A808" s="26">
        <v>758</v>
      </c>
      <c r="B808" s="82">
        <f t="shared" si="94"/>
        <v>0</v>
      </c>
      <c r="C808" s="58">
        <f t="shared" si="98"/>
        <v>104.50616427295054</v>
      </c>
      <c r="D808" s="83">
        <f t="shared" si="95"/>
        <v>445.77777777777789</v>
      </c>
      <c r="E808">
        <f t="shared" si="91"/>
        <v>0</v>
      </c>
      <c r="G808">
        <v>758</v>
      </c>
      <c r="H808" s="13">
        <f t="shared" si="96"/>
        <v>1.8572577375266519E-2</v>
      </c>
      <c r="I808">
        <f t="shared" si="97"/>
        <v>118.58417792340256</v>
      </c>
      <c r="J808">
        <f t="shared" si="92"/>
        <v>466.91749767075061</v>
      </c>
      <c r="K808" s="27">
        <f t="shared" si="93"/>
        <v>4049.2294516948509</v>
      </c>
    </row>
    <row r="809" spans="1:11" x14ac:dyDescent="0.25">
      <c r="A809" s="26">
        <v>759</v>
      </c>
      <c r="B809" s="82">
        <f t="shared" si="94"/>
        <v>0</v>
      </c>
      <c r="C809" s="58">
        <f t="shared" si="98"/>
        <v>104.50616427295054</v>
      </c>
      <c r="D809" s="83">
        <f t="shared" si="95"/>
        <v>445.77777777777789</v>
      </c>
      <c r="E809">
        <f t="shared" si="91"/>
        <v>0</v>
      </c>
      <c r="G809">
        <v>759</v>
      </c>
      <c r="H809" s="13">
        <f t="shared" si="96"/>
        <v>1.8572577375266519E-2</v>
      </c>
      <c r="I809">
        <f t="shared" si="97"/>
        <v>118.60275050077783</v>
      </c>
      <c r="J809">
        <f t="shared" si="92"/>
        <v>466.93890548545744</v>
      </c>
      <c r="K809" s="27">
        <f t="shared" si="93"/>
        <v>4049.6006539889827</v>
      </c>
    </row>
    <row r="810" spans="1:11" x14ac:dyDescent="0.25">
      <c r="A810" s="26">
        <v>760</v>
      </c>
      <c r="B810" s="82">
        <f t="shared" si="94"/>
        <v>0</v>
      </c>
      <c r="C810" s="58">
        <f t="shared" si="98"/>
        <v>104.50616427295054</v>
      </c>
      <c r="D810" s="83">
        <f t="shared" si="95"/>
        <v>445.77777777777789</v>
      </c>
      <c r="E810">
        <f t="shared" si="91"/>
        <v>0</v>
      </c>
      <c r="G810">
        <v>760</v>
      </c>
      <c r="H810" s="13">
        <f t="shared" si="96"/>
        <v>1.8572577375266519E-2</v>
      </c>
      <c r="I810">
        <f t="shared" si="97"/>
        <v>118.6213230781531</v>
      </c>
      <c r="J810">
        <f t="shared" si="92"/>
        <v>466.96030108557466</v>
      </c>
      <c r="K810" s="27">
        <f t="shared" si="93"/>
        <v>4049.9716615294651</v>
      </c>
    </row>
    <row r="811" spans="1:11" x14ac:dyDescent="0.25">
      <c r="A811" s="26">
        <v>761</v>
      </c>
      <c r="B811" s="82">
        <f t="shared" si="94"/>
        <v>0</v>
      </c>
      <c r="C811" s="58">
        <f t="shared" si="98"/>
        <v>104.50616427295054</v>
      </c>
      <c r="D811" s="83">
        <f t="shared" si="95"/>
        <v>445.77777777777789</v>
      </c>
      <c r="E811">
        <f t="shared" si="91"/>
        <v>0</v>
      </c>
      <c r="G811">
        <v>761</v>
      </c>
      <c r="H811" s="13">
        <f t="shared" si="96"/>
        <v>1.8572577375266519E-2</v>
      </c>
      <c r="I811">
        <f t="shared" si="97"/>
        <v>118.63989565552836</v>
      </c>
      <c r="J811">
        <f t="shared" si="92"/>
        <v>466.98168448302084</v>
      </c>
      <c r="K811" s="27">
        <f t="shared" si="93"/>
        <v>4050.3424744937461</v>
      </c>
    </row>
    <row r="812" spans="1:11" x14ac:dyDescent="0.25">
      <c r="A812" s="26">
        <v>762</v>
      </c>
      <c r="B812" s="82">
        <f t="shared" si="94"/>
        <v>0</v>
      </c>
      <c r="C812" s="58">
        <f t="shared" si="98"/>
        <v>104.50616427295054</v>
      </c>
      <c r="D812" s="83">
        <f t="shared" si="95"/>
        <v>445.77777777777789</v>
      </c>
      <c r="E812">
        <f t="shared" si="91"/>
        <v>0</v>
      </c>
      <c r="G812">
        <v>762</v>
      </c>
      <c r="H812" s="13">
        <f t="shared" si="96"/>
        <v>1.8572577375266519E-2</v>
      </c>
      <c r="I812">
        <f t="shared" si="97"/>
        <v>118.65846823290363</v>
      </c>
      <c r="J812">
        <f t="shared" si="92"/>
        <v>467.00305568969202</v>
      </c>
      <c r="K812" s="27">
        <f t="shared" si="93"/>
        <v>4050.7130930589465</v>
      </c>
    </row>
    <row r="813" spans="1:11" x14ac:dyDescent="0.25">
      <c r="A813" s="26">
        <v>763</v>
      </c>
      <c r="B813" s="82">
        <f t="shared" si="94"/>
        <v>0</v>
      </c>
      <c r="C813" s="58">
        <f t="shared" si="98"/>
        <v>104.50616427295054</v>
      </c>
      <c r="D813" s="83">
        <f t="shared" si="95"/>
        <v>445.77777777777789</v>
      </c>
      <c r="E813">
        <f t="shared" si="91"/>
        <v>0</v>
      </c>
      <c r="G813">
        <v>763</v>
      </c>
      <c r="H813" s="13">
        <f t="shared" si="96"/>
        <v>1.8572577375266519E-2</v>
      </c>
      <c r="I813">
        <f t="shared" si="97"/>
        <v>118.6770408102789</v>
      </c>
      <c r="J813">
        <f t="shared" si="92"/>
        <v>467.02441471746226</v>
      </c>
      <c r="K813" s="27">
        <f t="shared" si="93"/>
        <v>4051.0835174018525</v>
      </c>
    </row>
    <row r="814" spans="1:11" x14ac:dyDescent="0.25">
      <c r="A814" s="26">
        <v>764</v>
      </c>
      <c r="B814" s="82">
        <f t="shared" si="94"/>
        <v>0</v>
      </c>
      <c r="C814" s="58">
        <f t="shared" si="98"/>
        <v>104.50616427295054</v>
      </c>
      <c r="D814" s="83">
        <f t="shared" si="95"/>
        <v>445.77777777777789</v>
      </c>
      <c r="E814">
        <f t="shared" si="91"/>
        <v>0</v>
      </c>
      <c r="G814">
        <v>764</v>
      </c>
      <c r="H814" s="13">
        <f t="shared" si="96"/>
        <v>1.8572577375266519E-2</v>
      </c>
      <c r="I814">
        <f t="shared" si="97"/>
        <v>118.69561338765416</v>
      </c>
      <c r="J814">
        <f t="shared" si="92"/>
        <v>467.0457615781832</v>
      </c>
      <c r="K814" s="27">
        <f t="shared" si="93"/>
        <v>4051.4537476989226</v>
      </c>
    </row>
    <row r="815" spans="1:11" x14ac:dyDescent="0.25">
      <c r="A815" s="26">
        <v>765</v>
      </c>
      <c r="B815" s="82">
        <f t="shared" si="94"/>
        <v>0</v>
      </c>
      <c r="C815" s="58">
        <f t="shared" si="98"/>
        <v>104.50616427295054</v>
      </c>
      <c r="D815" s="83">
        <f t="shared" si="95"/>
        <v>445.77777777777789</v>
      </c>
      <c r="E815">
        <f t="shared" si="91"/>
        <v>0</v>
      </c>
      <c r="G815">
        <v>765</v>
      </c>
      <c r="H815" s="13">
        <f t="shared" si="96"/>
        <v>1.8572577375266519E-2</v>
      </c>
      <c r="I815">
        <f t="shared" si="97"/>
        <v>118.71418596502943</v>
      </c>
      <c r="J815">
        <f t="shared" si="92"/>
        <v>467.06709628368458</v>
      </c>
      <c r="K815" s="27">
        <f t="shared" si="93"/>
        <v>4051.8237841262853</v>
      </c>
    </row>
    <row r="816" spans="1:11" x14ac:dyDescent="0.25">
      <c r="A816" s="26">
        <v>766</v>
      </c>
      <c r="B816" s="82">
        <f t="shared" si="94"/>
        <v>0</v>
      </c>
      <c r="C816" s="58">
        <f t="shared" si="98"/>
        <v>104.50616427295054</v>
      </c>
      <c r="D816" s="83">
        <f t="shared" si="95"/>
        <v>445.77777777777789</v>
      </c>
      <c r="E816">
        <f t="shared" si="91"/>
        <v>0</v>
      </c>
      <c r="G816">
        <v>766</v>
      </c>
      <c r="H816" s="13">
        <f t="shared" si="96"/>
        <v>1.8572577375266519E-2</v>
      </c>
      <c r="I816">
        <f t="shared" si="97"/>
        <v>118.7327585424047</v>
      </c>
      <c r="J816">
        <f t="shared" si="92"/>
        <v>467.08841884577396</v>
      </c>
      <c r="K816" s="27">
        <f t="shared" si="93"/>
        <v>4052.1936268597415</v>
      </c>
    </row>
    <row r="817" spans="1:11" x14ac:dyDescent="0.25">
      <c r="A817" s="26">
        <v>767</v>
      </c>
      <c r="B817" s="82">
        <f t="shared" si="94"/>
        <v>0</v>
      </c>
      <c r="C817" s="58">
        <f t="shared" si="98"/>
        <v>104.50616427295054</v>
      </c>
      <c r="D817" s="83">
        <f t="shared" si="95"/>
        <v>445.77777777777789</v>
      </c>
      <c r="E817">
        <f t="shared" si="91"/>
        <v>0</v>
      </c>
      <c r="G817">
        <v>767</v>
      </c>
      <c r="H817" s="13">
        <f t="shared" si="96"/>
        <v>1.8572577375266519E-2</v>
      </c>
      <c r="I817">
        <f t="shared" si="97"/>
        <v>118.75133111977996</v>
      </c>
      <c r="J817">
        <f t="shared" si="92"/>
        <v>467.10972927623698</v>
      </c>
      <c r="K817" s="27">
        <f t="shared" si="93"/>
        <v>4052.5632760747631</v>
      </c>
    </row>
    <row r="818" spans="1:11" x14ac:dyDescent="0.25">
      <c r="A818" s="26">
        <v>768</v>
      </c>
      <c r="B818" s="82">
        <f t="shared" si="94"/>
        <v>0</v>
      </c>
      <c r="C818" s="58">
        <f t="shared" si="98"/>
        <v>104.50616427295054</v>
      </c>
      <c r="D818" s="83">
        <f t="shared" si="95"/>
        <v>445.77777777777789</v>
      </c>
      <c r="E818">
        <f t="shared" si="91"/>
        <v>0</v>
      </c>
      <c r="G818">
        <v>768</v>
      </c>
      <c r="H818" s="13">
        <f t="shared" si="96"/>
        <v>1.8572577375266519E-2</v>
      </c>
      <c r="I818">
        <f t="shared" si="97"/>
        <v>118.76990369715523</v>
      </c>
      <c r="J818">
        <f t="shared" si="92"/>
        <v>467.13102758683726</v>
      </c>
      <c r="K818" s="27">
        <f t="shared" si="93"/>
        <v>4052.9327319464974</v>
      </c>
    </row>
    <row r="819" spans="1:11" x14ac:dyDescent="0.25">
      <c r="A819" s="26">
        <v>769</v>
      </c>
      <c r="B819" s="82">
        <f t="shared" si="94"/>
        <v>0</v>
      </c>
      <c r="C819" s="58">
        <f t="shared" si="98"/>
        <v>104.50616427295054</v>
      </c>
      <c r="D819" s="83">
        <f t="shared" si="95"/>
        <v>445.77777777777789</v>
      </c>
      <c r="E819">
        <f t="shared" ref="E819:E882" si="99">((D819^2)+(D819*D820)+(D820^2))*B820/3</f>
        <v>0</v>
      </c>
      <c r="G819">
        <v>769</v>
      </c>
      <c r="H819" s="13">
        <f t="shared" si="96"/>
        <v>1.8572577375266519E-2</v>
      </c>
      <c r="I819">
        <f t="shared" si="97"/>
        <v>118.7884762745305</v>
      </c>
      <c r="J819">
        <f t="shared" ref="J819:J882" si="100">IF($G$28&lt;$C$14,0,((($C$11^2)-((I819-$C$13)^2))^0.5)+$C$16)</f>
        <v>467.15231378931662</v>
      </c>
      <c r="K819" s="27">
        <f t="shared" ref="K819:K882" si="101">((J819^2)+(J819*J820)+(J820^2))*H820/3</f>
        <v>4053.3019946497648</v>
      </c>
    </row>
    <row r="820" spans="1:11" x14ac:dyDescent="0.25">
      <c r="A820" s="26">
        <v>770</v>
      </c>
      <c r="B820" s="82">
        <f t="shared" ref="B820:B883" si="102">C820-C819</f>
        <v>0</v>
      </c>
      <c r="C820" s="58">
        <f t="shared" si="98"/>
        <v>104.50616427295054</v>
      </c>
      <c r="D820" s="83">
        <f t="shared" ref="D820:D883" si="103">IF($G$28&lt;$C$14,0,((($C$11^2)-((C820-$C$13)^2))^0.5)+$C$16)</f>
        <v>445.77777777777789</v>
      </c>
      <c r="E820">
        <f t="shared" si="99"/>
        <v>0</v>
      </c>
      <c r="G820">
        <v>770</v>
      </c>
      <c r="H820" s="13">
        <f t="shared" ref="H820:H883" si="104">I820-I819</f>
        <v>1.8572577375266519E-2</v>
      </c>
      <c r="I820">
        <f t="shared" ref="I820:I883" si="105">($G$27-$C$14)/2000+I819</f>
        <v>118.80704885190576</v>
      </c>
      <c r="J820">
        <f t="shared" si="100"/>
        <v>467.17358789539492</v>
      </c>
      <c r="K820" s="27">
        <f t="shared" si="101"/>
        <v>4053.6710643590618</v>
      </c>
    </row>
    <row r="821" spans="1:11" x14ac:dyDescent="0.25">
      <c r="A821" s="26">
        <v>771</v>
      </c>
      <c r="B821" s="82">
        <f t="shared" si="102"/>
        <v>0</v>
      </c>
      <c r="C821" s="58">
        <f t="shared" si="98"/>
        <v>104.50616427295054</v>
      </c>
      <c r="D821" s="83">
        <f t="shared" si="103"/>
        <v>445.77777777777789</v>
      </c>
      <c r="E821">
        <f t="shared" si="99"/>
        <v>0</v>
      </c>
      <c r="G821">
        <v>771</v>
      </c>
      <c r="H821" s="13">
        <f t="shared" si="104"/>
        <v>1.8572577375266519E-2</v>
      </c>
      <c r="I821">
        <f t="shared" si="105"/>
        <v>118.82562142928103</v>
      </c>
      <c r="J821">
        <f t="shared" si="100"/>
        <v>467.19484991677052</v>
      </c>
      <c r="K821" s="27">
        <f t="shared" si="101"/>
        <v>4054.0399412485617</v>
      </c>
    </row>
    <row r="822" spans="1:11" x14ac:dyDescent="0.25">
      <c r="A822" s="26">
        <v>772</v>
      </c>
      <c r="B822" s="82">
        <f t="shared" si="102"/>
        <v>0</v>
      </c>
      <c r="C822" s="58">
        <f t="shared" si="98"/>
        <v>104.50616427295054</v>
      </c>
      <c r="D822" s="83">
        <f t="shared" si="103"/>
        <v>445.77777777777789</v>
      </c>
      <c r="E822">
        <f t="shared" si="99"/>
        <v>0</v>
      </c>
      <c r="G822">
        <v>772</v>
      </c>
      <c r="H822" s="13">
        <f t="shared" si="104"/>
        <v>1.8572577375266519E-2</v>
      </c>
      <c r="I822">
        <f t="shared" si="105"/>
        <v>118.84419400665629</v>
      </c>
      <c r="J822">
        <f t="shared" si="100"/>
        <v>467.21609986511976</v>
      </c>
      <c r="K822" s="27">
        <f t="shared" si="101"/>
        <v>4054.4086254921112</v>
      </c>
    </row>
    <row r="823" spans="1:11" x14ac:dyDescent="0.25">
      <c r="A823" s="26">
        <v>773</v>
      </c>
      <c r="B823" s="82">
        <f t="shared" si="102"/>
        <v>0</v>
      </c>
      <c r="C823" s="58">
        <f t="shared" si="98"/>
        <v>104.50616427295054</v>
      </c>
      <c r="D823" s="83">
        <f t="shared" si="103"/>
        <v>445.77777777777789</v>
      </c>
      <c r="E823">
        <f t="shared" si="99"/>
        <v>0</v>
      </c>
      <c r="G823">
        <v>773</v>
      </c>
      <c r="H823" s="13">
        <f t="shared" si="104"/>
        <v>1.8572577375266519E-2</v>
      </c>
      <c r="I823">
        <f t="shared" si="105"/>
        <v>118.86276658403156</v>
      </c>
      <c r="J823">
        <f t="shared" si="100"/>
        <v>467.23733775209757</v>
      </c>
      <c r="K823" s="27">
        <f t="shared" si="101"/>
        <v>4054.7771172632388</v>
      </c>
    </row>
    <row r="824" spans="1:11" x14ac:dyDescent="0.25">
      <c r="A824" s="26">
        <v>774</v>
      </c>
      <c r="B824" s="82">
        <f t="shared" si="102"/>
        <v>0</v>
      </c>
      <c r="C824" s="58">
        <f t="shared" si="98"/>
        <v>104.50616427295054</v>
      </c>
      <c r="D824" s="83">
        <f t="shared" si="103"/>
        <v>445.77777777777789</v>
      </c>
      <c r="E824">
        <f t="shared" si="99"/>
        <v>0</v>
      </c>
      <c r="G824">
        <v>774</v>
      </c>
      <c r="H824" s="13">
        <f t="shared" si="104"/>
        <v>1.8572577375266519E-2</v>
      </c>
      <c r="I824">
        <f t="shared" si="105"/>
        <v>118.88133916140683</v>
      </c>
      <c r="J824">
        <f t="shared" si="100"/>
        <v>467.25856358933709</v>
      </c>
      <c r="K824" s="27">
        <f t="shared" si="101"/>
        <v>4055.1454167351499</v>
      </c>
    </row>
    <row r="825" spans="1:11" x14ac:dyDescent="0.25">
      <c r="A825" s="26">
        <v>775</v>
      </c>
      <c r="B825" s="82">
        <f t="shared" si="102"/>
        <v>0</v>
      </c>
      <c r="C825" s="58">
        <f t="shared" si="98"/>
        <v>104.50616427295054</v>
      </c>
      <c r="D825" s="83">
        <f t="shared" si="103"/>
        <v>445.77777777777789</v>
      </c>
      <c r="E825">
        <f t="shared" si="99"/>
        <v>0</v>
      </c>
      <c r="G825">
        <v>775</v>
      </c>
      <c r="H825" s="13">
        <f t="shared" si="104"/>
        <v>1.8572577375266519E-2</v>
      </c>
      <c r="I825">
        <f t="shared" si="105"/>
        <v>118.89991173878209</v>
      </c>
      <c r="J825">
        <f t="shared" si="100"/>
        <v>467.27977738845004</v>
      </c>
      <c r="K825" s="27">
        <f t="shared" si="101"/>
        <v>4055.5135240807267</v>
      </c>
    </row>
    <row r="826" spans="1:11" x14ac:dyDescent="0.25">
      <c r="A826" s="26">
        <v>776</v>
      </c>
      <c r="B826" s="82">
        <f t="shared" si="102"/>
        <v>0</v>
      </c>
      <c r="C826" s="58">
        <f t="shared" si="98"/>
        <v>104.50616427295054</v>
      </c>
      <c r="D826" s="83">
        <f t="shared" si="103"/>
        <v>445.77777777777789</v>
      </c>
      <c r="E826">
        <f t="shared" si="99"/>
        <v>0</v>
      </c>
      <c r="G826">
        <v>776</v>
      </c>
      <c r="H826" s="13">
        <f t="shared" si="104"/>
        <v>1.8572577375266519E-2</v>
      </c>
      <c r="I826">
        <f t="shared" si="105"/>
        <v>118.91848431615736</v>
      </c>
      <c r="J826">
        <f t="shared" si="100"/>
        <v>467.30097916102659</v>
      </c>
      <c r="K826" s="27">
        <f t="shared" si="101"/>
        <v>4055.8814394725359</v>
      </c>
    </row>
    <row r="827" spans="1:11" x14ac:dyDescent="0.25">
      <c r="A827" s="26">
        <v>777</v>
      </c>
      <c r="B827" s="82">
        <f t="shared" si="102"/>
        <v>0</v>
      </c>
      <c r="C827" s="58">
        <f t="shared" si="98"/>
        <v>104.50616427295054</v>
      </c>
      <c r="D827" s="83">
        <f t="shared" si="103"/>
        <v>445.77777777777789</v>
      </c>
      <c r="E827">
        <f t="shared" si="99"/>
        <v>0</v>
      </c>
      <c r="G827">
        <v>777</v>
      </c>
      <c r="H827" s="13">
        <f t="shared" si="104"/>
        <v>1.8572577375266519E-2</v>
      </c>
      <c r="I827">
        <f t="shared" si="105"/>
        <v>118.93705689353263</v>
      </c>
      <c r="J827">
        <f t="shared" si="100"/>
        <v>467.3221689186355</v>
      </c>
      <c r="K827" s="27">
        <f t="shared" si="101"/>
        <v>4056.2491630828222</v>
      </c>
    </row>
    <row r="828" spans="1:11" x14ac:dyDescent="0.25">
      <c r="A828" s="26">
        <v>778</v>
      </c>
      <c r="B828" s="82">
        <f t="shared" si="102"/>
        <v>0</v>
      </c>
      <c r="C828" s="58">
        <f t="shared" si="98"/>
        <v>104.50616427295054</v>
      </c>
      <c r="D828" s="83">
        <f t="shared" si="103"/>
        <v>445.77777777777789</v>
      </c>
      <c r="E828">
        <f t="shared" si="99"/>
        <v>0</v>
      </c>
      <c r="G828">
        <v>778</v>
      </c>
      <c r="H828" s="13">
        <f t="shared" si="104"/>
        <v>1.8572577375266519E-2</v>
      </c>
      <c r="I828">
        <f t="shared" si="105"/>
        <v>118.95562947090789</v>
      </c>
      <c r="J828">
        <f t="shared" si="100"/>
        <v>467.34334667282423</v>
      </c>
      <c r="K828" s="27">
        <f t="shared" si="101"/>
        <v>4056.6166950835141</v>
      </c>
    </row>
    <row r="829" spans="1:11" x14ac:dyDescent="0.25">
      <c r="A829" s="26">
        <v>779</v>
      </c>
      <c r="B829" s="82">
        <f t="shared" si="102"/>
        <v>0</v>
      </c>
      <c r="C829" s="58">
        <f t="shared" si="98"/>
        <v>104.50616427295054</v>
      </c>
      <c r="D829" s="83">
        <f t="shared" si="103"/>
        <v>445.77777777777789</v>
      </c>
      <c r="E829">
        <f t="shared" si="99"/>
        <v>0</v>
      </c>
      <c r="G829">
        <v>779</v>
      </c>
      <c r="H829" s="13">
        <f t="shared" si="104"/>
        <v>1.8572577375266519E-2</v>
      </c>
      <c r="I829">
        <f t="shared" si="105"/>
        <v>118.97420204828316</v>
      </c>
      <c r="J829">
        <f t="shared" si="100"/>
        <v>467.36451243511874</v>
      </c>
      <c r="K829" s="27">
        <f t="shared" si="101"/>
        <v>4056.9840356462223</v>
      </c>
    </row>
    <row r="830" spans="1:11" x14ac:dyDescent="0.25">
      <c r="A830" s="26">
        <v>780</v>
      </c>
      <c r="B830" s="82">
        <f t="shared" si="102"/>
        <v>0</v>
      </c>
      <c r="C830" s="58">
        <f t="shared" si="98"/>
        <v>104.50616427295054</v>
      </c>
      <c r="D830" s="83">
        <f t="shared" si="103"/>
        <v>445.77777777777789</v>
      </c>
      <c r="E830">
        <f t="shared" si="99"/>
        <v>0</v>
      </c>
      <c r="G830">
        <v>780</v>
      </c>
      <c r="H830" s="13">
        <f t="shared" si="104"/>
        <v>1.8572577375266519E-2</v>
      </c>
      <c r="I830">
        <f t="shared" si="105"/>
        <v>118.99277462565843</v>
      </c>
      <c r="J830">
        <f t="shared" si="100"/>
        <v>467.38566621702392</v>
      </c>
      <c r="K830" s="27">
        <f t="shared" si="101"/>
        <v>4057.3511849422393</v>
      </c>
    </row>
    <row r="831" spans="1:11" x14ac:dyDescent="0.25">
      <c r="A831" s="26">
        <v>781</v>
      </c>
      <c r="B831" s="82">
        <f t="shared" si="102"/>
        <v>0</v>
      </c>
      <c r="C831" s="58">
        <f t="shared" si="98"/>
        <v>104.50616427295054</v>
      </c>
      <c r="D831" s="83">
        <f t="shared" si="103"/>
        <v>445.77777777777789</v>
      </c>
      <c r="E831">
        <f t="shared" si="99"/>
        <v>0</v>
      </c>
      <c r="G831">
        <v>781</v>
      </c>
      <c r="H831" s="13">
        <f t="shared" si="104"/>
        <v>1.8572577375266519E-2</v>
      </c>
      <c r="I831">
        <f t="shared" si="105"/>
        <v>119.01134720303369</v>
      </c>
      <c r="J831">
        <f t="shared" si="100"/>
        <v>467.40680803002329</v>
      </c>
      <c r="K831" s="27">
        <f t="shared" si="101"/>
        <v>4057.7181431425438</v>
      </c>
    </row>
    <row r="832" spans="1:11" x14ac:dyDescent="0.25">
      <c r="A832" s="26">
        <v>782</v>
      </c>
      <c r="B832" s="82">
        <f t="shared" si="102"/>
        <v>0</v>
      </c>
      <c r="C832" s="58">
        <f t="shared" si="98"/>
        <v>104.50616427295054</v>
      </c>
      <c r="D832" s="83">
        <f t="shared" si="103"/>
        <v>445.77777777777789</v>
      </c>
      <c r="E832">
        <f t="shared" si="99"/>
        <v>0</v>
      </c>
      <c r="G832">
        <v>782</v>
      </c>
      <c r="H832" s="13">
        <f t="shared" si="104"/>
        <v>1.8572577375266519E-2</v>
      </c>
      <c r="I832">
        <f t="shared" si="105"/>
        <v>119.02991978040896</v>
      </c>
      <c r="J832">
        <f t="shared" si="100"/>
        <v>467.4279378855793</v>
      </c>
      <c r="K832" s="27">
        <f t="shared" si="101"/>
        <v>4058.0849104177996</v>
      </c>
    </row>
    <row r="833" spans="1:11" x14ac:dyDescent="0.25">
      <c r="A833" s="26">
        <v>783</v>
      </c>
      <c r="B833" s="82">
        <f t="shared" si="102"/>
        <v>0</v>
      </c>
      <c r="C833" s="58">
        <f t="shared" si="98"/>
        <v>104.50616427295054</v>
      </c>
      <c r="D833" s="83">
        <f t="shared" si="103"/>
        <v>445.77777777777789</v>
      </c>
      <c r="E833">
        <f t="shared" si="99"/>
        <v>0</v>
      </c>
      <c r="G833">
        <v>783</v>
      </c>
      <c r="H833" s="13">
        <f t="shared" si="104"/>
        <v>1.8572577375266519E-2</v>
      </c>
      <c r="I833">
        <f t="shared" si="105"/>
        <v>119.04849235778423</v>
      </c>
      <c r="J833">
        <f t="shared" si="100"/>
        <v>467.44905579513329</v>
      </c>
      <c r="K833" s="27">
        <f t="shared" si="101"/>
        <v>4058.4514869383547</v>
      </c>
    </row>
    <row r="834" spans="1:11" x14ac:dyDescent="0.25">
      <c r="A834" s="26">
        <v>784</v>
      </c>
      <c r="B834" s="82">
        <f t="shared" si="102"/>
        <v>0</v>
      </c>
      <c r="C834" s="58">
        <f t="shared" si="98"/>
        <v>104.50616427295054</v>
      </c>
      <c r="D834" s="83">
        <f t="shared" si="103"/>
        <v>445.77777777777789</v>
      </c>
      <c r="E834">
        <f t="shared" si="99"/>
        <v>0</v>
      </c>
      <c r="G834">
        <v>784</v>
      </c>
      <c r="H834" s="13">
        <f t="shared" si="104"/>
        <v>1.8572577375266519E-2</v>
      </c>
      <c r="I834">
        <f t="shared" si="105"/>
        <v>119.06706493515949</v>
      </c>
      <c r="J834">
        <f t="shared" si="100"/>
        <v>467.47016177010556</v>
      </c>
      <c r="K834" s="27">
        <f t="shared" si="101"/>
        <v>4058.8178728742455</v>
      </c>
    </row>
    <row r="835" spans="1:11" x14ac:dyDescent="0.25">
      <c r="A835" s="26">
        <v>785</v>
      </c>
      <c r="B835" s="82">
        <f t="shared" si="102"/>
        <v>0</v>
      </c>
      <c r="C835" s="58">
        <f t="shared" si="98"/>
        <v>104.50616427295054</v>
      </c>
      <c r="D835" s="83">
        <f t="shared" si="103"/>
        <v>445.77777777777789</v>
      </c>
      <c r="E835">
        <f t="shared" si="99"/>
        <v>0</v>
      </c>
      <c r="G835">
        <v>785</v>
      </c>
      <c r="H835" s="13">
        <f t="shared" si="104"/>
        <v>1.8572577375266519E-2</v>
      </c>
      <c r="I835">
        <f t="shared" si="105"/>
        <v>119.08563751253476</v>
      </c>
      <c r="J835">
        <f t="shared" si="100"/>
        <v>467.49125582189532</v>
      </c>
      <c r="K835" s="27">
        <f t="shared" si="101"/>
        <v>4059.1840683951955</v>
      </c>
    </row>
    <row r="836" spans="1:11" x14ac:dyDescent="0.25">
      <c r="A836" s="26">
        <v>786</v>
      </c>
      <c r="B836" s="82">
        <f t="shared" si="102"/>
        <v>0</v>
      </c>
      <c r="C836" s="58">
        <f t="shared" si="98"/>
        <v>104.50616427295054</v>
      </c>
      <c r="D836" s="83">
        <f t="shared" si="103"/>
        <v>445.77777777777789</v>
      </c>
      <c r="E836">
        <f t="shared" si="99"/>
        <v>0</v>
      </c>
      <c r="G836">
        <v>786</v>
      </c>
      <c r="H836" s="13">
        <f t="shared" si="104"/>
        <v>1.8572577375266519E-2</v>
      </c>
      <c r="I836">
        <f t="shared" si="105"/>
        <v>119.10421008991003</v>
      </c>
      <c r="J836">
        <f t="shared" si="100"/>
        <v>467.51233796188103</v>
      </c>
      <c r="K836" s="27">
        <f t="shared" si="101"/>
        <v>4059.5500736706149</v>
      </c>
    </row>
    <row r="837" spans="1:11" x14ac:dyDescent="0.25">
      <c r="A837" s="26">
        <v>787</v>
      </c>
      <c r="B837" s="82">
        <f t="shared" si="102"/>
        <v>0</v>
      </c>
      <c r="C837" s="58">
        <f t="shared" si="98"/>
        <v>104.50616427295054</v>
      </c>
      <c r="D837" s="83">
        <f t="shared" si="103"/>
        <v>445.77777777777789</v>
      </c>
      <c r="E837">
        <f t="shared" si="99"/>
        <v>0</v>
      </c>
      <c r="G837">
        <v>787</v>
      </c>
      <c r="H837" s="13">
        <f t="shared" si="104"/>
        <v>1.8572577375266519E-2</v>
      </c>
      <c r="I837">
        <f t="shared" si="105"/>
        <v>119.12278266728529</v>
      </c>
      <c r="J837">
        <f t="shared" si="100"/>
        <v>467.53340820142</v>
      </c>
      <c r="K837" s="27">
        <f t="shared" si="101"/>
        <v>4059.9158888696074</v>
      </c>
    </row>
    <row r="838" spans="1:11" x14ac:dyDescent="0.25">
      <c r="A838" s="26">
        <v>788</v>
      </c>
      <c r="B838" s="82">
        <f t="shared" si="102"/>
        <v>0</v>
      </c>
      <c r="C838" s="58">
        <f t="shared" si="98"/>
        <v>104.50616427295054</v>
      </c>
      <c r="D838" s="83">
        <f t="shared" si="103"/>
        <v>445.77777777777789</v>
      </c>
      <c r="E838">
        <f t="shared" si="99"/>
        <v>0</v>
      </c>
      <c r="G838">
        <v>788</v>
      </c>
      <c r="H838" s="13">
        <f t="shared" si="104"/>
        <v>1.8572577375266519E-2</v>
      </c>
      <c r="I838">
        <f t="shared" si="105"/>
        <v>119.14135524466056</v>
      </c>
      <c r="J838">
        <f t="shared" si="100"/>
        <v>467.55446655184898</v>
      </c>
      <c r="K838" s="27">
        <f t="shared" si="101"/>
        <v>4060.2815141609613</v>
      </c>
    </row>
    <row r="839" spans="1:11" x14ac:dyDescent="0.25">
      <c r="A839" s="26">
        <v>789</v>
      </c>
      <c r="B839" s="82">
        <f t="shared" si="102"/>
        <v>0</v>
      </c>
      <c r="C839" s="58">
        <f t="shared" si="98"/>
        <v>104.50616427295054</v>
      </c>
      <c r="D839" s="83">
        <f t="shared" si="103"/>
        <v>445.77777777777789</v>
      </c>
      <c r="E839">
        <f t="shared" si="99"/>
        <v>0</v>
      </c>
      <c r="G839">
        <v>789</v>
      </c>
      <c r="H839" s="13">
        <f t="shared" si="104"/>
        <v>1.8572577375266519E-2</v>
      </c>
      <c r="I839">
        <f t="shared" si="105"/>
        <v>119.15992782203583</v>
      </c>
      <c r="J839">
        <f t="shared" si="100"/>
        <v>467.57551302448377</v>
      </c>
      <c r="K839" s="27">
        <f t="shared" si="101"/>
        <v>4060.6469497131598</v>
      </c>
    </row>
    <row r="840" spans="1:11" x14ac:dyDescent="0.25">
      <c r="A840" s="26">
        <v>790</v>
      </c>
      <c r="B840" s="82">
        <f t="shared" si="102"/>
        <v>0</v>
      </c>
      <c r="C840" s="58">
        <f t="shared" si="98"/>
        <v>104.50616427295054</v>
      </c>
      <c r="D840" s="83">
        <f t="shared" si="103"/>
        <v>445.77777777777789</v>
      </c>
      <c r="E840">
        <f t="shared" si="99"/>
        <v>0</v>
      </c>
      <c r="G840">
        <v>790</v>
      </c>
      <c r="H840" s="13">
        <f t="shared" si="104"/>
        <v>1.8572577375266519E-2</v>
      </c>
      <c r="I840">
        <f t="shared" si="105"/>
        <v>119.17850039941109</v>
      </c>
      <c r="J840">
        <f t="shared" si="100"/>
        <v>467.59654763061951</v>
      </c>
      <c r="K840" s="27">
        <f t="shared" si="101"/>
        <v>4061.0121956943749</v>
      </c>
    </row>
    <row r="841" spans="1:11" x14ac:dyDescent="0.25">
      <c r="A841" s="26">
        <v>791</v>
      </c>
      <c r="B841" s="82">
        <f t="shared" si="102"/>
        <v>0</v>
      </c>
      <c r="C841" s="58">
        <f t="shared" si="98"/>
        <v>104.50616427295054</v>
      </c>
      <c r="D841" s="83">
        <f t="shared" si="103"/>
        <v>445.77777777777789</v>
      </c>
      <c r="E841">
        <f t="shared" si="99"/>
        <v>0</v>
      </c>
      <c r="G841">
        <v>791</v>
      </c>
      <c r="H841" s="13">
        <f t="shared" si="104"/>
        <v>1.8572577375266519E-2</v>
      </c>
      <c r="I841">
        <f t="shared" si="105"/>
        <v>119.19707297678636</v>
      </c>
      <c r="J841">
        <f t="shared" si="100"/>
        <v>467.61757038153064</v>
      </c>
      <c r="K841" s="27">
        <f t="shared" si="101"/>
        <v>4061.3772522724721</v>
      </c>
    </row>
    <row r="842" spans="1:11" x14ac:dyDescent="0.25">
      <c r="A842" s="26">
        <v>792</v>
      </c>
      <c r="B842" s="82">
        <f t="shared" si="102"/>
        <v>0</v>
      </c>
      <c r="C842" s="58">
        <f t="shared" si="98"/>
        <v>104.50616427295054</v>
      </c>
      <c r="D842" s="83">
        <f t="shared" si="103"/>
        <v>445.77777777777789</v>
      </c>
      <c r="E842">
        <f t="shared" si="99"/>
        <v>0</v>
      </c>
      <c r="G842">
        <v>792</v>
      </c>
      <c r="H842" s="13">
        <f t="shared" si="104"/>
        <v>1.8572577375266519E-2</v>
      </c>
      <c r="I842">
        <f t="shared" si="105"/>
        <v>119.21564555416163</v>
      </c>
      <c r="J842">
        <f t="shared" si="100"/>
        <v>467.63858128847096</v>
      </c>
      <c r="K842" s="27">
        <f t="shared" si="101"/>
        <v>4061.7421196150103</v>
      </c>
    </row>
    <row r="843" spans="1:11" x14ac:dyDescent="0.25">
      <c r="A843" s="26">
        <v>793</v>
      </c>
      <c r="B843" s="82">
        <f t="shared" si="102"/>
        <v>0</v>
      </c>
      <c r="C843" s="58">
        <f t="shared" si="98"/>
        <v>104.50616427295054</v>
      </c>
      <c r="D843" s="83">
        <f t="shared" si="103"/>
        <v>445.77777777777789</v>
      </c>
      <c r="E843">
        <f t="shared" si="99"/>
        <v>0</v>
      </c>
      <c r="G843">
        <v>793</v>
      </c>
      <c r="H843" s="13">
        <f t="shared" si="104"/>
        <v>1.8572577375266519E-2</v>
      </c>
      <c r="I843">
        <f t="shared" si="105"/>
        <v>119.23421813153689</v>
      </c>
      <c r="J843">
        <f t="shared" si="100"/>
        <v>467.65958036267375</v>
      </c>
      <c r="K843" s="27">
        <f t="shared" si="101"/>
        <v>4062.1067978892406</v>
      </c>
    </row>
    <row r="844" spans="1:11" x14ac:dyDescent="0.25">
      <c r="A844" s="26">
        <v>794</v>
      </c>
      <c r="B844" s="82">
        <f t="shared" si="102"/>
        <v>0</v>
      </c>
      <c r="C844" s="58">
        <f t="shared" si="98"/>
        <v>104.50616427295054</v>
      </c>
      <c r="D844" s="83">
        <f t="shared" si="103"/>
        <v>445.77777777777789</v>
      </c>
      <c r="E844">
        <f t="shared" si="99"/>
        <v>0</v>
      </c>
      <c r="G844">
        <v>794</v>
      </c>
      <c r="H844" s="13">
        <f t="shared" si="104"/>
        <v>1.8572577375266519E-2</v>
      </c>
      <c r="I844">
        <f t="shared" si="105"/>
        <v>119.25279070891216</v>
      </c>
      <c r="J844">
        <f t="shared" si="100"/>
        <v>467.68056761535172</v>
      </c>
      <c r="K844" s="27">
        <f t="shared" si="101"/>
        <v>4062.4712872621112</v>
      </c>
    </row>
    <row r="845" spans="1:11" x14ac:dyDescent="0.25">
      <c r="A845" s="26">
        <v>795</v>
      </c>
      <c r="B845" s="82">
        <f t="shared" si="102"/>
        <v>0</v>
      </c>
      <c r="C845" s="58">
        <f t="shared" si="98"/>
        <v>104.50616427295054</v>
      </c>
      <c r="D845" s="83">
        <f t="shared" si="103"/>
        <v>445.77777777777789</v>
      </c>
      <c r="E845">
        <f t="shared" si="99"/>
        <v>0</v>
      </c>
      <c r="G845">
        <v>795</v>
      </c>
      <c r="H845" s="13">
        <f t="shared" si="104"/>
        <v>1.8572577375266519E-2</v>
      </c>
      <c r="I845">
        <f t="shared" si="105"/>
        <v>119.27136328628742</v>
      </c>
      <c r="J845">
        <f t="shared" si="100"/>
        <v>467.70154305769722</v>
      </c>
      <c r="K845" s="27">
        <f t="shared" si="101"/>
        <v>4062.8355879002647</v>
      </c>
    </row>
    <row r="846" spans="1:11" x14ac:dyDescent="0.25">
      <c r="A846" s="26">
        <v>796</v>
      </c>
      <c r="B846" s="82">
        <f t="shared" si="102"/>
        <v>0</v>
      </c>
      <c r="C846" s="58">
        <f t="shared" si="98"/>
        <v>104.50616427295054</v>
      </c>
      <c r="D846" s="83">
        <f t="shared" si="103"/>
        <v>445.77777777777789</v>
      </c>
      <c r="E846">
        <f t="shared" si="99"/>
        <v>0</v>
      </c>
      <c r="G846">
        <v>796</v>
      </c>
      <c r="H846" s="13">
        <f t="shared" si="104"/>
        <v>1.8572577375266519E-2</v>
      </c>
      <c r="I846">
        <f t="shared" si="105"/>
        <v>119.28993586366269</v>
      </c>
      <c r="J846">
        <f t="shared" si="100"/>
        <v>467.72250670088209</v>
      </c>
      <c r="K846" s="27">
        <f t="shared" si="101"/>
        <v>4063.1996999700391</v>
      </c>
    </row>
    <row r="847" spans="1:11" x14ac:dyDescent="0.25">
      <c r="A847" s="26">
        <v>797</v>
      </c>
      <c r="B847" s="82">
        <f t="shared" si="102"/>
        <v>0</v>
      </c>
      <c r="C847" s="58">
        <f t="shared" si="98"/>
        <v>104.50616427295054</v>
      </c>
      <c r="D847" s="83">
        <f t="shared" si="103"/>
        <v>445.77777777777789</v>
      </c>
      <c r="E847">
        <f t="shared" si="99"/>
        <v>0</v>
      </c>
      <c r="G847">
        <v>797</v>
      </c>
      <c r="H847" s="13">
        <f t="shared" si="104"/>
        <v>1.8572577375266519E-2</v>
      </c>
      <c r="I847">
        <f t="shared" si="105"/>
        <v>119.30850844103796</v>
      </c>
      <c r="J847">
        <f t="shared" si="100"/>
        <v>467.74345855605787</v>
      </c>
      <c r="K847" s="27">
        <f t="shared" si="101"/>
        <v>4063.5636236374703</v>
      </c>
    </row>
    <row r="848" spans="1:11" x14ac:dyDescent="0.25">
      <c r="A848" s="26">
        <v>798</v>
      </c>
      <c r="B848" s="82">
        <f t="shared" si="102"/>
        <v>0</v>
      </c>
      <c r="C848" s="58">
        <f t="shared" ref="C848:C911" si="106">($C$37-$C$36)/2000+C847</f>
        <v>104.50616427295054</v>
      </c>
      <c r="D848" s="83">
        <f t="shared" si="103"/>
        <v>445.77777777777789</v>
      </c>
      <c r="E848">
        <f t="shared" si="99"/>
        <v>0</v>
      </c>
      <c r="G848">
        <v>798</v>
      </c>
      <c r="H848" s="13">
        <f t="shared" si="104"/>
        <v>1.8572577375266519E-2</v>
      </c>
      <c r="I848">
        <f t="shared" si="105"/>
        <v>119.32708101841322</v>
      </c>
      <c r="J848">
        <f t="shared" si="100"/>
        <v>467.7643986343557</v>
      </c>
      <c r="K848" s="27">
        <f t="shared" si="101"/>
        <v>4063.9273590682915</v>
      </c>
    </row>
    <row r="849" spans="1:11" x14ac:dyDescent="0.25">
      <c r="A849" s="26">
        <v>799</v>
      </c>
      <c r="B849" s="82">
        <f t="shared" si="102"/>
        <v>0</v>
      </c>
      <c r="C849" s="58">
        <f t="shared" si="106"/>
        <v>104.50616427295054</v>
      </c>
      <c r="D849" s="83">
        <f t="shared" si="103"/>
        <v>445.77777777777789</v>
      </c>
      <c r="E849">
        <f t="shared" si="99"/>
        <v>0</v>
      </c>
      <c r="G849">
        <v>799</v>
      </c>
      <c r="H849" s="13">
        <f t="shared" si="104"/>
        <v>1.8572577375266519E-2</v>
      </c>
      <c r="I849">
        <f t="shared" si="105"/>
        <v>119.34565359578849</v>
      </c>
      <c r="J849">
        <f t="shared" si="100"/>
        <v>467.78532694688658</v>
      </c>
      <c r="K849" s="27">
        <f t="shared" si="101"/>
        <v>4064.2909064279352</v>
      </c>
    </row>
    <row r="850" spans="1:11" x14ac:dyDescent="0.25">
      <c r="A850" s="26">
        <v>800</v>
      </c>
      <c r="B850" s="82">
        <f t="shared" si="102"/>
        <v>0</v>
      </c>
      <c r="C850" s="58">
        <f t="shared" si="106"/>
        <v>104.50616427295054</v>
      </c>
      <c r="D850" s="83">
        <f t="shared" si="103"/>
        <v>445.77777777777789</v>
      </c>
      <c r="E850">
        <f t="shared" si="99"/>
        <v>0</v>
      </c>
      <c r="G850">
        <v>800</v>
      </c>
      <c r="H850" s="13">
        <f t="shared" si="104"/>
        <v>1.8572577375266519E-2</v>
      </c>
      <c r="I850">
        <f t="shared" si="105"/>
        <v>119.36422617316376</v>
      </c>
      <c r="J850">
        <f t="shared" si="100"/>
        <v>467.80624350474119</v>
      </c>
      <c r="K850" s="27">
        <f t="shared" si="101"/>
        <v>4064.6542658815301</v>
      </c>
    </row>
    <row r="851" spans="1:11" x14ac:dyDescent="0.25">
      <c r="A851" s="26">
        <v>801</v>
      </c>
      <c r="B851" s="82">
        <f t="shared" si="102"/>
        <v>0</v>
      </c>
      <c r="C851" s="58">
        <f t="shared" si="106"/>
        <v>104.50616427295054</v>
      </c>
      <c r="D851" s="83">
        <f t="shared" si="103"/>
        <v>445.77777777777789</v>
      </c>
      <c r="E851">
        <f t="shared" si="99"/>
        <v>0</v>
      </c>
      <c r="G851">
        <v>801</v>
      </c>
      <c r="H851" s="13">
        <f t="shared" si="104"/>
        <v>1.8572577375266519E-2</v>
      </c>
      <c r="I851">
        <f t="shared" si="105"/>
        <v>119.38279875053902</v>
      </c>
      <c r="J851">
        <f t="shared" si="100"/>
        <v>467.82714831899023</v>
      </c>
      <c r="K851" s="27">
        <f t="shared" si="101"/>
        <v>4065.0174375939109</v>
      </c>
    </row>
    <row r="852" spans="1:11" x14ac:dyDescent="0.25">
      <c r="A852" s="26">
        <v>802</v>
      </c>
      <c r="B852" s="82">
        <f t="shared" si="102"/>
        <v>0</v>
      </c>
      <c r="C852" s="58">
        <f t="shared" si="106"/>
        <v>104.50616427295054</v>
      </c>
      <c r="D852" s="83">
        <f t="shared" si="103"/>
        <v>445.77777777777789</v>
      </c>
      <c r="E852">
        <f t="shared" si="99"/>
        <v>0</v>
      </c>
      <c r="G852">
        <v>802</v>
      </c>
      <c r="H852" s="13">
        <f t="shared" si="104"/>
        <v>1.8572577375266519E-2</v>
      </c>
      <c r="I852">
        <f t="shared" si="105"/>
        <v>119.40137132791429</v>
      </c>
      <c r="J852">
        <f t="shared" si="100"/>
        <v>467.84804140068411</v>
      </c>
      <c r="K852" s="27">
        <f t="shared" si="101"/>
        <v>4065.380421729607</v>
      </c>
    </row>
    <row r="853" spans="1:11" x14ac:dyDescent="0.25">
      <c r="A853" s="26">
        <v>803</v>
      </c>
      <c r="B853" s="82">
        <f t="shared" si="102"/>
        <v>0</v>
      </c>
      <c r="C853" s="58">
        <f t="shared" si="106"/>
        <v>104.50616427295054</v>
      </c>
      <c r="D853" s="83">
        <f t="shared" si="103"/>
        <v>445.77777777777789</v>
      </c>
      <c r="E853">
        <f t="shared" si="99"/>
        <v>0</v>
      </c>
      <c r="G853">
        <v>803</v>
      </c>
      <c r="H853" s="13">
        <f t="shared" si="104"/>
        <v>1.8572577375266519E-2</v>
      </c>
      <c r="I853">
        <f t="shared" si="105"/>
        <v>119.41994390528956</v>
      </c>
      <c r="J853">
        <f t="shared" si="100"/>
        <v>467.86892276085325</v>
      </c>
      <c r="K853" s="27">
        <f t="shared" si="101"/>
        <v>4065.7432184528548</v>
      </c>
    </row>
    <row r="854" spans="1:11" x14ac:dyDescent="0.25">
      <c r="A854" s="26">
        <v>804</v>
      </c>
      <c r="B854" s="82">
        <f t="shared" si="102"/>
        <v>0</v>
      </c>
      <c r="C854" s="58">
        <f t="shared" si="106"/>
        <v>104.50616427295054</v>
      </c>
      <c r="D854" s="83">
        <f t="shared" si="103"/>
        <v>445.77777777777789</v>
      </c>
      <c r="E854">
        <f t="shared" si="99"/>
        <v>0</v>
      </c>
      <c r="G854">
        <v>804</v>
      </c>
      <c r="H854" s="13">
        <f t="shared" si="104"/>
        <v>1.8572577375266519E-2</v>
      </c>
      <c r="I854">
        <f t="shared" si="105"/>
        <v>119.43851648266482</v>
      </c>
      <c r="J854">
        <f t="shared" si="100"/>
        <v>467.88979241050822</v>
      </c>
      <c r="K854" s="27">
        <f t="shared" si="101"/>
        <v>4066.1058279275876</v>
      </c>
    </row>
    <row r="855" spans="1:11" x14ac:dyDescent="0.25">
      <c r="A855" s="26">
        <v>805</v>
      </c>
      <c r="B855" s="82">
        <f t="shared" si="102"/>
        <v>0</v>
      </c>
      <c r="C855" s="58">
        <f t="shared" si="106"/>
        <v>104.50616427295054</v>
      </c>
      <c r="D855" s="83">
        <f t="shared" si="103"/>
        <v>445.77777777777789</v>
      </c>
      <c r="E855">
        <f t="shared" si="99"/>
        <v>0</v>
      </c>
      <c r="G855">
        <v>805</v>
      </c>
      <c r="H855" s="13">
        <f t="shared" si="104"/>
        <v>1.8572577375266519E-2</v>
      </c>
      <c r="I855">
        <f t="shared" si="105"/>
        <v>119.45708906004009</v>
      </c>
      <c r="J855">
        <f t="shared" si="100"/>
        <v>467.91065036063941</v>
      </c>
      <c r="K855" s="27">
        <f t="shared" si="101"/>
        <v>4066.4682503174449</v>
      </c>
    </row>
    <row r="856" spans="1:11" x14ac:dyDescent="0.25">
      <c r="A856" s="26">
        <v>806</v>
      </c>
      <c r="B856" s="82">
        <f t="shared" si="102"/>
        <v>0</v>
      </c>
      <c r="C856" s="58">
        <f t="shared" si="106"/>
        <v>104.50616427295054</v>
      </c>
      <c r="D856" s="83">
        <f t="shared" si="103"/>
        <v>445.77777777777789</v>
      </c>
      <c r="E856">
        <f t="shared" si="99"/>
        <v>0</v>
      </c>
      <c r="G856">
        <v>806</v>
      </c>
      <c r="H856" s="13">
        <f t="shared" si="104"/>
        <v>1.8572577375266519E-2</v>
      </c>
      <c r="I856">
        <f t="shared" si="105"/>
        <v>119.47566163741536</v>
      </c>
      <c r="J856">
        <f t="shared" si="100"/>
        <v>467.93149662221742</v>
      </c>
      <c r="K856" s="27">
        <f t="shared" si="101"/>
        <v>4066.8304857857711</v>
      </c>
    </row>
    <row r="857" spans="1:11" x14ac:dyDescent="0.25">
      <c r="A857" s="26">
        <v>807</v>
      </c>
      <c r="B857" s="82">
        <f t="shared" si="102"/>
        <v>0</v>
      </c>
      <c r="C857" s="58">
        <f t="shared" si="106"/>
        <v>104.50616427295054</v>
      </c>
      <c r="D857" s="83">
        <f t="shared" si="103"/>
        <v>445.77777777777789</v>
      </c>
      <c r="E857">
        <f t="shared" si="99"/>
        <v>0</v>
      </c>
      <c r="G857">
        <v>807</v>
      </c>
      <c r="H857" s="13">
        <f t="shared" si="104"/>
        <v>1.8572577375266519E-2</v>
      </c>
      <c r="I857">
        <f t="shared" si="105"/>
        <v>119.49423421479062</v>
      </c>
      <c r="J857">
        <f t="shared" si="100"/>
        <v>467.95233120619304</v>
      </c>
      <c r="K857" s="27">
        <f t="shared" si="101"/>
        <v>4067.1925344956126</v>
      </c>
    </row>
    <row r="858" spans="1:11" x14ac:dyDescent="0.25">
      <c r="A858" s="26">
        <v>808</v>
      </c>
      <c r="B858" s="82">
        <f t="shared" si="102"/>
        <v>0</v>
      </c>
      <c r="C858" s="58">
        <f t="shared" si="106"/>
        <v>104.50616427295054</v>
      </c>
      <c r="D858" s="83">
        <f t="shared" si="103"/>
        <v>445.77777777777789</v>
      </c>
      <c r="E858">
        <f t="shared" si="99"/>
        <v>0</v>
      </c>
      <c r="G858">
        <v>808</v>
      </c>
      <c r="H858" s="13">
        <f t="shared" si="104"/>
        <v>1.8572577375266519E-2</v>
      </c>
      <c r="I858">
        <f t="shared" si="105"/>
        <v>119.51280679216589</v>
      </c>
      <c r="J858">
        <f t="shared" si="100"/>
        <v>467.97315412349718</v>
      </c>
      <c r="K858" s="27">
        <f t="shared" si="101"/>
        <v>4067.5543966097225</v>
      </c>
    </row>
    <row r="859" spans="1:11" x14ac:dyDescent="0.25">
      <c r="A859" s="26">
        <v>809</v>
      </c>
      <c r="B859" s="82">
        <f t="shared" si="102"/>
        <v>0</v>
      </c>
      <c r="C859" s="58">
        <f t="shared" si="106"/>
        <v>104.50616427295054</v>
      </c>
      <c r="D859" s="83">
        <f t="shared" si="103"/>
        <v>445.77777777777789</v>
      </c>
      <c r="E859">
        <f t="shared" si="99"/>
        <v>0</v>
      </c>
      <c r="G859">
        <v>809</v>
      </c>
      <c r="H859" s="13">
        <f t="shared" si="104"/>
        <v>1.8572577375266519E-2</v>
      </c>
      <c r="I859">
        <f t="shared" si="105"/>
        <v>119.53137936954116</v>
      </c>
      <c r="J859">
        <f t="shared" si="100"/>
        <v>467.99396538504107</v>
      </c>
      <c r="K859" s="27">
        <f t="shared" si="101"/>
        <v>4067.9160722905604</v>
      </c>
    </row>
    <row r="860" spans="1:11" x14ac:dyDescent="0.25">
      <c r="A860" s="26">
        <v>810</v>
      </c>
      <c r="B860" s="82">
        <f t="shared" si="102"/>
        <v>0</v>
      </c>
      <c r="C860" s="58">
        <f t="shared" si="106"/>
        <v>104.50616427295054</v>
      </c>
      <c r="D860" s="83">
        <f t="shared" si="103"/>
        <v>445.77777777777789</v>
      </c>
      <c r="E860">
        <f t="shared" si="99"/>
        <v>0</v>
      </c>
      <c r="G860">
        <v>810</v>
      </c>
      <c r="H860" s="13">
        <f t="shared" si="104"/>
        <v>1.8572577375266519E-2</v>
      </c>
      <c r="I860">
        <f t="shared" si="105"/>
        <v>119.54995194691642</v>
      </c>
      <c r="J860">
        <f t="shared" si="100"/>
        <v>468.01476500171623</v>
      </c>
      <c r="K860" s="27">
        <f t="shared" si="101"/>
        <v>4068.2775617002903</v>
      </c>
    </row>
    <row r="861" spans="1:11" x14ac:dyDescent="0.25">
      <c r="A861" s="26">
        <v>811</v>
      </c>
      <c r="B861" s="82">
        <f t="shared" si="102"/>
        <v>0</v>
      </c>
      <c r="C861" s="58">
        <f t="shared" si="106"/>
        <v>104.50616427295054</v>
      </c>
      <c r="D861" s="83">
        <f t="shared" si="103"/>
        <v>445.77777777777789</v>
      </c>
      <c r="E861">
        <f t="shared" si="99"/>
        <v>0</v>
      </c>
      <c r="G861">
        <v>811</v>
      </c>
      <c r="H861" s="13">
        <f t="shared" si="104"/>
        <v>1.8572577375266519E-2</v>
      </c>
      <c r="I861">
        <f t="shared" si="105"/>
        <v>119.56852452429169</v>
      </c>
      <c r="J861">
        <f t="shared" si="100"/>
        <v>468.03555298439443</v>
      </c>
      <c r="K861" s="27">
        <f t="shared" si="101"/>
        <v>4068.6388650007862</v>
      </c>
    </row>
    <row r="862" spans="1:11" x14ac:dyDescent="0.25">
      <c r="A862" s="26">
        <v>812</v>
      </c>
      <c r="B862" s="82">
        <f t="shared" si="102"/>
        <v>0</v>
      </c>
      <c r="C862" s="58">
        <f t="shared" si="106"/>
        <v>104.50616427295054</v>
      </c>
      <c r="D862" s="83">
        <f t="shared" si="103"/>
        <v>445.77777777777789</v>
      </c>
      <c r="E862">
        <f t="shared" si="99"/>
        <v>0</v>
      </c>
      <c r="G862">
        <v>812</v>
      </c>
      <c r="H862" s="13">
        <f t="shared" si="104"/>
        <v>1.8572577375266519E-2</v>
      </c>
      <c r="I862">
        <f t="shared" si="105"/>
        <v>119.58709710166696</v>
      </c>
      <c r="J862">
        <f t="shared" si="100"/>
        <v>468.05632934392798</v>
      </c>
      <c r="K862" s="27">
        <f t="shared" si="101"/>
        <v>4068.9999823536305</v>
      </c>
    </row>
    <row r="863" spans="1:11" x14ac:dyDescent="0.25">
      <c r="A863" s="26">
        <v>813</v>
      </c>
      <c r="B863" s="82">
        <f t="shared" si="102"/>
        <v>0</v>
      </c>
      <c r="C863" s="58">
        <f t="shared" si="106"/>
        <v>104.50616427295054</v>
      </c>
      <c r="D863" s="83">
        <f t="shared" si="103"/>
        <v>445.77777777777789</v>
      </c>
      <c r="E863">
        <f t="shared" si="99"/>
        <v>0</v>
      </c>
      <c r="G863">
        <v>813</v>
      </c>
      <c r="H863" s="13">
        <f t="shared" si="104"/>
        <v>1.8572577375266519E-2</v>
      </c>
      <c r="I863">
        <f t="shared" si="105"/>
        <v>119.60566967904222</v>
      </c>
      <c r="J863">
        <f t="shared" si="100"/>
        <v>468.0770940911496</v>
      </c>
      <c r="K863" s="27">
        <f t="shared" si="101"/>
        <v>4069.3609139201121</v>
      </c>
    </row>
    <row r="864" spans="1:11" x14ac:dyDescent="0.25">
      <c r="A864" s="26">
        <v>814</v>
      </c>
      <c r="B864" s="82">
        <f t="shared" si="102"/>
        <v>0</v>
      </c>
      <c r="C864" s="58">
        <f t="shared" si="106"/>
        <v>104.50616427295054</v>
      </c>
      <c r="D864" s="83">
        <f t="shared" si="103"/>
        <v>445.77777777777789</v>
      </c>
      <c r="E864">
        <f t="shared" si="99"/>
        <v>0</v>
      </c>
      <c r="G864">
        <v>814</v>
      </c>
      <c r="H864" s="13">
        <f t="shared" si="104"/>
        <v>1.8572577375266519E-2</v>
      </c>
      <c r="I864">
        <f t="shared" si="105"/>
        <v>119.62424225641749</v>
      </c>
      <c r="J864">
        <f t="shared" si="100"/>
        <v>468.0978472368725</v>
      </c>
      <c r="K864" s="27">
        <f t="shared" si="101"/>
        <v>4069.721659861234</v>
      </c>
    </row>
    <row r="865" spans="1:11" x14ac:dyDescent="0.25">
      <c r="A865" s="26">
        <v>815</v>
      </c>
      <c r="B865" s="82">
        <f t="shared" si="102"/>
        <v>0</v>
      </c>
      <c r="C865" s="58">
        <f t="shared" si="106"/>
        <v>104.50616427295054</v>
      </c>
      <c r="D865" s="83">
        <f t="shared" si="103"/>
        <v>445.77777777777789</v>
      </c>
      <c r="E865">
        <f t="shared" si="99"/>
        <v>0</v>
      </c>
      <c r="G865">
        <v>815</v>
      </c>
      <c r="H865" s="13">
        <f t="shared" si="104"/>
        <v>1.8572577375266519E-2</v>
      </c>
      <c r="I865">
        <f t="shared" si="105"/>
        <v>119.64281483379276</v>
      </c>
      <c r="J865">
        <f t="shared" si="100"/>
        <v>468.11858879189043</v>
      </c>
      <c r="K865" s="27">
        <f t="shared" si="101"/>
        <v>4070.0822203377043</v>
      </c>
    </row>
    <row r="866" spans="1:11" x14ac:dyDescent="0.25">
      <c r="A866" s="26">
        <v>816</v>
      </c>
      <c r="B866" s="82">
        <f t="shared" si="102"/>
        <v>0</v>
      </c>
      <c r="C866" s="58">
        <f t="shared" si="106"/>
        <v>104.50616427295054</v>
      </c>
      <c r="D866" s="83">
        <f t="shared" si="103"/>
        <v>445.77777777777789</v>
      </c>
      <c r="E866">
        <f t="shared" si="99"/>
        <v>0</v>
      </c>
      <c r="G866">
        <v>816</v>
      </c>
      <c r="H866" s="13">
        <f t="shared" si="104"/>
        <v>1.8572577375266519E-2</v>
      </c>
      <c r="I866">
        <f t="shared" si="105"/>
        <v>119.66138741116802</v>
      </c>
      <c r="J866">
        <f t="shared" si="100"/>
        <v>468.13931876697768</v>
      </c>
      <c r="K866" s="27">
        <f t="shared" si="101"/>
        <v>4070.4425955099468</v>
      </c>
    </row>
    <row r="867" spans="1:11" x14ac:dyDescent="0.25">
      <c r="A867" s="26">
        <v>817</v>
      </c>
      <c r="B867" s="82">
        <f t="shared" si="102"/>
        <v>0</v>
      </c>
      <c r="C867" s="58">
        <f t="shared" si="106"/>
        <v>104.50616427295054</v>
      </c>
      <c r="D867" s="83">
        <f t="shared" si="103"/>
        <v>445.77777777777789</v>
      </c>
      <c r="E867">
        <f t="shared" si="99"/>
        <v>0</v>
      </c>
      <c r="G867">
        <v>817</v>
      </c>
      <c r="H867" s="13">
        <f t="shared" si="104"/>
        <v>1.8572577375266519E-2</v>
      </c>
      <c r="I867">
        <f t="shared" si="105"/>
        <v>119.67995998854329</v>
      </c>
      <c r="J867">
        <f t="shared" si="100"/>
        <v>468.16003717288936</v>
      </c>
      <c r="K867" s="27">
        <f t="shared" si="101"/>
        <v>4070.8027855380933</v>
      </c>
    </row>
    <row r="868" spans="1:11" x14ac:dyDescent="0.25">
      <c r="A868" s="26">
        <v>818</v>
      </c>
      <c r="B868" s="82">
        <f t="shared" si="102"/>
        <v>0</v>
      </c>
      <c r="C868" s="58">
        <f t="shared" si="106"/>
        <v>104.50616427295054</v>
      </c>
      <c r="D868" s="83">
        <f t="shared" si="103"/>
        <v>445.77777777777789</v>
      </c>
      <c r="E868">
        <f t="shared" si="99"/>
        <v>0</v>
      </c>
      <c r="G868">
        <v>818</v>
      </c>
      <c r="H868" s="13">
        <f t="shared" si="104"/>
        <v>1.8572577375266519E-2</v>
      </c>
      <c r="I868">
        <f t="shared" si="105"/>
        <v>119.69853256591855</v>
      </c>
      <c r="J868">
        <f t="shared" si="100"/>
        <v>468.18074402036103</v>
      </c>
      <c r="K868" s="27">
        <f t="shared" si="101"/>
        <v>4071.1627905819928</v>
      </c>
    </row>
    <row r="869" spans="1:11" x14ac:dyDescent="0.25">
      <c r="A869" s="26">
        <v>819</v>
      </c>
      <c r="B869" s="82">
        <f t="shared" si="102"/>
        <v>0</v>
      </c>
      <c r="C869" s="58">
        <f t="shared" si="106"/>
        <v>104.50616427295054</v>
      </c>
      <c r="D869" s="83">
        <f t="shared" si="103"/>
        <v>445.77777777777789</v>
      </c>
      <c r="E869">
        <f t="shared" si="99"/>
        <v>0</v>
      </c>
      <c r="G869">
        <v>819</v>
      </c>
      <c r="H869" s="13">
        <f t="shared" si="104"/>
        <v>1.8572577375266519E-2</v>
      </c>
      <c r="I869">
        <f t="shared" si="105"/>
        <v>119.71710514329382</v>
      </c>
      <c r="J869">
        <f t="shared" si="100"/>
        <v>468.20143932010922</v>
      </c>
      <c r="K869" s="27">
        <f t="shared" si="101"/>
        <v>4071.5226108012043</v>
      </c>
    </row>
    <row r="870" spans="1:11" x14ac:dyDescent="0.25">
      <c r="A870" s="26">
        <v>820</v>
      </c>
      <c r="B870" s="82">
        <f t="shared" si="102"/>
        <v>0</v>
      </c>
      <c r="C870" s="58">
        <f t="shared" si="106"/>
        <v>104.50616427295054</v>
      </c>
      <c r="D870" s="83">
        <f t="shared" si="103"/>
        <v>445.77777777777789</v>
      </c>
      <c r="E870">
        <f t="shared" si="99"/>
        <v>0</v>
      </c>
      <c r="G870">
        <v>820</v>
      </c>
      <c r="H870" s="13">
        <f t="shared" si="104"/>
        <v>1.8572577375266519E-2</v>
      </c>
      <c r="I870">
        <f t="shared" si="105"/>
        <v>119.73567772066909</v>
      </c>
      <c r="J870">
        <f t="shared" si="100"/>
        <v>468.22212308283116</v>
      </c>
      <c r="K870" s="27">
        <f t="shared" si="101"/>
        <v>4071.8822463550027</v>
      </c>
    </row>
    <row r="871" spans="1:11" x14ac:dyDescent="0.25">
      <c r="A871" s="26">
        <v>821</v>
      </c>
      <c r="B871" s="82">
        <f t="shared" si="102"/>
        <v>0</v>
      </c>
      <c r="C871" s="58">
        <f t="shared" si="106"/>
        <v>104.50616427295054</v>
      </c>
      <c r="D871" s="83">
        <f t="shared" si="103"/>
        <v>445.77777777777789</v>
      </c>
      <c r="E871">
        <f t="shared" si="99"/>
        <v>0</v>
      </c>
      <c r="G871">
        <v>821</v>
      </c>
      <c r="H871" s="13">
        <f t="shared" si="104"/>
        <v>1.8572577375266519E-2</v>
      </c>
      <c r="I871">
        <f t="shared" si="105"/>
        <v>119.75425029804435</v>
      </c>
      <c r="J871">
        <f t="shared" si="100"/>
        <v>468.24279531920484</v>
      </c>
      <c r="K871" s="27">
        <f t="shared" si="101"/>
        <v>4072.2416974023758</v>
      </c>
    </row>
    <row r="872" spans="1:11" x14ac:dyDescent="0.25">
      <c r="A872" s="26">
        <v>822</v>
      </c>
      <c r="B872" s="82">
        <f t="shared" si="102"/>
        <v>0</v>
      </c>
      <c r="C872" s="58">
        <f t="shared" si="106"/>
        <v>104.50616427295054</v>
      </c>
      <c r="D872" s="83">
        <f t="shared" si="103"/>
        <v>445.77777777777789</v>
      </c>
      <c r="E872">
        <f t="shared" si="99"/>
        <v>0</v>
      </c>
      <c r="G872">
        <v>822</v>
      </c>
      <c r="H872" s="13">
        <f t="shared" si="104"/>
        <v>1.8572577375266519E-2</v>
      </c>
      <c r="I872">
        <f t="shared" si="105"/>
        <v>119.77282287541962</v>
      </c>
      <c r="J872">
        <f t="shared" si="100"/>
        <v>468.26345603988926</v>
      </c>
      <c r="K872" s="27">
        <f t="shared" si="101"/>
        <v>4072.6009641020278</v>
      </c>
    </row>
    <row r="873" spans="1:11" x14ac:dyDescent="0.25">
      <c r="A873" s="26">
        <v>823</v>
      </c>
      <c r="B873" s="82">
        <f t="shared" si="102"/>
        <v>0</v>
      </c>
      <c r="C873" s="58">
        <f t="shared" si="106"/>
        <v>104.50616427295054</v>
      </c>
      <c r="D873" s="83">
        <f t="shared" si="103"/>
        <v>445.77777777777789</v>
      </c>
      <c r="E873">
        <f t="shared" si="99"/>
        <v>0</v>
      </c>
      <c r="G873">
        <v>823</v>
      </c>
      <c r="H873" s="13">
        <f t="shared" si="104"/>
        <v>1.8572577375266519E-2</v>
      </c>
      <c r="I873">
        <f t="shared" si="105"/>
        <v>119.79139545279489</v>
      </c>
      <c r="J873">
        <f t="shared" si="100"/>
        <v>468.28410525552431</v>
      </c>
      <c r="K873" s="27">
        <f t="shared" si="101"/>
        <v>4072.9600466123807</v>
      </c>
    </row>
    <row r="874" spans="1:11" x14ac:dyDescent="0.25">
      <c r="A874" s="26">
        <v>824</v>
      </c>
      <c r="B874" s="82">
        <f t="shared" si="102"/>
        <v>0</v>
      </c>
      <c r="C874" s="58">
        <f t="shared" si="106"/>
        <v>104.50616427295054</v>
      </c>
      <c r="D874" s="83">
        <f t="shared" si="103"/>
        <v>445.77777777777789</v>
      </c>
      <c r="E874">
        <f t="shared" si="99"/>
        <v>0</v>
      </c>
      <c r="G874">
        <v>824</v>
      </c>
      <c r="H874" s="13">
        <f t="shared" si="104"/>
        <v>1.8572577375266519E-2</v>
      </c>
      <c r="I874">
        <f t="shared" si="105"/>
        <v>119.80996803017015</v>
      </c>
      <c r="J874">
        <f t="shared" si="100"/>
        <v>468.30474297673089</v>
      </c>
      <c r="K874" s="27">
        <f t="shared" si="101"/>
        <v>4073.3189450915706</v>
      </c>
    </row>
    <row r="875" spans="1:11" x14ac:dyDescent="0.25">
      <c r="A875" s="26">
        <v>825</v>
      </c>
      <c r="B875" s="82">
        <f t="shared" si="102"/>
        <v>0</v>
      </c>
      <c r="C875" s="58">
        <f t="shared" si="106"/>
        <v>104.50616427295054</v>
      </c>
      <c r="D875" s="83">
        <f t="shared" si="103"/>
        <v>445.77777777777789</v>
      </c>
      <c r="E875">
        <f t="shared" si="99"/>
        <v>0</v>
      </c>
      <c r="G875">
        <v>825</v>
      </c>
      <c r="H875" s="13">
        <f t="shared" si="104"/>
        <v>1.8572577375266519E-2</v>
      </c>
      <c r="I875">
        <f t="shared" si="105"/>
        <v>119.82854060754542</v>
      </c>
      <c r="J875">
        <f t="shared" si="100"/>
        <v>468.32536921411082</v>
      </c>
      <c r="K875" s="27">
        <f t="shared" si="101"/>
        <v>4073.6776596974537</v>
      </c>
    </row>
    <row r="876" spans="1:11" x14ac:dyDescent="0.25">
      <c r="A876" s="26">
        <v>826</v>
      </c>
      <c r="B876" s="82">
        <f t="shared" si="102"/>
        <v>0</v>
      </c>
      <c r="C876" s="58">
        <f t="shared" si="106"/>
        <v>104.50616427295054</v>
      </c>
      <c r="D876" s="83">
        <f t="shared" si="103"/>
        <v>445.77777777777789</v>
      </c>
      <c r="E876">
        <f t="shared" si="99"/>
        <v>0</v>
      </c>
      <c r="G876">
        <v>826</v>
      </c>
      <c r="H876" s="13">
        <f t="shared" si="104"/>
        <v>1.8572577375266519E-2</v>
      </c>
      <c r="I876">
        <f t="shared" si="105"/>
        <v>119.84711318492069</v>
      </c>
      <c r="J876">
        <f t="shared" si="100"/>
        <v>468.34598397824709</v>
      </c>
      <c r="K876" s="27">
        <f t="shared" si="101"/>
        <v>4074.0361905876039</v>
      </c>
    </row>
    <row r="877" spans="1:11" x14ac:dyDescent="0.25">
      <c r="A877" s="26">
        <v>827</v>
      </c>
      <c r="B877" s="82">
        <f t="shared" si="102"/>
        <v>0</v>
      </c>
      <c r="C877" s="58">
        <f t="shared" si="106"/>
        <v>104.50616427295054</v>
      </c>
      <c r="D877" s="83">
        <f t="shared" si="103"/>
        <v>445.77777777777789</v>
      </c>
      <c r="E877">
        <f t="shared" si="99"/>
        <v>0</v>
      </c>
      <c r="G877">
        <v>827</v>
      </c>
      <c r="H877" s="13">
        <f t="shared" si="104"/>
        <v>1.8572577375266519E-2</v>
      </c>
      <c r="I877">
        <f t="shared" si="105"/>
        <v>119.86568576229595</v>
      </c>
      <c r="J877">
        <f t="shared" si="100"/>
        <v>468.36658727970388</v>
      </c>
      <c r="K877" s="27">
        <f t="shared" si="101"/>
        <v>4074.3945379193137</v>
      </c>
    </row>
    <row r="878" spans="1:11" x14ac:dyDescent="0.25">
      <c r="A878" s="26">
        <v>828</v>
      </c>
      <c r="B878" s="82">
        <f t="shared" si="102"/>
        <v>0</v>
      </c>
      <c r="C878" s="58">
        <f t="shared" si="106"/>
        <v>104.50616427295054</v>
      </c>
      <c r="D878" s="83">
        <f t="shared" si="103"/>
        <v>445.77777777777789</v>
      </c>
      <c r="E878">
        <f t="shared" si="99"/>
        <v>0</v>
      </c>
      <c r="G878">
        <v>828</v>
      </c>
      <c r="H878" s="13">
        <f t="shared" si="104"/>
        <v>1.8572577375266519E-2</v>
      </c>
      <c r="I878">
        <f t="shared" si="105"/>
        <v>119.88425833967122</v>
      </c>
      <c r="J878">
        <f t="shared" si="100"/>
        <v>468.38717912902644</v>
      </c>
      <c r="K878" s="27">
        <f t="shared" si="101"/>
        <v>4074.7527018495953</v>
      </c>
    </row>
    <row r="879" spans="1:11" x14ac:dyDescent="0.25">
      <c r="A879" s="26">
        <v>829</v>
      </c>
      <c r="B879" s="82">
        <f t="shared" si="102"/>
        <v>0</v>
      </c>
      <c r="C879" s="58">
        <f t="shared" si="106"/>
        <v>104.50616427295054</v>
      </c>
      <c r="D879" s="83">
        <f t="shared" si="103"/>
        <v>445.77777777777789</v>
      </c>
      <c r="E879">
        <f t="shared" si="99"/>
        <v>0</v>
      </c>
      <c r="G879">
        <v>829</v>
      </c>
      <c r="H879" s="13">
        <f t="shared" si="104"/>
        <v>1.8572577375266519E-2</v>
      </c>
      <c r="I879">
        <f t="shared" si="105"/>
        <v>119.90283091704649</v>
      </c>
      <c r="J879">
        <f t="shared" si="100"/>
        <v>468.4077595367412</v>
      </c>
      <c r="K879" s="27">
        <f t="shared" si="101"/>
        <v>4075.1106825351803</v>
      </c>
    </row>
    <row r="880" spans="1:11" x14ac:dyDescent="0.25">
      <c r="A880" s="26">
        <v>830</v>
      </c>
      <c r="B880" s="82">
        <f t="shared" si="102"/>
        <v>0</v>
      </c>
      <c r="C880" s="58">
        <f t="shared" si="106"/>
        <v>104.50616427295054</v>
      </c>
      <c r="D880" s="83">
        <f t="shared" si="103"/>
        <v>445.77777777777789</v>
      </c>
      <c r="E880">
        <f t="shared" si="99"/>
        <v>0</v>
      </c>
      <c r="G880">
        <v>830</v>
      </c>
      <c r="H880" s="13">
        <f t="shared" si="104"/>
        <v>1.8572577375266519E-2</v>
      </c>
      <c r="I880">
        <f t="shared" si="105"/>
        <v>119.92140349442175</v>
      </c>
      <c r="J880">
        <f t="shared" si="100"/>
        <v>468.42832851335595</v>
      </c>
      <c r="K880" s="27">
        <f t="shared" si="101"/>
        <v>4075.4684801325252</v>
      </c>
    </row>
    <row r="881" spans="1:11" x14ac:dyDescent="0.25">
      <c r="A881" s="26">
        <v>831</v>
      </c>
      <c r="B881" s="82">
        <f t="shared" si="102"/>
        <v>0</v>
      </c>
      <c r="C881" s="58">
        <f t="shared" si="106"/>
        <v>104.50616427295054</v>
      </c>
      <c r="D881" s="83">
        <f t="shared" si="103"/>
        <v>445.77777777777789</v>
      </c>
      <c r="E881">
        <f t="shared" si="99"/>
        <v>0</v>
      </c>
      <c r="G881">
        <v>831</v>
      </c>
      <c r="H881" s="13">
        <f t="shared" si="104"/>
        <v>1.8572577375266519E-2</v>
      </c>
      <c r="I881">
        <f t="shared" si="105"/>
        <v>119.93997607179702</v>
      </c>
      <c r="J881">
        <f t="shared" si="100"/>
        <v>468.44888606935973</v>
      </c>
      <c r="K881" s="27">
        <f t="shared" si="101"/>
        <v>4075.8260947978047</v>
      </c>
    </row>
    <row r="882" spans="1:11" x14ac:dyDescent="0.25">
      <c r="A882" s="26">
        <v>832</v>
      </c>
      <c r="B882" s="82">
        <f t="shared" si="102"/>
        <v>0</v>
      </c>
      <c r="C882" s="58">
        <f t="shared" si="106"/>
        <v>104.50616427295054</v>
      </c>
      <c r="D882" s="83">
        <f t="shared" si="103"/>
        <v>445.77777777777789</v>
      </c>
      <c r="E882">
        <f t="shared" si="99"/>
        <v>0</v>
      </c>
      <c r="G882">
        <v>832</v>
      </c>
      <c r="H882" s="13">
        <f t="shared" si="104"/>
        <v>1.8572577375266519E-2</v>
      </c>
      <c r="I882">
        <f t="shared" si="105"/>
        <v>119.95854864917229</v>
      </c>
      <c r="J882">
        <f t="shared" si="100"/>
        <v>468.46943221522304</v>
      </c>
      <c r="K882" s="27">
        <f t="shared" si="101"/>
        <v>4076.1835266869161</v>
      </c>
    </row>
    <row r="883" spans="1:11" x14ac:dyDescent="0.25">
      <c r="A883" s="26">
        <v>833</v>
      </c>
      <c r="B883" s="82">
        <f t="shared" si="102"/>
        <v>0</v>
      </c>
      <c r="C883" s="58">
        <f t="shared" si="106"/>
        <v>104.50616427295054</v>
      </c>
      <c r="D883" s="83">
        <f t="shared" si="103"/>
        <v>445.77777777777789</v>
      </c>
      <c r="E883">
        <f t="shared" ref="E883:E946" si="107">((D883^2)+(D883*D884)+(D884^2))*B884/3</f>
        <v>0</v>
      </c>
      <c r="G883">
        <v>833</v>
      </c>
      <c r="H883" s="13">
        <f t="shared" si="104"/>
        <v>1.8572577375266519E-2</v>
      </c>
      <c r="I883">
        <f t="shared" si="105"/>
        <v>119.97712122654755</v>
      </c>
      <c r="J883">
        <f t="shared" ref="J883:J946" si="108">IF($G$28&lt;$C$14,0,((($C$11^2)-((I883-$C$13)^2))^0.5)+$C$16)</f>
        <v>468.48996696139761</v>
      </c>
      <c r="K883" s="27">
        <f t="shared" ref="K883:K946" si="109">((J883^2)+(J883*J884)+(J884^2))*H884/3</f>
        <v>4076.5407759554819</v>
      </c>
    </row>
    <row r="884" spans="1:11" x14ac:dyDescent="0.25">
      <c r="A884" s="26">
        <v>834</v>
      </c>
      <c r="B884" s="82">
        <f t="shared" ref="B884:B947" si="110">C884-C883</f>
        <v>0</v>
      </c>
      <c r="C884" s="58">
        <f t="shared" si="106"/>
        <v>104.50616427295054</v>
      </c>
      <c r="D884" s="83">
        <f t="shared" ref="D884:D947" si="111">IF($G$28&lt;$C$14,0,((($C$11^2)-((C884-$C$13)^2))^0.5)+$C$16)</f>
        <v>445.77777777777789</v>
      </c>
      <c r="E884">
        <f t="shared" si="107"/>
        <v>0</v>
      </c>
      <c r="G884">
        <v>834</v>
      </c>
      <c r="H884" s="13">
        <f t="shared" ref="H884:H947" si="112">I884-I883</f>
        <v>1.8572577375266519E-2</v>
      </c>
      <c r="I884">
        <f t="shared" ref="I884:I947" si="113">($G$27-$C$14)/2000+I883</f>
        <v>119.99569380392282</v>
      </c>
      <c r="J884">
        <f t="shared" si="108"/>
        <v>468.51049031831678</v>
      </c>
      <c r="K884" s="27">
        <f t="shared" si="109"/>
        <v>4076.8978427588477</v>
      </c>
    </row>
    <row r="885" spans="1:11" x14ac:dyDescent="0.25">
      <c r="A885" s="26">
        <v>835</v>
      </c>
      <c r="B885" s="82">
        <f t="shared" si="110"/>
        <v>0</v>
      </c>
      <c r="C885" s="58">
        <f t="shared" si="106"/>
        <v>104.50616427295054</v>
      </c>
      <c r="D885" s="83">
        <f t="shared" si="111"/>
        <v>445.77777777777789</v>
      </c>
      <c r="E885">
        <f t="shared" si="107"/>
        <v>0</v>
      </c>
      <c r="G885">
        <v>835</v>
      </c>
      <c r="H885" s="13">
        <f t="shared" si="112"/>
        <v>1.8572577375266519E-2</v>
      </c>
      <c r="I885">
        <f t="shared" si="113"/>
        <v>120.01426638129809</v>
      </c>
      <c r="J885">
        <f t="shared" si="108"/>
        <v>468.53100229639534</v>
      </c>
      <c r="K885" s="27">
        <f t="shared" si="109"/>
        <v>4077.2547272520846</v>
      </c>
    </row>
    <row r="886" spans="1:11" x14ac:dyDescent="0.25">
      <c r="A886" s="26">
        <v>836</v>
      </c>
      <c r="B886" s="82">
        <f t="shared" si="110"/>
        <v>0</v>
      </c>
      <c r="C886" s="58">
        <f t="shared" si="106"/>
        <v>104.50616427295054</v>
      </c>
      <c r="D886" s="83">
        <f t="shared" si="111"/>
        <v>445.77777777777789</v>
      </c>
      <c r="E886">
        <f t="shared" si="107"/>
        <v>0</v>
      </c>
      <c r="G886">
        <v>836</v>
      </c>
      <c r="H886" s="13">
        <f t="shared" si="112"/>
        <v>1.8572577375266519E-2</v>
      </c>
      <c r="I886">
        <f t="shared" si="113"/>
        <v>120.03283895867335</v>
      </c>
      <c r="J886">
        <f t="shared" si="108"/>
        <v>468.55150290602961</v>
      </c>
      <c r="K886" s="27">
        <f t="shared" si="109"/>
        <v>4077.6114295899865</v>
      </c>
    </row>
    <row r="887" spans="1:11" x14ac:dyDescent="0.25">
      <c r="A887" s="26">
        <v>837</v>
      </c>
      <c r="B887" s="82">
        <f t="shared" si="110"/>
        <v>0</v>
      </c>
      <c r="C887" s="58">
        <f t="shared" si="106"/>
        <v>104.50616427295054</v>
      </c>
      <c r="D887" s="83">
        <f t="shared" si="111"/>
        <v>445.77777777777789</v>
      </c>
      <c r="E887">
        <f t="shared" si="107"/>
        <v>0</v>
      </c>
      <c r="G887">
        <v>837</v>
      </c>
      <c r="H887" s="13">
        <f t="shared" si="112"/>
        <v>1.8572577375266519E-2</v>
      </c>
      <c r="I887">
        <f t="shared" si="113"/>
        <v>120.05141153604862</v>
      </c>
      <c r="J887">
        <f t="shared" si="108"/>
        <v>468.57199215759744</v>
      </c>
      <c r="K887" s="27">
        <f t="shared" si="109"/>
        <v>4077.9679499270737</v>
      </c>
    </row>
    <row r="888" spans="1:11" x14ac:dyDescent="0.25">
      <c r="A888" s="26">
        <v>838</v>
      </c>
      <c r="B888" s="82">
        <f t="shared" si="110"/>
        <v>0</v>
      </c>
      <c r="C888" s="58">
        <f t="shared" si="106"/>
        <v>104.50616427295054</v>
      </c>
      <c r="D888" s="83">
        <f t="shared" si="111"/>
        <v>445.77777777777789</v>
      </c>
      <c r="E888">
        <f t="shared" si="107"/>
        <v>0</v>
      </c>
      <c r="G888">
        <v>838</v>
      </c>
      <c r="H888" s="13">
        <f t="shared" si="112"/>
        <v>1.8572577375266519E-2</v>
      </c>
      <c r="I888">
        <f t="shared" si="113"/>
        <v>120.06998411342389</v>
      </c>
      <c r="J888">
        <f t="shared" si="108"/>
        <v>468.59247006145836</v>
      </c>
      <c r="K888" s="27">
        <f t="shared" si="109"/>
        <v>4078.3242884175966</v>
      </c>
    </row>
    <row r="889" spans="1:11" x14ac:dyDescent="0.25">
      <c r="A889" s="26">
        <v>839</v>
      </c>
      <c r="B889" s="82">
        <f t="shared" si="110"/>
        <v>0</v>
      </c>
      <c r="C889" s="58">
        <f t="shared" si="106"/>
        <v>104.50616427295054</v>
      </c>
      <c r="D889" s="83">
        <f t="shared" si="111"/>
        <v>445.77777777777789</v>
      </c>
      <c r="E889">
        <f t="shared" si="107"/>
        <v>0</v>
      </c>
      <c r="G889">
        <v>839</v>
      </c>
      <c r="H889" s="13">
        <f t="shared" si="112"/>
        <v>1.8572577375266519E-2</v>
      </c>
      <c r="I889">
        <f t="shared" si="113"/>
        <v>120.08855669079915</v>
      </c>
      <c r="J889">
        <f t="shared" si="108"/>
        <v>468.61293662795367</v>
      </c>
      <c r="K889" s="27">
        <f t="shared" si="109"/>
        <v>4078.6804452155288</v>
      </c>
    </row>
    <row r="890" spans="1:11" x14ac:dyDescent="0.25">
      <c r="A890" s="26">
        <v>840</v>
      </c>
      <c r="B890" s="82">
        <f t="shared" si="110"/>
        <v>0</v>
      </c>
      <c r="C890" s="58">
        <f t="shared" si="106"/>
        <v>104.50616427295054</v>
      </c>
      <c r="D890" s="83">
        <f t="shared" si="111"/>
        <v>445.77777777777789</v>
      </c>
      <c r="E890">
        <f t="shared" si="107"/>
        <v>0</v>
      </c>
      <c r="G890">
        <v>840</v>
      </c>
      <c r="H890" s="13">
        <f t="shared" si="112"/>
        <v>1.8572577375266519E-2</v>
      </c>
      <c r="I890">
        <f t="shared" si="113"/>
        <v>120.10712926817442</v>
      </c>
      <c r="J890">
        <f t="shared" si="108"/>
        <v>468.6333918674062</v>
      </c>
      <c r="K890" s="27">
        <f t="shared" si="109"/>
        <v>4079.0364204745742</v>
      </c>
    </row>
    <row r="891" spans="1:11" x14ac:dyDescent="0.25">
      <c r="A891" s="26">
        <v>841</v>
      </c>
      <c r="B891" s="82">
        <f t="shared" si="110"/>
        <v>0</v>
      </c>
      <c r="C891" s="58">
        <f t="shared" si="106"/>
        <v>104.50616427295054</v>
      </c>
      <c r="D891" s="83">
        <f t="shared" si="111"/>
        <v>445.77777777777789</v>
      </c>
      <c r="E891">
        <f t="shared" si="107"/>
        <v>0</v>
      </c>
      <c r="G891">
        <v>841</v>
      </c>
      <c r="H891" s="13">
        <f t="shared" si="112"/>
        <v>1.8572577375266519E-2</v>
      </c>
      <c r="I891">
        <f t="shared" si="113"/>
        <v>120.12570184554968</v>
      </c>
      <c r="J891">
        <f t="shared" si="108"/>
        <v>468.65383579012081</v>
      </c>
      <c r="K891" s="27">
        <f t="shared" si="109"/>
        <v>4079.3922143481645</v>
      </c>
    </row>
    <row r="892" spans="1:11" x14ac:dyDescent="0.25">
      <c r="A892" s="26">
        <v>842</v>
      </c>
      <c r="B892" s="82">
        <f t="shared" si="110"/>
        <v>0</v>
      </c>
      <c r="C892" s="58">
        <f t="shared" si="106"/>
        <v>104.50616427295054</v>
      </c>
      <c r="D892" s="83">
        <f t="shared" si="111"/>
        <v>445.77777777777789</v>
      </c>
      <c r="E892">
        <f t="shared" si="107"/>
        <v>0</v>
      </c>
      <c r="G892">
        <v>842</v>
      </c>
      <c r="H892" s="13">
        <f t="shared" si="112"/>
        <v>1.8572577375266519E-2</v>
      </c>
      <c r="I892">
        <f t="shared" si="113"/>
        <v>120.14427442292495</v>
      </c>
      <c r="J892">
        <f t="shared" si="108"/>
        <v>468.67426840638387</v>
      </c>
      <c r="K892" s="27">
        <f t="shared" si="109"/>
        <v>4079.74782698946</v>
      </c>
    </row>
    <row r="893" spans="1:11" x14ac:dyDescent="0.25">
      <c r="A893" s="26">
        <v>843</v>
      </c>
      <c r="B893" s="82">
        <f t="shared" si="110"/>
        <v>0</v>
      </c>
      <c r="C893" s="58">
        <f t="shared" si="106"/>
        <v>104.50616427295054</v>
      </c>
      <c r="D893" s="83">
        <f t="shared" si="111"/>
        <v>445.77777777777789</v>
      </c>
      <c r="E893">
        <f t="shared" si="107"/>
        <v>0</v>
      </c>
      <c r="G893">
        <v>843</v>
      </c>
      <c r="H893" s="13">
        <f t="shared" si="112"/>
        <v>1.8572577375266519E-2</v>
      </c>
      <c r="I893">
        <f t="shared" si="113"/>
        <v>120.16284700030022</v>
      </c>
      <c r="J893">
        <f t="shared" si="108"/>
        <v>468.69468972646382</v>
      </c>
      <c r="K893" s="27">
        <f t="shared" si="109"/>
        <v>4080.1032585513526</v>
      </c>
    </row>
    <row r="894" spans="1:11" x14ac:dyDescent="0.25">
      <c r="A894" s="26">
        <v>844</v>
      </c>
      <c r="B894" s="82">
        <f t="shared" si="110"/>
        <v>0</v>
      </c>
      <c r="C894" s="58">
        <f t="shared" si="106"/>
        <v>104.50616427295054</v>
      </c>
      <c r="D894" s="83">
        <f t="shared" si="111"/>
        <v>445.77777777777789</v>
      </c>
      <c r="E894">
        <f t="shared" si="107"/>
        <v>0</v>
      </c>
      <c r="G894">
        <v>844</v>
      </c>
      <c r="H894" s="13">
        <f t="shared" si="112"/>
        <v>1.8572577375266519E-2</v>
      </c>
      <c r="I894">
        <f t="shared" si="113"/>
        <v>120.18141957767548</v>
      </c>
      <c r="J894">
        <f t="shared" si="108"/>
        <v>468.715099760611</v>
      </c>
      <c r="K894" s="27">
        <f t="shared" si="109"/>
        <v>4080.4585091864647</v>
      </c>
    </row>
    <row r="895" spans="1:11" x14ac:dyDescent="0.25">
      <c r="A895" s="26">
        <v>845</v>
      </c>
      <c r="B895" s="82">
        <f t="shared" si="110"/>
        <v>0</v>
      </c>
      <c r="C895" s="58">
        <f t="shared" si="106"/>
        <v>104.50616427295054</v>
      </c>
      <c r="D895" s="83">
        <f t="shared" si="111"/>
        <v>445.77777777777789</v>
      </c>
      <c r="E895">
        <f t="shared" si="107"/>
        <v>0</v>
      </c>
      <c r="G895">
        <v>845</v>
      </c>
      <c r="H895" s="13">
        <f t="shared" si="112"/>
        <v>1.8572577375266519E-2</v>
      </c>
      <c r="I895">
        <f t="shared" si="113"/>
        <v>120.19999215505075</v>
      </c>
      <c r="J895">
        <f t="shared" si="108"/>
        <v>468.73549851905756</v>
      </c>
      <c r="K895" s="27">
        <f t="shared" si="109"/>
        <v>4080.8135790471479</v>
      </c>
    </row>
    <row r="896" spans="1:11" x14ac:dyDescent="0.25">
      <c r="A896" s="26">
        <v>846</v>
      </c>
      <c r="B896" s="82">
        <f t="shared" si="110"/>
        <v>0</v>
      </c>
      <c r="C896" s="58">
        <f t="shared" si="106"/>
        <v>104.50616427295054</v>
      </c>
      <c r="D896" s="83">
        <f t="shared" si="111"/>
        <v>445.77777777777789</v>
      </c>
      <c r="E896">
        <f t="shared" si="107"/>
        <v>0</v>
      </c>
      <c r="G896">
        <v>846</v>
      </c>
      <c r="H896" s="13">
        <f t="shared" si="112"/>
        <v>1.8572577375266519E-2</v>
      </c>
      <c r="I896">
        <f t="shared" si="113"/>
        <v>120.21856473242602</v>
      </c>
      <c r="J896">
        <f t="shared" si="108"/>
        <v>468.75588601201775</v>
      </c>
      <c r="K896" s="27">
        <f t="shared" si="109"/>
        <v>4081.1684682854871</v>
      </c>
    </row>
    <row r="897" spans="1:11" x14ac:dyDescent="0.25">
      <c r="A897" s="26">
        <v>847</v>
      </c>
      <c r="B897" s="82">
        <f t="shared" si="110"/>
        <v>0</v>
      </c>
      <c r="C897" s="58">
        <f t="shared" si="106"/>
        <v>104.50616427295054</v>
      </c>
      <c r="D897" s="83">
        <f t="shared" si="111"/>
        <v>445.77777777777789</v>
      </c>
      <c r="E897">
        <f t="shared" si="107"/>
        <v>0</v>
      </c>
      <c r="G897">
        <v>847</v>
      </c>
      <c r="H897" s="13">
        <f t="shared" si="112"/>
        <v>1.8572577375266519E-2</v>
      </c>
      <c r="I897">
        <f t="shared" si="113"/>
        <v>120.23713730980128</v>
      </c>
      <c r="J897">
        <f t="shared" si="108"/>
        <v>468.77626224968782</v>
      </c>
      <c r="K897" s="27">
        <f t="shared" si="109"/>
        <v>4081.5231770533014</v>
      </c>
    </row>
    <row r="898" spans="1:11" x14ac:dyDescent="0.25">
      <c r="A898" s="26">
        <v>848</v>
      </c>
      <c r="B898" s="82">
        <f t="shared" si="110"/>
        <v>0</v>
      </c>
      <c r="C898" s="58">
        <f t="shared" si="106"/>
        <v>104.50616427295054</v>
      </c>
      <c r="D898" s="83">
        <f t="shared" si="111"/>
        <v>445.77777777777789</v>
      </c>
      <c r="E898">
        <f t="shared" si="107"/>
        <v>0</v>
      </c>
      <c r="G898">
        <v>848</v>
      </c>
      <c r="H898" s="13">
        <f t="shared" si="112"/>
        <v>1.8572577375266519E-2</v>
      </c>
      <c r="I898">
        <f t="shared" si="113"/>
        <v>120.25570988717655</v>
      </c>
      <c r="J898">
        <f t="shared" si="108"/>
        <v>468.79662724224613</v>
      </c>
      <c r="K898" s="27">
        <f t="shared" si="109"/>
        <v>4081.8777055021415</v>
      </c>
    </row>
    <row r="899" spans="1:11" x14ac:dyDescent="0.25">
      <c r="A899" s="26">
        <v>849</v>
      </c>
      <c r="B899" s="82">
        <f t="shared" si="110"/>
        <v>0</v>
      </c>
      <c r="C899" s="58">
        <f t="shared" si="106"/>
        <v>104.50616427295054</v>
      </c>
      <c r="D899" s="83">
        <f t="shared" si="111"/>
        <v>445.77777777777789</v>
      </c>
      <c r="E899">
        <f t="shared" si="107"/>
        <v>0</v>
      </c>
      <c r="G899">
        <v>849</v>
      </c>
      <c r="H899" s="13">
        <f t="shared" si="112"/>
        <v>1.8572577375266519E-2</v>
      </c>
      <c r="I899">
        <f t="shared" si="113"/>
        <v>120.27428246455182</v>
      </c>
      <c r="J899">
        <f t="shared" si="108"/>
        <v>468.81698099985312</v>
      </c>
      <c r="K899" s="27">
        <f t="shared" si="109"/>
        <v>4082.2320537832907</v>
      </c>
    </row>
    <row r="900" spans="1:11" x14ac:dyDescent="0.25">
      <c r="A900" s="26">
        <v>850</v>
      </c>
      <c r="B900" s="82">
        <f t="shared" si="110"/>
        <v>0</v>
      </c>
      <c r="C900" s="58">
        <f t="shared" si="106"/>
        <v>104.50616427295054</v>
      </c>
      <c r="D900" s="83">
        <f t="shared" si="111"/>
        <v>445.77777777777789</v>
      </c>
      <c r="E900">
        <f t="shared" si="107"/>
        <v>0</v>
      </c>
      <c r="G900">
        <v>850</v>
      </c>
      <c r="H900" s="13">
        <f t="shared" si="112"/>
        <v>1.8572577375266519E-2</v>
      </c>
      <c r="I900">
        <f t="shared" si="113"/>
        <v>120.29285504192708</v>
      </c>
      <c r="J900">
        <f t="shared" si="108"/>
        <v>468.83732353265145</v>
      </c>
      <c r="K900" s="27">
        <f t="shared" si="109"/>
        <v>4082.5862220477698</v>
      </c>
    </row>
    <row r="901" spans="1:11" x14ac:dyDescent="0.25">
      <c r="A901" s="26">
        <v>851</v>
      </c>
      <c r="B901" s="82">
        <f t="shared" si="110"/>
        <v>0</v>
      </c>
      <c r="C901" s="58">
        <f t="shared" si="106"/>
        <v>104.50616427295054</v>
      </c>
      <c r="D901" s="83">
        <f t="shared" si="111"/>
        <v>445.77777777777789</v>
      </c>
      <c r="E901">
        <f t="shared" si="107"/>
        <v>0</v>
      </c>
      <c r="G901">
        <v>851</v>
      </c>
      <c r="H901" s="13">
        <f t="shared" si="112"/>
        <v>1.8572577375266519E-2</v>
      </c>
      <c r="I901">
        <f t="shared" si="113"/>
        <v>120.31142761930235</v>
      </c>
      <c r="J901">
        <f t="shared" si="108"/>
        <v>468.85765485076593</v>
      </c>
      <c r="K901" s="27">
        <f t="shared" si="109"/>
        <v>4082.940210446332</v>
      </c>
    </row>
    <row r="902" spans="1:11" x14ac:dyDescent="0.25">
      <c r="A902" s="26">
        <v>852</v>
      </c>
      <c r="B902" s="82">
        <f t="shared" si="110"/>
        <v>0</v>
      </c>
      <c r="C902" s="58">
        <f t="shared" si="106"/>
        <v>104.50616427295054</v>
      </c>
      <c r="D902" s="83">
        <f t="shared" si="111"/>
        <v>445.77777777777789</v>
      </c>
      <c r="E902">
        <f t="shared" si="107"/>
        <v>0</v>
      </c>
      <c r="G902">
        <v>852</v>
      </c>
      <c r="H902" s="13">
        <f t="shared" si="112"/>
        <v>1.8572577375266519E-2</v>
      </c>
      <c r="I902">
        <f t="shared" si="113"/>
        <v>120.33000019667762</v>
      </c>
      <c r="J902">
        <f t="shared" si="108"/>
        <v>468.87797496430369</v>
      </c>
      <c r="K902" s="27">
        <f t="shared" si="109"/>
        <v>4083.2940191294697</v>
      </c>
    </row>
    <row r="903" spans="1:11" x14ac:dyDescent="0.25">
      <c r="A903" s="26">
        <v>853</v>
      </c>
      <c r="B903" s="82">
        <f t="shared" si="110"/>
        <v>0</v>
      </c>
      <c r="C903" s="58">
        <f t="shared" si="106"/>
        <v>104.50616427295054</v>
      </c>
      <c r="D903" s="83">
        <f t="shared" si="111"/>
        <v>445.77777777777789</v>
      </c>
      <c r="E903">
        <f t="shared" si="107"/>
        <v>0</v>
      </c>
      <c r="G903">
        <v>853</v>
      </c>
      <c r="H903" s="13">
        <f t="shared" si="112"/>
        <v>1.8572577375266519E-2</v>
      </c>
      <c r="I903">
        <f t="shared" si="113"/>
        <v>120.34857277405288</v>
      </c>
      <c r="J903">
        <f t="shared" si="108"/>
        <v>468.89828388335405</v>
      </c>
      <c r="K903" s="27">
        <f t="shared" si="109"/>
        <v>4083.6476482474086</v>
      </c>
    </row>
    <row r="904" spans="1:11" x14ac:dyDescent="0.25">
      <c r="A904" s="26">
        <v>854</v>
      </c>
      <c r="B904" s="82">
        <f t="shared" si="110"/>
        <v>0</v>
      </c>
      <c r="C904" s="58">
        <f t="shared" si="106"/>
        <v>104.50616427295054</v>
      </c>
      <c r="D904" s="83">
        <f t="shared" si="111"/>
        <v>445.77777777777789</v>
      </c>
      <c r="E904">
        <f t="shared" si="107"/>
        <v>0</v>
      </c>
      <c r="G904">
        <v>854</v>
      </c>
      <c r="H904" s="13">
        <f t="shared" si="112"/>
        <v>1.8572577375266519E-2</v>
      </c>
      <c r="I904">
        <f t="shared" si="113"/>
        <v>120.36714535142815</v>
      </c>
      <c r="J904">
        <f t="shared" si="108"/>
        <v>468.91858161798888</v>
      </c>
      <c r="K904" s="27">
        <f t="shared" si="109"/>
        <v>4084.001097950113</v>
      </c>
    </row>
    <row r="905" spans="1:11" x14ac:dyDescent="0.25">
      <c r="A905" s="26">
        <v>855</v>
      </c>
      <c r="B905" s="82">
        <f t="shared" si="110"/>
        <v>0</v>
      </c>
      <c r="C905" s="58">
        <f t="shared" si="106"/>
        <v>104.50616427295054</v>
      </c>
      <c r="D905" s="83">
        <f t="shared" si="111"/>
        <v>445.77777777777789</v>
      </c>
      <c r="E905">
        <f t="shared" si="107"/>
        <v>0</v>
      </c>
      <c r="G905">
        <v>855</v>
      </c>
      <c r="H905" s="13">
        <f t="shared" si="112"/>
        <v>1.8572577375266519E-2</v>
      </c>
      <c r="I905">
        <f t="shared" si="113"/>
        <v>120.38571792880342</v>
      </c>
      <c r="J905">
        <f t="shared" si="108"/>
        <v>468.93886817826217</v>
      </c>
      <c r="K905" s="27">
        <f t="shared" si="109"/>
        <v>4084.3543683872854</v>
      </c>
    </row>
    <row r="906" spans="1:11" x14ac:dyDescent="0.25">
      <c r="A906" s="26">
        <v>856</v>
      </c>
      <c r="B906" s="82">
        <f t="shared" si="110"/>
        <v>0</v>
      </c>
      <c r="C906" s="58">
        <f t="shared" si="106"/>
        <v>104.50616427295054</v>
      </c>
      <c r="D906" s="83">
        <f t="shared" si="111"/>
        <v>445.77777777777789</v>
      </c>
      <c r="E906">
        <f t="shared" si="107"/>
        <v>0</v>
      </c>
      <c r="G906">
        <v>856</v>
      </c>
      <c r="H906" s="13">
        <f t="shared" si="112"/>
        <v>1.8572577375266519E-2</v>
      </c>
      <c r="I906">
        <f t="shared" si="113"/>
        <v>120.40429050617868</v>
      </c>
      <c r="J906">
        <f t="shared" si="108"/>
        <v>468.9591435742106</v>
      </c>
      <c r="K906" s="27">
        <f t="shared" si="109"/>
        <v>4084.707459708367</v>
      </c>
    </row>
    <row r="907" spans="1:11" x14ac:dyDescent="0.25">
      <c r="A907" s="26">
        <v>857</v>
      </c>
      <c r="B907" s="82">
        <f t="shared" si="110"/>
        <v>0</v>
      </c>
      <c r="C907" s="58">
        <f t="shared" si="106"/>
        <v>104.50616427295054</v>
      </c>
      <c r="D907" s="83">
        <f t="shared" si="111"/>
        <v>445.77777777777789</v>
      </c>
      <c r="E907">
        <f t="shared" si="107"/>
        <v>0</v>
      </c>
      <c r="G907">
        <v>857</v>
      </c>
      <c r="H907" s="13">
        <f t="shared" si="112"/>
        <v>1.8572577375266519E-2</v>
      </c>
      <c r="I907">
        <f t="shared" si="113"/>
        <v>120.42286308355395</v>
      </c>
      <c r="J907">
        <f t="shared" si="108"/>
        <v>468.97940781585305</v>
      </c>
      <c r="K907" s="27">
        <f t="shared" si="109"/>
        <v>4085.0603720625345</v>
      </c>
    </row>
    <row r="908" spans="1:11" x14ac:dyDescent="0.25">
      <c r="A908" s="26">
        <v>858</v>
      </c>
      <c r="B908" s="82">
        <f t="shared" si="110"/>
        <v>0</v>
      </c>
      <c r="C908" s="58">
        <f t="shared" si="106"/>
        <v>104.50616427295054</v>
      </c>
      <c r="D908" s="83">
        <f t="shared" si="111"/>
        <v>445.77777777777789</v>
      </c>
      <c r="E908">
        <f t="shared" si="107"/>
        <v>0</v>
      </c>
      <c r="G908">
        <v>858</v>
      </c>
      <c r="H908" s="13">
        <f t="shared" si="112"/>
        <v>1.8572577375266519E-2</v>
      </c>
      <c r="I908">
        <f t="shared" si="113"/>
        <v>120.44143566092922</v>
      </c>
      <c r="J908">
        <f t="shared" si="108"/>
        <v>468.99966091319118</v>
      </c>
      <c r="K908" s="27">
        <f t="shared" si="109"/>
        <v>4085.4131055987109</v>
      </c>
    </row>
    <row r="909" spans="1:11" x14ac:dyDescent="0.25">
      <c r="A909" s="26">
        <v>859</v>
      </c>
      <c r="B909" s="82">
        <f t="shared" si="110"/>
        <v>0</v>
      </c>
      <c r="C909" s="58">
        <f t="shared" si="106"/>
        <v>104.50616427295054</v>
      </c>
      <c r="D909" s="83">
        <f t="shared" si="111"/>
        <v>445.77777777777789</v>
      </c>
      <c r="E909">
        <f t="shared" si="107"/>
        <v>0</v>
      </c>
      <c r="G909">
        <v>859</v>
      </c>
      <c r="H909" s="13">
        <f t="shared" si="112"/>
        <v>1.8572577375266519E-2</v>
      </c>
      <c r="I909">
        <f t="shared" si="113"/>
        <v>120.46000823830448</v>
      </c>
      <c r="J909">
        <f t="shared" si="108"/>
        <v>469.01990287620902</v>
      </c>
      <c r="K909" s="27">
        <f t="shared" si="109"/>
        <v>4085.7656604655535</v>
      </c>
    </row>
    <row r="910" spans="1:11" x14ac:dyDescent="0.25">
      <c r="A910" s="26">
        <v>860</v>
      </c>
      <c r="B910" s="82">
        <f t="shared" si="110"/>
        <v>0</v>
      </c>
      <c r="C910" s="58">
        <f t="shared" si="106"/>
        <v>104.50616427295054</v>
      </c>
      <c r="D910" s="83">
        <f t="shared" si="111"/>
        <v>445.77777777777789</v>
      </c>
      <c r="E910">
        <f t="shared" si="107"/>
        <v>0</v>
      </c>
      <c r="G910">
        <v>860</v>
      </c>
      <c r="H910" s="13">
        <f t="shared" si="112"/>
        <v>1.8572577375266519E-2</v>
      </c>
      <c r="I910">
        <f t="shared" si="113"/>
        <v>120.47858081567975</v>
      </c>
      <c r="J910">
        <f t="shared" si="108"/>
        <v>469.04013371487326</v>
      </c>
      <c r="K910" s="27">
        <f t="shared" si="109"/>
        <v>4086.1180368114624</v>
      </c>
    </row>
    <row r="911" spans="1:11" x14ac:dyDescent="0.25">
      <c r="A911" s="26">
        <v>861</v>
      </c>
      <c r="B911" s="82">
        <f t="shared" si="110"/>
        <v>0</v>
      </c>
      <c r="C911" s="58">
        <f t="shared" si="106"/>
        <v>104.50616427295054</v>
      </c>
      <c r="D911" s="83">
        <f t="shared" si="111"/>
        <v>445.77777777777789</v>
      </c>
      <c r="E911">
        <f t="shared" si="107"/>
        <v>0</v>
      </c>
      <c r="G911">
        <v>861</v>
      </c>
      <c r="H911" s="13">
        <f t="shared" si="112"/>
        <v>1.8572577375266519E-2</v>
      </c>
      <c r="I911">
        <f t="shared" si="113"/>
        <v>120.49715339305502</v>
      </c>
      <c r="J911">
        <f t="shared" si="108"/>
        <v>469.06035343913322</v>
      </c>
      <c r="K911" s="27">
        <f t="shared" si="109"/>
        <v>4086.470234784581</v>
      </c>
    </row>
    <row r="912" spans="1:11" x14ac:dyDescent="0.25">
      <c r="A912" s="26">
        <v>862</v>
      </c>
      <c r="B912" s="82">
        <f t="shared" si="110"/>
        <v>0</v>
      </c>
      <c r="C912" s="58">
        <f t="shared" ref="C912:C975" si="114">($C$37-$C$36)/2000+C911</f>
        <v>104.50616427295054</v>
      </c>
      <c r="D912" s="83">
        <f t="shared" si="111"/>
        <v>445.77777777777789</v>
      </c>
      <c r="E912">
        <f t="shared" si="107"/>
        <v>0</v>
      </c>
      <c r="G912">
        <v>862</v>
      </c>
      <c r="H912" s="13">
        <f t="shared" si="112"/>
        <v>1.8572577375266519E-2</v>
      </c>
      <c r="I912">
        <f t="shared" si="113"/>
        <v>120.51572597043028</v>
      </c>
      <c r="J912">
        <f t="shared" si="108"/>
        <v>469.08056205892092</v>
      </c>
      <c r="K912" s="27">
        <f t="shared" si="109"/>
        <v>4086.822254532794</v>
      </c>
    </row>
    <row r="913" spans="1:11" x14ac:dyDescent="0.25">
      <c r="A913" s="26">
        <v>863</v>
      </c>
      <c r="B913" s="82">
        <f t="shared" si="110"/>
        <v>0</v>
      </c>
      <c r="C913" s="58">
        <f t="shared" si="114"/>
        <v>104.50616427295054</v>
      </c>
      <c r="D913" s="83">
        <f t="shared" si="111"/>
        <v>445.77777777777789</v>
      </c>
      <c r="E913">
        <f t="shared" si="107"/>
        <v>0</v>
      </c>
      <c r="G913">
        <v>863</v>
      </c>
      <c r="H913" s="13">
        <f t="shared" si="112"/>
        <v>1.8572577375266519E-2</v>
      </c>
      <c r="I913">
        <f t="shared" si="113"/>
        <v>120.53429854780555</v>
      </c>
      <c r="J913">
        <f t="shared" si="108"/>
        <v>469.10075958415115</v>
      </c>
      <c r="K913" s="27">
        <f t="shared" si="109"/>
        <v>4087.1740962037279</v>
      </c>
    </row>
    <row r="914" spans="1:11" x14ac:dyDescent="0.25">
      <c r="A914" s="26">
        <v>864</v>
      </c>
      <c r="B914" s="82">
        <f t="shared" si="110"/>
        <v>0</v>
      </c>
      <c r="C914" s="58">
        <f t="shared" si="114"/>
        <v>104.50616427295054</v>
      </c>
      <c r="D914" s="83">
        <f t="shared" si="111"/>
        <v>445.77777777777789</v>
      </c>
      <c r="E914">
        <f t="shared" si="107"/>
        <v>0</v>
      </c>
      <c r="G914">
        <v>864</v>
      </c>
      <c r="H914" s="13">
        <f t="shared" si="112"/>
        <v>1.8572577375266519E-2</v>
      </c>
      <c r="I914">
        <f t="shared" si="113"/>
        <v>120.55287112518081</v>
      </c>
      <c r="J914">
        <f t="shared" si="108"/>
        <v>469.12094602472132</v>
      </c>
      <c r="K914" s="27">
        <f t="shared" si="109"/>
        <v>4087.5257599447541</v>
      </c>
    </row>
    <row r="915" spans="1:11" x14ac:dyDescent="0.25">
      <c r="A915" s="26">
        <v>865</v>
      </c>
      <c r="B915" s="82">
        <f t="shared" si="110"/>
        <v>0</v>
      </c>
      <c r="C915" s="58">
        <f t="shared" si="114"/>
        <v>104.50616427295054</v>
      </c>
      <c r="D915" s="83">
        <f t="shared" si="111"/>
        <v>445.77777777777789</v>
      </c>
      <c r="E915">
        <f t="shared" si="107"/>
        <v>0</v>
      </c>
      <c r="G915">
        <v>865</v>
      </c>
      <c r="H915" s="13">
        <f t="shared" si="112"/>
        <v>1.8572577375266519E-2</v>
      </c>
      <c r="I915">
        <f t="shared" si="113"/>
        <v>120.57144370255608</v>
      </c>
      <c r="J915">
        <f t="shared" si="108"/>
        <v>469.14112139051184</v>
      </c>
      <c r="K915" s="27">
        <f t="shared" si="109"/>
        <v>4087.8772459029874</v>
      </c>
    </row>
    <row r="916" spans="1:11" x14ac:dyDescent="0.25">
      <c r="A916" s="26">
        <v>866</v>
      </c>
      <c r="B916" s="82">
        <f t="shared" si="110"/>
        <v>0</v>
      </c>
      <c r="C916" s="58">
        <f t="shared" si="114"/>
        <v>104.50616427295054</v>
      </c>
      <c r="D916" s="83">
        <f t="shared" si="111"/>
        <v>445.77777777777789</v>
      </c>
      <c r="E916">
        <f t="shared" si="107"/>
        <v>0</v>
      </c>
      <c r="G916">
        <v>866</v>
      </c>
      <c r="H916" s="13">
        <f t="shared" si="112"/>
        <v>1.8572577375266519E-2</v>
      </c>
      <c r="I916">
        <f t="shared" si="113"/>
        <v>120.59001627993135</v>
      </c>
      <c r="J916">
        <f t="shared" si="108"/>
        <v>469.16128569138584</v>
      </c>
      <c r="K916" s="27">
        <f t="shared" si="109"/>
        <v>4088.2285542252862</v>
      </c>
    </row>
    <row r="917" spans="1:11" x14ac:dyDescent="0.25">
      <c r="A917" s="26">
        <v>867</v>
      </c>
      <c r="B917" s="82">
        <f t="shared" si="110"/>
        <v>0</v>
      </c>
      <c r="C917" s="58">
        <f t="shared" si="114"/>
        <v>104.50616427295054</v>
      </c>
      <c r="D917" s="83">
        <f t="shared" si="111"/>
        <v>445.77777777777789</v>
      </c>
      <c r="E917">
        <f t="shared" si="107"/>
        <v>0</v>
      </c>
      <c r="G917">
        <v>867</v>
      </c>
      <c r="H917" s="13">
        <f t="shared" si="112"/>
        <v>1.8572577375266519E-2</v>
      </c>
      <c r="I917">
        <f t="shared" si="113"/>
        <v>120.60858885730661</v>
      </c>
      <c r="J917">
        <f t="shared" si="108"/>
        <v>469.18143893718928</v>
      </c>
      <c r="K917" s="27">
        <f t="shared" si="109"/>
        <v>4088.5796850582569</v>
      </c>
    </row>
    <row r="918" spans="1:11" x14ac:dyDescent="0.25">
      <c r="A918" s="26">
        <v>868</v>
      </c>
      <c r="B918" s="82">
        <f t="shared" si="110"/>
        <v>0</v>
      </c>
      <c r="C918" s="58">
        <f t="shared" si="114"/>
        <v>104.50616427295054</v>
      </c>
      <c r="D918" s="83">
        <f t="shared" si="111"/>
        <v>445.77777777777789</v>
      </c>
      <c r="E918">
        <f t="shared" si="107"/>
        <v>0</v>
      </c>
      <c r="G918">
        <v>868</v>
      </c>
      <c r="H918" s="13">
        <f t="shared" si="112"/>
        <v>1.8572577375266519E-2</v>
      </c>
      <c r="I918">
        <f t="shared" si="113"/>
        <v>120.62716143468188</v>
      </c>
      <c r="J918">
        <f t="shared" si="108"/>
        <v>469.20158113775125</v>
      </c>
      <c r="K918" s="27">
        <f t="shared" si="109"/>
        <v>4088.93063854825</v>
      </c>
    </row>
    <row r="919" spans="1:11" x14ac:dyDescent="0.25">
      <c r="A919" s="26">
        <v>869</v>
      </c>
      <c r="B919" s="82">
        <f t="shared" si="110"/>
        <v>0</v>
      </c>
      <c r="C919" s="58">
        <f t="shared" si="114"/>
        <v>104.50616427295054</v>
      </c>
      <c r="D919" s="83">
        <f t="shared" si="111"/>
        <v>445.77777777777789</v>
      </c>
      <c r="E919">
        <f t="shared" si="107"/>
        <v>0</v>
      </c>
      <c r="G919">
        <v>869</v>
      </c>
      <c r="H919" s="13">
        <f t="shared" si="112"/>
        <v>1.8572577375266519E-2</v>
      </c>
      <c r="I919">
        <f t="shared" si="113"/>
        <v>120.64573401205715</v>
      </c>
      <c r="J919">
        <f t="shared" si="108"/>
        <v>469.2217123028837</v>
      </c>
      <c r="K919" s="27">
        <f t="shared" si="109"/>
        <v>4089.2814148413631</v>
      </c>
    </row>
    <row r="920" spans="1:11" x14ac:dyDescent="0.25">
      <c r="A920" s="26">
        <v>870</v>
      </c>
      <c r="B920" s="82">
        <f t="shared" si="110"/>
        <v>0</v>
      </c>
      <c r="C920" s="58">
        <f t="shared" si="114"/>
        <v>104.50616427295054</v>
      </c>
      <c r="D920" s="83">
        <f t="shared" si="111"/>
        <v>445.77777777777789</v>
      </c>
      <c r="E920">
        <f t="shared" si="107"/>
        <v>0</v>
      </c>
      <c r="G920">
        <v>870</v>
      </c>
      <c r="H920" s="13">
        <f t="shared" si="112"/>
        <v>1.8572577375266519E-2</v>
      </c>
      <c r="I920">
        <f t="shared" si="113"/>
        <v>120.66430658943241</v>
      </c>
      <c r="J920">
        <f t="shared" si="108"/>
        <v>469.24183244238156</v>
      </c>
      <c r="K920" s="27">
        <f t="shared" si="109"/>
        <v>4089.6320140834409</v>
      </c>
    </row>
    <row r="921" spans="1:11" x14ac:dyDescent="0.25">
      <c r="A921" s="26">
        <v>871</v>
      </c>
      <c r="B921" s="82">
        <f t="shared" si="110"/>
        <v>0</v>
      </c>
      <c r="C921" s="58">
        <f t="shared" si="114"/>
        <v>104.50616427295054</v>
      </c>
      <c r="D921" s="83">
        <f t="shared" si="111"/>
        <v>445.77777777777789</v>
      </c>
      <c r="E921">
        <f t="shared" si="107"/>
        <v>0</v>
      </c>
      <c r="G921">
        <v>871</v>
      </c>
      <c r="H921" s="13">
        <f t="shared" si="112"/>
        <v>1.8572577375266519E-2</v>
      </c>
      <c r="I921">
        <f t="shared" si="113"/>
        <v>120.68287916680768</v>
      </c>
      <c r="J921">
        <f t="shared" si="108"/>
        <v>469.26194156602298</v>
      </c>
      <c r="K921" s="27">
        <f t="shared" si="109"/>
        <v>4089.9824364200772</v>
      </c>
    </row>
    <row r="922" spans="1:11" x14ac:dyDescent="0.25">
      <c r="A922" s="26">
        <v>872</v>
      </c>
      <c r="B922" s="82">
        <f t="shared" si="110"/>
        <v>0</v>
      </c>
      <c r="C922" s="58">
        <f t="shared" si="114"/>
        <v>104.50616427295054</v>
      </c>
      <c r="D922" s="83">
        <f t="shared" si="111"/>
        <v>445.77777777777789</v>
      </c>
      <c r="E922">
        <f t="shared" si="107"/>
        <v>0</v>
      </c>
      <c r="G922">
        <v>872</v>
      </c>
      <c r="H922" s="13">
        <f t="shared" si="112"/>
        <v>1.8572577375266519E-2</v>
      </c>
      <c r="I922">
        <f t="shared" si="113"/>
        <v>120.70145174418295</v>
      </c>
      <c r="J922">
        <f t="shared" si="108"/>
        <v>469.28203968356894</v>
      </c>
      <c r="K922" s="27">
        <f t="shared" si="109"/>
        <v>4090.3326819966101</v>
      </c>
    </row>
    <row r="923" spans="1:11" x14ac:dyDescent="0.25">
      <c r="A923" s="26">
        <v>873</v>
      </c>
      <c r="B923" s="82">
        <f t="shared" si="110"/>
        <v>0</v>
      </c>
      <c r="C923" s="58">
        <f t="shared" si="114"/>
        <v>104.50616427295054</v>
      </c>
      <c r="D923" s="83">
        <f t="shared" si="111"/>
        <v>445.77777777777789</v>
      </c>
      <c r="E923">
        <f t="shared" si="107"/>
        <v>0</v>
      </c>
      <c r="G923">
        <v>873</v>
      </c>
      <c r="H923" s="13">
        <f t="shared" si="112"/>
        <v>1.8572577375266519E-2</v>
      </c>
      <c r="I923">
        <f t="shared" si="113"/>
        <v>120.72002432155821</v>
      </c>
      <c r="J923">
        <f t="shared" si="108"/>
        <v>469.30212680476376</v>
      </c>
      <c r="K923" s="27">
        <f t="shared" si="109"/>
        <v>4090.6827509581312</v>
      </c>
    </row>
    <row r="924" spans="1:11" x14ac:dyDescent="0.25">
      <c r="A924" s="26">
        <v>874</v>
      </c>
      <c r="B924" s="82">
        <f t="shared" si="110"/>
        <v>0</v>
      </c>
      <c r="C924" s="58">
        <f t="shared" si="114"/>
        <v>104.50616427295054</v>
      </c>
      <c r="D924" s="83">
        <f t="shared" si="111"/>
        <v>445.77777777777789</v>
      </c>
      <c r="E924">
        <f t="shared" si="107"/>
        <v>0</v>
      </c>
      <c r="G924">
        <v>874</v>
      </c>
      <c r="H924" s="13">
        <f t="shared" si="112"/>
        <v>1.8572577375266519E-2</v>
      </c>
      <c r="I924">
        <f t="shared" si="113"/>
        <v>120.73859689893348</v>
      </c>
      <c r="J924">
        <f t="shared" si="108"/>
        <v>469.32220293933494</v>
      </c>
      <c r="K924" s="27">
        <f t="shared" si="109"/>
        <v>4091.0326434494814</v>
      </c>
    </row>
    <row r="925" spans="1:11" x14ac:dyDescent="0.25">
      <c r="A925" s="26">
        <v>875</v>
      </c>
      <c r="B925" s="82">
        <f t="shared" si="110"/>
        <v>0</v>
      </c>
      <c r="C925" s="58">
        <f t="shared" si="114"/>
        <v>104.50616427295054</v>
      </c>
      <c r="D925" s="83">
        <f t="shared" si="111"/>
        <v>445.77777777777789</v>
      </c>
      <c r="E925">
        <f t="shared" si="107"/>
        <v>0</v>
      </c>
      <c r="G925">
        <v>875</v>
      </c>
      <c r="H925" s="13">
        <f t="shared" si="112"/>
        <v>1.8572577375266519E-2</v>
      </c>
      <c r="I925">
        <f t="shared" si="113"/>
        <v>120.75716947630875</v>
      </c>
      <c r="J925">
        <f t="shared" si="108"/>
        <v>469.34226809699305</v>
      </c>
      <c r="K925" s="27">
        <f t="shared" si="109"/>
        <v>4091.3823596152474</v>
      </c>
    </row>
    <row r="926" spans="1:11" x14ac:dyDescent="0.25">
      <c r="A926" s="26">
        <v>876</v>
      </c>
      <c r="B926" s="82">
        <f t="shared" si="110"/>
        <v>0</v>
      </c>
      <c r="C926" s="58">
        <f t="shared" si="114"/>
        <v>104.50616427295054</v>
      </c>
      <c r="D926" s="83">
        <f t="shared" si="111"/>
        <v>445.77777777777789</v>
      </c>
      <c r="E926">
        <f t="shared" si="107"/>
        <v>0</v>
      </c>
      <c r="G926">
        <v>876</v>
      </c>
      <c r="H926" s="13">
        <f t="shared" si="112"/>
        <v>1.8572577375266519E-2</v>
      </c>
      <c r="I926">
        <f t="shared" si="113"/>
        <v>120.77574205368401</v>
      </c>
      <c r="J926">
        <f t="shared" si="108"/>
        <v>469.36232228743211</v>
      </c>
      <c r="K926" s="27">
        <f t="shared" si="109"/>
        <v>4091.7318995997725</v>
      </c>
    </row>
    <row r="927" spans="1:11" x14ac:dyDescent="0.25">
      <c r="A927" s="26">
        <v>877</v>
      </c>
      <c r="B927" s="82">
        <f t="shared" si="110"/>
        <v>0</v>
      </c>
      <c r="C927" s="58">
        <f t="shared" si="114"/>
        <v>104.50616427295054</v>
      </c>
      <c r="D927" s="83">
        <f t="shared" si="111"/>
        <v>445.77777777777789</v>
      </c>
      <c r="E927">
        <f t="shared" si="107"/>
        <v>0</v>
      </c>
      <c r="G927">
        <v>877</v>
      </c>
      <c r="H927" s="13">
        <f t="shared" si="112"/>
        <v>1.8572577375266519E-2</v>
      </c>
      <c r="I927">
        <f t="shared" si="113"/>
        <v>120.79431463105928</v>
      </c>
      <c r="J927">
        <f t="shared" si="108"/>
        <v>469.38236552032936</v>
      </c>
      <c r="K927" s="27">
        <f t="shared" si="109"/>
        <v>4092.081263547148</v>
      </c>
    </row>
    <row r="928" spans="1:11" x14ac:dyDescent="0.25">
      <c r="A928" s="26">
        <v>878</v>
      </c>
      <c r="B928" s="82">
        <f t="shared" si="110"/>
        <v>0</v>
      </c>
      <c r="C928" s="58">
        <f t="shared" si="114"/>
        <v>104.50616427295054</v>
      </c>
      <c r="D928" s="83">
        <f t="shared" si="111"/>
        <v>445.77777777777789</v>
      </c>
      <c r="E928">
        <f t="shared" si="107"/>
        <v>0</v>
      </c>
      <c r="G928">
        <v>878</v>
      </c>
      <c r="H928" s="13">
        <f t="shared" si="112"/>
        <v>1.8572577375266519E-2</v>
      </c>
      <c r="I928">
        <f t="shared" si="113"/>
        <v>120.81288720843455</v>
      </c>
      <c r="J928">
        <f t="shared" si="108"/>
        <v>469.40239780534523</v>
      </c>
      <c r="K928" s="27">
        <f t="shared" si="109"/>
        <v>4092.4304516012166</v>
      </c>
    </row>
    <row r="929" spans="1:11" x14ac:dyDescent="0.25">
      <c r="A929" s="26">
        <v>879</v>
      </c>
      <c r="B929" s="82">
        <f t="shared" si="110"/>
        <v>0</v>
      </c>
      <c r="C929" s="58">
        <f t="shared" si="114"/>
        <v>104.50616427295054</v>
      </c>
      <c r="D929" s="83">
        <f t="shared" si="111"/>
        <v>445.77777777777789</v>
      </c>
      <c r="E929">
        <f t="shared" si="107"/>
        <v>0</v>
      </c>
      <c r="G929">
        <v>879</v>
      </c>
      <c r="H929" s="13">
        <f t="shared" si="112"/>
        <v>1.8572577375266519E-2</v>
      </c>
      <c r="I929">
        <f t="shared" si="113"/>
        <v>120.83145978580981</v>
      </c>
      <c r="J929">
        <f t="shared" si="108"/>
        <v>469.42241915212378</v>
      </c>
      <c r="K929" s="27">
        <f t="shared" si="109"/>
        <v>4092.7794639055774</v>
      </c>
    </row>
    <row r="930" spans="1:11" x14ac:dyDescent="0.25">
      <c r="A930" s="26">
        <v>880</v>
      </c>
      <c r="B930" s="82">
        <f t="shared" si="110"/>
        <v>0</v>
      </c>
      <c r="C930" s="58">
        <f t="shared" si="114"/>
        <v>104.50616427295054</v>
      </c>
      <c r="D930" s="83">
        <f t="shared" si="111"/>
        <v>445.77777777777789</v>
      </c>
      <c r="E930">
        <f t="shared" si="107"/>
        <v>0</v>
      </c>
      <c r="G930">
        <v>880</v>
      </c>
      <c r="H930" s="13">
        <f t="shared" si="112"/>
        <v>1.8572577375266519E-2</v>
      </c>
      <c r="I930">
        <f t="shared" si="113"/>
        <v>120.85003236318508</v>
      </c>
      <c r="J930">
        <f t="shared" si="108"/>
        <v>469.44242957029235</v>
      </c>
      <c r="K930" s="27">
        <f t="shared" si="109"/>
        <v>4093.1283006035787</v>
      </c>
    </row>
    <row r="931" spans="1:11" x14ac:dyDescent="0.25">
      <c r="A931" s="26">
        <v>881</v>
      </c>
      <c r="B931" s="82">
        <f t="shared" si="110"/>
        <v>0</v>
      </c>
      <c r="C931" s="58">
        <f t="shared" si="114"/>
        <v>104.50616427295054</v>
      </c>
      <c r="D931" s="83">
        <f t="shared" si="111"/>
        <v>445.77777777777789</v>
      </c>
      <c r="E931">
        <f t="shared" si="107"/>
        <v>0</v>
      </c>
      <c r="G931">
        <v>881</v>
      </c>
      <c r="H931" s="13">
        <f t="shared" si="112"/>
        <v>1.8572577375266519E-2</v>
      </c>
      <c r="I931">
        <f t="shared" si="113"/>
        <v>120.86860494056035</v>
      </c>
      <c r="J931">
        <f t="shared" si="108"/>
        <v>469.46242906946173</v>
      </c>
      <c r="K931" s="27">
        <f t="shared" si="109"/>
        <v>4093.476961838322</v>
      </c>
    </row>
    <row r="932" spans="1:11" x14ac:dyDescent="0.25">
      <c r="A932" s="26">
        <v>882</v>
      </c>
      <c r="B932" s="82">
        <f t="shared" si="110"/>
        <v>0</v>
      </c>
      <c r="C932" s="58">
        <f t="shared" si="114"/>
        <v>104.50616427295054</v>
      </c>
      <c r="D932" s="83">
        <f t="shared" si="111"/>
        <v>445.77777777777789</v>
      </c>
      <c r="E932">
        <f t="shared" si="107"/>
        <v>0</v>
      </c>
      <c r="G932">
        <v>882</v>
      </c>
      <c r="H932" s="13">
        <f t="shared" si="112"/>
        <v>1.8572577375266519E-2</v>
      </c>
      <c r="I932">
        <f t="shared" si="113"/>
        <v>120.88717751793561</v>
      </c>
      <c r="J932">
        <f t="shared" si="108"/>
        <v>469.48241765922626</v>
      </c>
      <c r="K932" s="27">
        <f t="shared" si="109"/>
        <v>4093.8254477526702</v>
      </c>
    </row>
    <row r="933" spans="1:11" x14ac:dyDescent="0.25">
      <c r="A933" s="26">
        <v>883</v>
      </c>
      <c r="B933" s="82">
        <f t="shared" si="110"/>
        <v>0</v>
      </c>
      <c r="C933" s="58">
        <f t="shared" si="114"/>
        <v>104.50616427295054</v>
      </c>
      <c r="D933" s="83">
        <f t="shared" si="111"/>
        <v>445.77777777777789</v>
      </c>
      <c r="E933">
        <f t="shared" si="107"/>
        <v>0</v>
      </c>
      <c r="G933">
        <v>883</v>
      </c>
      <c r="H933" s="13">
        <f t="shared" si="112"/>
        <v>1.8572577375266519E-2</v>
      </c>
      <c r="I933">
        <f t="shared" si="113"/>
        <v>120.90575009531088</v>
      </c>
      <c r="J933">
        <f t="shared" si="108"/>
        <v>469.50239534916386</v>
      </c>
      <c r="K933" s="27">
        <f t="shared" si="109"/>
        <v>4094.173758489233</v>
      </c>
    </row>
    <row r="934" spans="1:11" x14ac:dyDescent="0.25">
      <c r="A934" s="26">
        <v>884</v>
      </c>
      <c r="B934" s="82">
        <f t="shared" si="110"/>
        <v>0</v>
      </c>
      <c r="C934" s="58">
        <f t="shared" si="114"/>
        <v>104.50616427295054</v>
      </c>
      <c r="D934" s="83">
        <f t="shared" si="111"/>
        <v>445.77777777777789</v>
      </c>
      <c r="E934">
        <f t="shared" si="107"/>
        <v>0</v>
      </c>
      <c r="G934">
        <v>884</v>
      </c>
      <c r="H934" s="13">
        <f t="shared" si="112"/>
        <v>1.8572577375266519E-2</v>
      </c>
      <c r="I934">
        <f t="shared" si="113"/>
        <v>120.92432267268615</v>
      </c>
      <c r="J934">
        <f t="shared" si="108"/>
        <v>469.5223621488359</v>
      </c>
      <c r="K934" s="27">
        <f t="shared" si="109"/>
        <v>4094.5218941903804</v>
      </c>
    </row>
    <row r="935" spans="1:11" x14ac:dyDescent="0.25">
      <c r="A935" s="26">
        <v>885</v>
      </c>
      <c r="B935" s="82">
        <f t="shared" si="110"/>
        <v>0</v>
      </c>
      <c r="C935" s="58">
        <f t="shared" si="114"/>
        <v>104.50616427295054</v>
      </c>
      <c r="D935" s="83">
        <f t="shared" si="111"/>
        <v>445.77777777777789</v>
      </c>
      <c r="E935">
        <f t="shared" si="107"/>
        <v>0</v>
      </c>
      <c r="G935">
        <v>885</v>
      </c>
      <c r="H935" s="13">
        <f t="shared" si="112"/>
        <v>1.8572577375266519E-2</v>
      </c>
      <c r="I935">
        <f t="shared" si="113"/>
        <v>120.94289525006141</v>
      </c>
      <c r="J935">
        <f t="shared" si="108"/>
        <v>469.54231806778739</v>
      </c>
      <c r="K935" s="27">
        <f t="shared" si="109"/>
        <v>4094.869854998235</v>
      </c>
    </row>
    <row r="936" spans="1:11" x14ac:dyDescent="0.25">
      <c r="A936" s="26">
        <v>886</v>
      </c>
      <c r="B936" s="82">
        <f t="shared" si="110"/>
        <v>0</v>
      </c>
      <c r="C936" s="58">
        <f t="shared" si="114"/>
        <v>104.50616427295054</v>
      </c>
      <c r="D936" s="83">
        <f t="shared" si="111"/>
        <v>445.77777777777789</v>
      </c>
      <c r="E936">
        <f t="shared" si="107"/>
        <v>0</v>
      </c>
      <c r="G936">
        <v>886</v>
      </c>
      <c r="H936" s="13">
        <f t="shared" si="112"/>
        <v>1.8572577375266519E-2</v>
      </c>
      <c r="I936">
        <f t="shared" si="113"/>
        <v>120.96146782743668</v>
      </c>
      <c r="J936">
        <f t="shared" si="108"/>
        <v>469.56226311554718</v>
      </c>
      <c r="K936" s="27">
        <f t="shared" si="109"/>
        <v>4095.2176410546813</v>
      </c>
    </row>
    <row r="937" spans="1:11" x14ac:dyDescent="0.25">
      <c r="A937" s="26">
        <v>887</v>
      </c>
      <c r="B937" s="82">
        <f t="shared" si="110"/>
        <v>0</v>
      </c>
      <c r="C937" s="58">
        <f t="shared" si="114"/>
        <v>104.50616427295054</v>
      </c>
      <c r="D937" s="83">
        <f t="shared" si="111"/>
        <v>445.77777777777789</v>
      </c>
      <c r="E937">
        <f t="shared" si="107"/>
        <v>0</v>
      </c>
      <c r="G937">
        <v>887</v>
      </c>
      <c r="H937" s="13">
        <f t="shared" si="112"/>
        <v>1.8572577375266519E-2</v>
      </c>
      <c r="I937">
        <f t="shared" si="113"/>
        <v>120.98004040481194</v>
      </c>
      <c r="J937">
        <f t="shared" si="108"/>
        <v>469.58219730162756</v>
      </c>
      <c r="K937" s="27">
        <f t="shared" si="109"/>
        <v>4095.5652525013556</v>
      </c>
    </row>
    <row r="938" spans="1:11" x14ac:dyDescent="0.25">
      <c r="A938" s="26">
        <v>888</v>
      </c>
      <c r="B938" s="82">
        <f t="shared" si="110"/>
        <v>0</v>
      </c>
      <c r="C938" s="58">
        <f t="shared" si="114"/>
        <v>104.50616427295054</v>
      </c>
      <c r="D938" s="83">
        <f t="shared" si="111"/>
        <v>445.77777777777789</v>
      </c>
      <c r="E938">
        <f t="shared" si="107"/>
        <v>0</v>
      </c>
      <c r="G938">
        <v>888</v>
      </c>
      <c r="H938" s="13">
        <f t="shared" si="112"/>
        <v>1.8572577375266519E-2</v>
      </c>
      <c r="I938">
        <f t="shared" si="113"/>
        <v>120.99861298218721</v>
      </c>
      <c r="J938">
        <f t="shared" si="108"/>
        <v>469.60212063552473</v>
      </c>
      <c r="K938" s="27">
        <f t="shared" si="109"/>
        <v>4095.9126894796555</v>
      </c>
    </row>
    <row r="939" spans="1:11" x14ac:dyDescent="0.25">
      <c r="A939" s="26">
        <v>889</v>
      </c>
      <c r="B939" s="82">
        <f t="shared" si="110"/>
        <v>0</v>
      </c>
      <c r="C939" s="58">
        <f t="shared" si="114"/>
        <v>104.50616427295054</v>
      </c>
      <c r="D939" s="83">
        <f t="shared" si="111"/>
        <v>445.77777777777789</v>
      </c>
      <c r="E939">
        <f t="shared" si="107"/>
        <v>0</v>
      </c>
      <c r="G939">
        <v>889</v>
      </c>
      <c r="H939" s="13">
        <f t="shared" si="112"/>
        <v>1.8572577375266519E-2</v>
      </c>
      <c r="I939">
        <f t="shared" si="113"/>
        <v>121.01718555956248</v>
      </c>
      <c r="J939">
        <f t="shared" si="108"/>
        <v>469.62203312671858</v>
      </c>
      <c r="K939" s="27">
        <f t="shared" si="109"/>
        <v>4096.2599521307366</v>
      </c>
    </row>
    <row r="940" spans="1:11" x14ac:dyDescent="0.25">
      <c r="A940" s="26">
        <v>890</v>
      </c>
      <c r="B940" s="82">
        <f t="shared" si="110"/>
        <v>0</v>
      </c>
      <c r="C940" s="58">
        <f t="shared" si="114"/>
        <v>104.50616427295054</v>
      </c>
      <c r="D940" s="83">
        <f t="shared" si="111"/>
        <v>445.77777777777789</v>
      </c>
      <c r="E940">
        <f t="shared" si="107"/>
        <v>0</v>
      </c>
      <c r="G940">
        <v>890</v>
      </c>
      <c r="H940" s="13">
        <f t="shared" si="112"/>
        <v>1.8572577375266519E-2</v>
      </c>
      <c r="I940">
        <f t="shared" si="113"/>
        <v>121.03575813693774</v>
      </c>
      <c r="J940">
        <f t="shared" si="108"/>
        <v>469.64193478467286</v>
      </c>
      <c r="K940" s="27">
        <f t="shared" si="109"/>
        <v>4096.6070405955115</v>
      </c>
    </row>
    <row r="941" spans="1:11" x14ac:dyDescent="0.25">
      <c r="A941" s="26">
        <v>891</v>
      </c>
      <c r="B941" s="82">
        <f t="shared" si="110"/>
        <v>0</v>
      </c>
      <c r="C941" s="58">
        <f t="shared" si="114"/>
        <v>104.50616427295054</v>
      </c>
      <c r="D941" s="83">
        <f t="shared" si="111"/>
        <v>445.77777777777789</v>
      </c>
      <c r="E941">
        <f t="shared" si="107"/>
        <v>0</v>
      </c>
      <c r="G941">
        <v>891</v>
      </c>
      <c r="H941" s="13">
        <f t="shared" si="112"/>
        <v>1.8572577375266519E-2</v>
      </c>
      <c r="I941">
        <f t="shared" si="113"/>
        <v>121.05433071431301</v>
      </c>
      <c r="J941">
        <f t="shared" si="108"/>
        <v>469.66182561883511</v>
      </c>
      <c r="K941" s="27">
        <f t="shared" si="109"/>
        <v>4096.9539550146555</v>
      </c>
    </row>
    <row r="942" spans="1:11" x14ac:dyDescent="0.25">
      <c r="A942" s="26">
        <v>892</v>
      </c>
      <c r="B942" s="82">
        <f t="shared" si="110"/>
        <v>0</v>
      </c>
      <c r="C942" s="58">
        <f t="shared" si="114"/>
        <v>104.50616427295054</v>
      </c>
      <c r="D942" s="83">
        <f t="shared" si="111"/>
        <v>445.77777777777789</v>
      </c>
      <c r="E942">
        <f t="shared" si="107"/>
        <v>0</v>
      </c>
      <c r="G942">
        <v>892</v>
      </c>
      <c r="H942" s="13">
        <f t="shared" si="112"/>
        <v>1.8572577375266519E-2</v>
      </c>
      <c r="I942">
        <f t="shared" si="113"/>
        <v>121.07290329168828</v>
      </c>
      <c r="J942">
        <f t="shared" si="108"/>
        <v>469.68170563863686</v>
      </c>
      <c r="K942" s="27">
        <f t="shared" si="109"/>
        <v>4097.3006955286028</v>
      </c>
    </row>
    <row r="943" spans="1:11" x14ac:dyDescent="0.25">
      <c r="A943" s="26">
        <v>893</v>
      </c>
      <c r="B943" s="82">
        <f t="shared" si="110"/>
        <v>0</v>
      </c>
      <c r="C943" s="58">
        <f t="shared" si="114"/>
        <v>104.50616427295054</v>
      </c>
      <c r="D943" s="83">
        <f t="shared" si="111"/>
        <v>445.77777777777789</v>
      </c>
      <c r="E943">
        <f t="shared" si="107"/>
        <v>0</v>
      </c>
      <c r="G943">
        <v>893</v>
      </c>
      <c r="H943" s="13">
        <f t="shared" si="112"/>
        <v>1.8572577375266519E-2</v>
      </c>
      <c r="I943">
        <f t="shared" si="113"/>
        <v>121.09147586906354</v>
      </c>
      <c r="J943">
        <f t="shared" si="108"/>
        <v>469.70157485349341</v>
      </c>
      <c r="K943" s="27">
        <f t="shared" si="109"/>
        <v>4097.6472622775445</v>
      </c>
    </row>
    <row r="944" spans="1:11" x14ac:dyDescent="0.25">
      <c r="A944" s="26">
        <v>894</v>
      </c>
      <c r="B944" s="82">
        <f t="shared" si="110"/>
        <v>0</v>
      </c>
      <c r="C944" s="58">
        <f t="shared" si="114"/>
        <v>104.50616427295054</v>
      </c>
      <c r="D944" s="83">
        <f t="shared" si="111"/>
        <v>445.77777777777789</v>
      </c>
      <c r="E944">
        <f t="shared" si="107"/>
        <v>0</v>
      </c>
      <c r="G944">
        <v>894</v>
      </c>
      <c r="H944" s="13">
        <f t="shared" si="112"/>
        <v>1.8572577375266519E-2</v>
      </c>
      <c r="I944">
        <f t="shared" si="113"/>
        <v>121.11004844643881</v>
      </c>
      <c r="J944">
        <f t="shared" si="108"/>
        <v>469.72143327280418</v>
      </c>
      <c r="K944" s="27">
        <f t="shared" si="109"/>
        <v>4097.9936554014412</v>
      </c>
    </row>
    <row r="945" spans="1:11" x14ac:dyDescent="0.25">
      <c r="A945" s="26">
        <v>895</v>
      </c>
      <c r="B945" s="82">
        <f t="shared" si="110"/>
        <v>0</v>
      </c>
      <c r="C945" s="58">
        <f t="shared" si="114"/>
        <v>104.50616427295054</v>
      </c>
      <c r="D945" s="83">
        <f t="shared" si="111"/>
        <v>445.77777777777789</v>
      </c>
      <c r="E945">
        <f t="shared" si="107"/>
        <v>0</v>
      </c>
      <c r="G945">
        <v>895</v>
      </c>
      <c r="H945" s="13">
        <f t="shared" si="112"/>
        <v>1.8572577375266519E-2</v>
      </c>
      <c r="I945">
        <f t="shared" si="113"/>
        <v>121.12862102381408</v>
      </c>
      <c r="J945">
        <f t="shared" si="108"/>
        <v>469.74128090595252</v>
      </c>
      <c r="K945" s="27">
        <f t="shared" si="109"/>
        <v>4098.3398750400092</v>
      </c>
    </row>
    <row r="946" spans="1:11" x14ac:dyDescent="0.25">
      <c r="A946" s="26">
        <v>896</v>
      </c>
      <c r="B946" s="82">
        <f t="shared" si="110"/>
        <v>0</v>
      </c>
      <c r="C946" s="58">
        <f t="shared" si="114"/>
        <v>104.50616427295054</v>
      </c>
      <c r="D946" s="83">
        <f t="shared" si="111"/>
        <v>445.77777777777789</v>
      </c>
      <c r="E946">
        <f t="shared" si="107"/>
        <v>0</v>
      </c>
      <c r="G946">
        <v>896</v>
      </c>
      <c r="H946" s="13">
        <f t="shared" si="112"/>
        <v>1.8572577375266519E-2</v>
      </c>
      <c r="I946">
        <f t="shared" si="113"/>
        <v>121.14719360118934</v>
      </c>
      <c r="J946">
        <f t="shared" si="108"/>
        <v>469.76111776230579</v>
      </c>
      <c r="K946" s="27">
        <f t="shared" si="109"/>
        <v>4098.685921332728</v>
      </c>
    </row>
    <row r="947" spans="1:11" x14ac:dyDescent="0.25">
      <c r="A947" s="26">
        <v>897</v>
      </c>
      <c r="B947" s="82">
        <f t="shared" si="110"/>
        <v>0</v>
      </c>
      <c r="C947" s="58">
        <f t="shared" si="114"/>
        <v>104.50616427295054</v>
      </c>
      <c r="D947" s="83">
        <f t="shared" si="111"/>
        <v>445.77777777777789</v>
      </c>
      <c r="E947">
        <f t="shared" ref="E947:E1010" si="115">((D947^2)+(D947*D948)+(D948^2))*B948/3</f>
        <v>0</v>
      </c>
      <c r="G947">
        <v>897</v>
      </c>
      <c r="H947" s="13">
        <f t="shared" si="112"/>
        <v>1.8572577375266519E-2</v>
      </c>
      <c r="I947">
        <f t="shared" si="113"/>
        <v>121.16576617856461</v>
      </c>
      <c r="J947">
        <f t="shared" ref="J947:J1010" si="116">IF($G$28&lt;$C$14,0,((($C$11^2)-((I947-$C$13)^2))^0.5)+$C$16)</f>
        <v>469.78094385121551</v>
      </c>
      <c r="K947" s="27">
        <f t="shared" ref="K947:K1010" si="117">((J947^2)+(J947*J948)+(J948^2))*H948/3</f>
        <v>4099.0317944188409</v>
      </c>
    </row>
    <row r="948" spans="1:11" x14ac:dyDescent="0.25">
      <c r="A948" s="26">
        <v>898</v>
      </c>
      <c r="B948" s="82">
        <f t="shared" ref="B948:B1011" si="118">C948-C947</f>
        <v>0</v>
      </c>
      <c r="C948" s="58">
        <f t="shared" si="114"/>
        <v>104.50616427295054</v>
      </c>
      <c r="D948" s="83">
        <f t="shared" ref="D948:D1011" si="119">IF($G$28&lt;$C$14,0,((($C$11^2)-((C948-$C$13)^2))^0.5)+$C$16)</f>
        <v>445.77777777777789</v>
      </c>
      <c r="E948">
        <f t="shared" si="115"/>
        <v>0</v>
      </c>
      <c r="G948">
        <v>898</v>
      </c>
      <c r="H948" s="13">
        <f t="shared" ref="H948:H1011" si="120">I948-I947</f>
        <v>1.8572577375266519E-2</v>
      </c>
      <c r="I948">
        <f t="shared" ref="I948:I1011" si="121">($G$27-$C$14)/2000+I947</f>
        <v>121.18433875593988</v>
      </c>
      <c r="J948">
        <f t="shared" si="116"/>
        <v>469.80075918201726</v>
      </c>
      <c r="K948" s="27">
        <f t="shared" si="117"/>
        <v>4099.3774944373554</v>
      </c>
    </row>
    <row r="949" spans="1:11" x14ac:dyDescent="0.25">
      <c r="A949" s="26">
        <v>899</v>
      </c>
      <c r="B949" s="82">
        <f t="shared" si="118"/>
        <v>0</v>
      </c>
      <c r="C949" s="58">
        <f t="shared" si="114"/>
        <v>104.50616427295054</v>
      </c>
      <c r="D949" s="83">
        <f t="shared" si="119"/>
        <v>445.77777777777789</v>
      </c>
      <c r="E949">
        <f t="shared" si="115"/>
        <v>0</v>
      </c>
      <c r="G949">
        <v>899</v>
      </c>
      <c r="H949" s="13">
        <f t="shared" si="120"/>
        <v>1.8572577375266519E-2</v>
      </c>
      <c r="I949">
        <f t="shared" si="121"/>
        <v>121.20291133331514</v>
      </c>
      <c r="J949">
        <f t="shared" si="116"/>
        <v>469.82056376403079</v>
      </c>
      <c r="K949" s="27">
        <f t="shared" si="117"/>
        <v>4099.723021527042</v>
      </c>
    </row>
    <row r="950" spans="1:11" x14ac:dyDescent="0.25">
      <c r="A950" s="26">
        <v>900</v>
      </c>
      <c r="B950" s="82">
        <f t="shared" si="118"/>
        <v>0</v>
      </c>
      <c r="C950" s="58">
        <f t="shared" si="114"/>
        <v>104.50616427295054</v>
      </c>
      <c r="D950" s="83">
        <f t="shared" si="119"/>
        <v>445.77777777777789</v>
      </c>
      <c r="E950">
        <f t="shared" si="115"/>
        <v>0</v>
      </c>
      <c r="G950">
        <v>900</v>
      </c>
      <c r="H950" s="13">
        <f t="shared" si="120"/>
        <v>1.8572577375266519E-2</v>
      </c>
      <c r="I950">
        <f t="shared" si="121"/>
        <v>121.22148391069041</v>
      </c>
      <c r="J950">
        <f t="shared" si="116"/>
        <v>469.84035760656002</v>
      </c>
      <c r="K950" s="27">
        <f t="shared" si="117"/>
        <v>4100.0683758264367</v>
      </c>
    </row>
    <row r="951" spans="1:11" x14ac:dyDescent="0.25">
      <c r="A951" s="26">
        <v>901</v>
      </c>
      <c r="B951" s="82">
        <f t="shared" si="118"/>
        <v>0</v>
      </c>
      <c r="C951" s="58">
        <f t="shared" si="114"/>
        <v>104.50616427295054</v>
      </c>
      <c r="D951" s="83">
        <f t="shared" si="119"/>
        <v>445.77777777777789</v>
      </c>
      <c r="E951">
        <f t="shared" si="115"/>
        <v>0</v>
      </c>
      <c r="G951">
        <v>901</v>
      </c>
      <c r="H951" s="13">
        <f t="shared" si="120"/>
        <v>1.8572577375266519E-2</v>
      </c>
      <c r="I951">
        <f t="shared" si="121"/>
        <v>121.24005648806568</v>
      </c>
      <c r="J951">
        <f t="shared" si="116"/>
        <v>469.86014071889321</v>
      </c>
      <c r="K951" s="27">
        <f t="shared" si="117"/>
        <v>4100.4135574738411</v>
      </c>
    </row>
    <row r="952" spans="1:11" x14ac:dyDescent="0.25">
      <c r="A952" s="26">
        <v>902</v>
      </c>
      <c r="B952" s="82">
        <f t="shared" si="118"/>
        <v>0</v>
      </c>
      <c r="C952" s="58">
        <f t="shared" si="114"/>
        <v>104.50616427295054</v>
      </c>
      <c r="D952" s="83">
        <f t="shared" si="119"/>
        <v>445.77777777777789</v>
      </c>
      <c r="E952">
        <f t="shared" si="115"/>
        <v>0</v>
      </c>
      <c r="G952">
        <v>902</v>
      </c>
      <c r="H952" s="13">
        <f t="shared" si="120"/>
        <v>1.8572577375266519E-2</v>
      </c>
      <c r="I952">
        <f t="shared" si="121"/>
        <v>121.25862906544094</v>
      </c>
      <c r="J952">
        <f t="shared" si="116"/>
        <v>469.87991311030265</v>
      </c>
      <c r="K952" s="27">
        <f t="shared" si="117"/>
        <v>4100.758566607321</v>
      </c>
    </row>
    <row r="953" spans="1:11" x14ac:dyDescent="0.25">
      <c r="A953" s="26">
        <v>903</v>
      </c>
      <c r="B953" s="82">
        <f t="shared" si="118"/>
        <v>0</v>
      </c>
      <c r="C953" s="58">
        <f t="shared" si="114"/>
        <v>104.50616427295054</v>
      </c>
      <c r="D953" s="83">
        <f t="shared" si="119"/>
        <v>445.77777777777789</v>
      </c>
      <c r="E953">
        <f t="shared" si="115"/>
        <v>0</v>
      </c>
      <c r="G953">
        <v>903</v>
      </c>
      <c r="H953" s="13">
        <f t="shared" si="120"/>
        <v>1.8572577375266519E-2</v>
      </c>
      <c r="I953">
        <f t="shared" si="121"/>
        <v>121.27720164281621</v>
      </c>
      <c r="J953">
        <f t="shared" si="116"/>
        <v>469.8996747900452</v>
      </c>
      <c r="K953" s="27">
        <f t="shared" si="117"/>
        <v>4101.1034033647111</v>
      </c>
    </row>
    <row r="954" spans="1:11" x14ac:dyDescent="0.25">
      <c r="A954" s="26">
        <v>904</v>
      </c>
      <c r="B954" s="82">
        <f t="shared" si="118"/>
        <v>0</v>
      </c>
      <c r="C954" s="58">
        <f t="shared" si="114"/>
        <v>104.50616427295054</v>
      </c>
      <c r="D954" s="83">
        <f t="shared" si="119"/>
        <v>445.77777777777789</v>
      </c>
      <c r="E954">
        <f t="shared" si="115"/>
        <v>0</v>
      </c>
      <c r="G954">
        <v>904</v>
      </c>
      <c r="H954" s="13">
        <f t="shared" si="120"/>
        <v>1.8572577375266519E-2</v>
      </c>
      <c r="I954">
        <f t="shared" si="121"/>
        <v>121.29577422019148</v>
      </c>
      <c r="J954">
        <f t="shared" si="116"/>
        <v>469.91942576736187</v>
      </c>
      <c r="K954" s="27">
        <f t="shared" si="117"/>
        <v>4101.4480678836089</v>
      </c>
    </row>
    <row r="955" spans="1:11" x14ac:dyDescent="0.25">
      <c r="A955" s="26">
        <v>905</v>
      </c>
      <c r="B955" s="82">
        <f t="shared" si="118"/>
        <v>0</v>
      </c>
      <c r="C955" s="58">
        <f t="shared" si="114"/>
        <v>104.50616427295054</v>
      </c>
      <c r="D955" s="83">
        <f t="shared" si="119"/>
        <v>445.77777777777789</v>
      </c>
      <c r="E955">
        <f t="shared" si="115"/>
        <v>0</v>
      </c>
      <c r="G955">
        <v>905</v>
      </c>
      <c r="H955" s="13">
        <f t="shared" si="120"/>
        <v>1.8572577375266519E-2</v>
      </c>
      <c r="I955">
        <f t="shared" si="121"/>
        <v>121.31434679756674</v>
      </c>
      <c r="J955">
        <f t="shared" si="116"/>
        <v>469.93916605147814</v>
      </c>
      <c r="K955" s="27">
        <f t="shared" si="117"/>
        <v>4101.7925603013837</v>
      </c>
    </row>
    <row r="956" spans="1:11" x14ac:dyDescent="0.25">
      <c r="A956" s="26">
        <v>906</v>
      </c>
      <c r="B956" s="82">
        <f t="shared" si="118"/>
        <v>0</v>
      </c>
      <c r="C956" s="58">
        <f t="shared" si="114"/>
        <v>104.50616427295054</v>
      </c>
      <c r="D956" s="83">
        <f t="shared" si="119"/>
        <v>445.77777777777789</v>
      </c>
      <c r="E956">
        <f t="shared" si="115"/>
        <v>0</v>
      </c>
      <c r="G956">
        <v>906</v>
      </c>
      <c r="H956" s="13">
        <f t="shared" si="120"/>
        <v>1.8572577375266519E-2</v>
      </c>
      <c r="I956">
        <f t="shared" si="121"/>
        <v>121.33291937494201</v>
      </c>
      <c r="J956">
        <f t="shared" si="116"/>
        <v>469.95889565160388</v>
      </c>
      <c r="K956" s="27">
        <f t="shared" si="117"/>
        <v>4102.1368807551708</v>
      </c>
    </row>
    <row r="957" spans="1:11" x14ac:dyDescent="0.25">
      <c r="A957" s="26">
        <v>907</v>
      </c>
      <c r="B957" s="82">
        <f t="shared" si="118"/>
        <v>0</v>
      </c>
      <c r="C957" s="58">
        <f t="shared" si="114"/>
        <v>104.50616427295054</v>
      </c>
      <c r="D957" s="83">
        <f t="shared" si="119"/>
        <v>445.77777777777789</v>
      </c>
      <c r="E957">
        <f t="shared" si="115"/>
        <v>0</v>
      </c>
      <c r="G957">
        <v>907</v>
      </c>
      <c r="H957" s="13">
        <f t="shared" si="120"/>
        <v>1.8572577375266519E-2</v>
      </c>
      <c r="I957">
        <f t="shared" si="121"/>
        <v>121.35149195231728</v>
      </c>
      <c r="J957">
        <f t="shared" si="116"/>
        <v>469.97861457693341</v>
      </c>
      <c r="K957" s="27">
        <f t="shared" si="117"/>
        <v>4102.4810293818728</v>
      </c>
    </row>
    <row r="958" spans="1:11" x14ac:dyDescent="0.25">
      <c r="A958" s="26">
        <v>908</v>
      </c>
      <c r="B958" s="82">
        <f t="shared" si="118"/>
        <v>0</v>
      </c>
      <c r="C958" s="58">
        <f t="shared" si="114"/>
        <v>104.50616427295054</v>
      </c>
      <c r="D958" s="83">
        <f t="shared" si="119"/>
        <v>445.77777777777789</v>
      </c>
      <c r="E958">
        <f t="shared" si="115"/>
        <v>0</v>
      </c>
      <c r="G958">
        <v>908</v>
      </c>
      <c r="H958" s="13">
        <f t="shared" si="120"/>
        <v>1.8572577375266519E-2</v>
      </c>
      <c r="I958">
        <f t="shared" si="121"/>
        <v>121.37006452969254</v>
      </c>
      <c r="J958">
        <f t="shared" si="116"/>
        <v>469.99832283664551</v>
      </c>
      <c r="K958" s="27">
        <f t="shared" si="117"/>
        <v>4102.8250063181649</v>
      </c>
    </row>
    <row r="959" spans="1:11" x14ac:dyDescent="0.25">
      <c r="A959" s="26">
        <v>909</v>
      </c>
      <c r="B959" s="82">
        <f t="shared" si="118"/>
        <v>0</v>
      </c>
      <c r="C959" s="58">
        <f t="shared" si="114"/>
        <v>104.50616427295054</v>
      </c>
      <c r="D959" s="83">
        <f t="shared" si="119"/>
        <v>445.77777777777789</v>
      </c>
      <c r="E959">
        <f t="shared" si="115"/>
        <v>0</v>
      </c>
      <c r="G959">
        <v>909</v>
      </c>
      <c r="H959" s="13">
        <f t="shared" si="120"/>
        <v>1.8572577375266519E-2</v>
      </c>
      <c r="I959">
        <f t="shared" si="121"/>
        <v>121.38863710706781</v>
      </c>
      <c r="J959">
        <f t="shared" si="116"/>
        <v>470.01802043990358</v>
      </c>
      <c r="K959" s="27">
        <f t="shared" si="117"/>
        <v>4103.1688117004896</v>
      </c>
    </row>
    <row r="960" spans="1:11" x14ac:dyDescent="0.25">
      <c r="A960" s="26">
        <v>910</v>
      </c>
      <c r="B960" s="82">
        <f t="shared" si="118"/>
        <v>0</v>
      </c>
      <c r="C960" s="58">
        <f t="shared" si="114"/>
        <v>104.50616427295054</v>
      </c>
      <c r="D960" s="83">
        <f t="shared" si="119"/>
        <v>445.77777777777789</v>
      </c>
      <c r="E960">
        <f t="shared" si="115"/>
        <v>0</v>
      </c>
      <c r="G960">
        <v>910</v>
      </c>
      <c r="H960" s="13">
        <f t="shared" si="120"/>
        <v>1.8572577375266519E-2</v>
      </c>
      <c r="I960">
        <f t="shared" si="121"/>
        <v>121.40720968444307</v>
      </c>
      <c r="J960">
        <f t="shared" si="116"/>
        <v>470.03770739585542</v>
      </c>
      <c r="K960" s="27">
        <f t="shared" si="117"/>
        <v>4103.5124456650565</v>
      </c>
    </row>
    <row r="961" spans="1:11" x14ac:dyDescent="0.25">
      <c r="A961" s="26">
        <v>911</v>
      </c>
      <c r="B961" s="82">
        <f t="shared" si="118"/>
        <v>0</v>
      </c>
      <c r="C961" s="58">
        <f t="shared" si="114"/>
        <v>104.50616427295054</v>
      </c>
      <c r="D961" s="83">
        <f t="shared" si="119"/>
        <v>445.77777777777789</v>
      </c>
      <c r="E961">
        <f t="shared" si="115"/>
        <v>0</v>
      </c>
      <c r="G961">
        <v>911</v>
      </c>
      <c r="H961" s="13">
        <f t="shared" si="120"/>
        <v>1.8572577375266519E-2</v>
      </c>
      <c r="I961">
        <f t="shared" si="121"/>
        <v>121.42578226181834</v>
      </c>
      <c r="J961">
        <f t="shared" si="116"/>
        <v>470.05738371363356</v>
      </c>
      <c r="K961" s="27">
        <f t="shared" si="117"/>
        <v>4103.8559083478549</v>
      </c>
    </row>
    <row r="962" spans="1:11" x14ac:dyDescent="0.25">
      <c r="A962" s="26">
        <v>912</v>
      </c>
      <c r="B962" s="82">
        <f t="shared" si="118"/>
        <v>0</v>
      </c>
      <c r="C962" s="58">
        <f t="shared" si="114"/>
        <v>104.50616427295054</v>
      </c>
      <c r="D962" s="83">
        <f t="shared" si="119"/>
        <v>445.77777777777789</v>
      </c>
      <c r="E962">
        <f t="shared" si="115"/>
        <v>0</v>
      </c>
      <c r="G962">
        <v>912</v>
      </c>
      <c r="H962" s="13">
        <f t="shared" si="120"/>
        <v>1.8572577375266519E-2</v>
      </c>
      <c r="I962">
        <f t="shared" si="121"/>
        <v>121.44435483919361</v>
      </c>
      <c r="J962">
        <f t="shared" si="116"/>
        <v>470.07704940235516</v>
      </c>
      <c r="K962" s="27">
        <f t="shared" si="117"/>
        <v>4104.1991998846361</v>
      </c>
    </row>
    <row r="963" spans="1:11" x14ac:dyDescent="0.25">
      <c r="A963" s="26">
        <v>913</v>
      </c>
      <c r="B963" s="82">
        <f t="shared" si="118"/>
        <v>0</v>
      </c>
      <c r="C963" s="58">
        <f t="shared" si="114"/>
        <v>104.50616427295054</v>
      </c>
      <c r="D963" s="83">
        <f t="shared" si="119"/>
        <v>445.77777777777789</v>
      </c>
      <c r="E963">
        <f t="shared" si="115"/>
        <v>0</v>
      </c>
      <c r="G963">
        <v>913</v>
      </c>
      <c r="H963" s="13">
        <f t="shared" si="120"/>
        <v>1.8572577375266519E-2</v>
      </c>
      <c r="I963">
        <f t="shared" si="121"/>
        <v>121.46292741656887</v>
      </c>
      <c r="J963">
        <f t="shared" si="116"/>
        <v>470.09670447112194</v>
      </c>
      <c r="K963" s="27">
        <f t="shared" si="117"/>
        <v>4104.5423204109247</v>
      </c>
    </row>
    <row r="964" spans="1:11" x14ac:dyDescent="0.25">
      <c r="A964" s="26">
        <v>914</v>
      </c>
      <c r="B964" s="82">
        <f t="shared" si="118"/>
        <v>0</v>
      </c>
      <c r="C964" s="58">
        <f t="shared" si="114"/>
        <v>104.50616427295054</v>
      </c>
      <c r="D964" s="83">
        <f t="shared" si="119"/>
        <v>445.77777777777789</v>
      </c>
      <c r="E964">
        <f t="shared" si="115"/>
        <v>0</v>
      </c>
      <c r="G964">
        <v>914</v>
      </c>
      <c r="H964" s="13">
        <f t="shared" si="120"/>
        <v>1.8572577375266519E-2</v>
      </c>
      <c r="I964">
        <f t="shared" si="121"/>
        <v>121.48149999394414</v>
      </c>
      <c r="J964">
        <f t="shared" si="116"/>
        <v>470.11634892902038</v>
      </c>
      <c r="K964" s="27">
        <f t="shared" si="117"/>
        <v>4104.8852700620237</v>
      </c>
    </row>
    <row r="965" spans="1:11" x14ac:dyDescent="0.25">
      <c r="A965" s="26">
        <v>915</v>
      </c>
      <c r="B965" s="82">
        <f t="shared" si="118"/>
        <v>0</v>
      </c>
      <c r="C965" s="58">
        <f t="shared" si="114"/>
        <v>104.50616427295054</v>
      </c>
      <c r="D965" s="83">
        <f t="shared" si="119"/>
        <v>445.77777777777789</v>
      </c>
      <c r="E965">
        <f t="shared" si="115"/>
        <v>0</v>
      </c>
      <c r="G965">
        <v>915</v>
      </c>
      <c r="H965" s="13">
        <f t="shared" si="120"/>
        <v>1.8572577375266519E-2</v>
      </c>
      <c r="I965">
        <f t="shared" si="121"/>
        <v>121.50007257131941</v>
      </c>
      <c r="J965">
        <f t="shared" si="116"/>
        <v>470.13598278512183</v>
      </c>
      <c r="K965" s="27">
        <f t="shared" si="117"/>
        <v>4105.2280489730038</v>
      </c>
    </row>
    <row r="966" spans="1:11" x14ac:dyDescent="0.25">
      <c r="A966" s="26">
        <v>916</v>
      </c>
      <c r="B966" s="82">
        <f t="shared" si="118"/>
        <v>0</v>
      </c>
      <c r="C966" s="58">
        <f t="shared" si="114"/>
        <v>104.50616427295054</v>
      </c>
      <c r="D966" s="83">
        <f t="shared" si="119"/>
        <v>445.77777777777789</v>
      </c>
      <c r="E966">
        <f t="shared" si="115"/>
        <v>0</v>
      </c>
      <c r="G966">
        <v>916</v>
      </c>
      <c r="H966" s="13">
        <f t="shared" si="120"/>
        <v>1.8572577375266519E-2</v>
      </c>
      <c r="I966">
        <f t="shared" si="121"/>
        <v>121.51864514869467</v>
      </c>
      <c r="J966">
        <f t="shared" si="116"/>
        <v>470.15560604848213</v>
      </c>
      <c r="K966" s="27">
        <f t="shared" si="117"/>
        <v>4105.5706572787085</v>
      </c>
    </row>
    <row r="967" spans="1:11" x14ac:dyDescent="0.25">
      <c r="A967" s="26">
        <v>917</v>
      </c>
      <c r="B967" s="82">
        <f t="shared" si="118"/>
        <v>0</v>
      </c>
      <c r="C967" s="58">
        <f t="shared" si="114"/>
        <v>104.50616427295054</v>
      </c>
      <c r="D967" s="83">
        <f t="shared" si="119"/>
        <v>445.77777777777789</v>
      </c>
      <c r="E967">
        <f t="shared" si="115"/>
        <v>0</v>
      </c>
      <c r="G967">
        <v>917</v>
      </c>
      <c r="H967" s="13">
        <f t="shared" si="120"/>
        <v>1.8572577375266519E-2</v>
      </c>
      <c r="I967">
        <f t="shared" si="121"/>
        <v>121.53721772606994</v>
      </c>
      <c r="J967">
        <f t="shared" si="116"/>
        <v>470.17521872814223</v>
      </c>
      <c r="K967" s="27">
        <f t="shared" si="117"/>
        <v>4105.9130951137604</v>
      </c>
    </row>
    <row r="968" spans="1:11" x14ac:dyDescent="0.25">
      <c r="A968" s="26">
        <v>918</v>
      </c>
      <c r="B968" s="82">
        <f t="shared" si="118"/>
        <v>0</v>
      </c>
      <c r="C968" s="58">
        <f t="shared" si="114"/>
        <v>104.50616427295054</v>
      </c>
      <c r="D968" s="83">
        <f t="shared" si="119"/>
        <v>445.77777777777789</v>
      </c>
      <c r="E968">
        <f t="shared" si="115"/>
        <v>0</v>
      </c>
      <c r="G968">
        <v>918</v>
      </c>
      <c r="H968" s="13">
        <f t="shared" si="120"/>
        <v>1.8572577375266519E-2</v>
      </c>
      <c r="I968">
        <f t="shared" si="121"/>
        <v>121.55579030344521</v>
      </c>
      <c r="J968">
        <f t="shared" si="116"/>
        <v>470.19482083312778</v>
      </c>
      <c r="K968" s="27">
        <f t="shared" si="117"/>
        <v>4106.25536261255</v>
      </c>
    </row>
    <row r="969" spans="1:11" x14ac:dyDescent="0.25">
      <c r="A969" s="26">
        <v>919</v>
      </c>
      <c r="B969" s="82">
        <f t="shared" si="118"/>
        <v>0</v>
      </c>
      <c r="C969" s="58">
        <f t="shared" si="114"/>
        <v>104.50616427295054</v>
      </c>
      <c r="D969" s="83">
        <f t="shared" si="119"/>
        <v>445.77777777777789</v>
      </c>
      <c r="E969">
        <f t="shared" si="115"/>
        <v>0</v>
      </c>
      <c r="G969">
        <v>919</v>
      </c>
      <c r="H969" s="13">
        <f t="shared" si="120"/>
        <v>1.8572577375266519E-2</v>
      </c>
      <c r="I969">
        <f t="shared" si="121"/>
        <v>121.57436288082047</v>
      </c>
      <c r="J969">
        <f t="shared" si="116"/>
        <v>470.21441237244926</v>
      </c>
      <c r="K969" s="27">
        <f t="shared" si="117"/>
        <v>4106.597459909246</v>
      </c>
    </row>
    <row r="970" spans="1:11" x14ac:dyDescent="0.25">
      <c r="A970" s="26">
        <v>920</v>
      </c>
      <c r="B970" s="82">
        <f t="shared" si="118"/>
        <v>0</v>
      </c>
      <c r="C970" s="58">
        <f t="shared" si="114"/>
        <v>104.50616427295054</v>
      </c>
      <c r="D970" s="83">
        <f t="shared" si="119"/>
        <v>445.77777777777789</v>
      </c>
      <c r="E970">
        <f t="shared" si="115"/>
        <v>0</v>
      </c>
      <c r="G970">
        <v>920</v>
      </c>
      <c r="H970" s="13">
        <f t="shared" si="120"/>
        <v>1.8572577375266519E-2</v>
      </c>
      <c r="I970">
        <f t="shared" si="121"/>
        <v>121.59293545819574</v>
      </c>
      <c r="J970">
        <f t="shared" si="116"/>
        <v>470.2339933551022</v>
      </c>
      <c r="K970" s="27">
        <f t="shared" si="117"/>
        <v>4106.9393871377933</v>
      </c>
    </row>
    <row r="971" spans="1:11" x14ac:dyDescent="0.25">
      <c r="A971" s="26">
        <v>921</v>
      </c>
      <c r="B971" s="82">
        <f t="shared" si="118"/>
        <v>0</v>
      </c>
      <c r="C971" s="58">
        <f t="shared" si="114"/>
        <v>104.50616427295054</v>
      </c>
      <c r="D971" s="83">
        <f t="shared" si="119"/>
        <v>445.77777777777789</v>
      </c>
      <c r="E971">
        <f t="shared" si="115"/>
        <v>0</v>
      </c>
      <c r="G971">
        <v>921</v>
      </c>
      <c r="H971" s="13">
        <f t="shared" si="120"/>
        <v>1.8572577375266519E-2</v>
      </c>
      <c r="I971">
        <f t="shared" si="121"/>
        <v>121.61150803557101</v>
      </c>
      <c r="J971">
        <f t="shared" si="116"/>
        <v>470.25356379006701</v>
      </c>
      <c r="K971" s="27">
        <f t="shared" si="117"/>
        <v>4107.2811444319123</v>
      </c>
    </row>
    <row r="972" spans="1:11" x14ac:dyDescent="0.25">
      <c r="A972" s="26">
        <v>922</v>
      </c>
      <c r="B972" s="82">
        <f t="shared" si="118"/>
        <v>0</v>
      </c>
      <c r="C972" s="58">
        <f t="shared" si="114"/>
        <v>104.50616427295054</v>
      </c>
      <c r="D972" s="83">
        <f t="shared" si="119"/>
        <v>445.77777777777789</v>
      </c>
      <c r="E972">
        <f t="shared" si="115"/>
        <v>0</v>
      </c>
      <c r="G972">
        <v>922</v>
      </c>
      <c r="H972" s="13">
        <f t="shared" si="120"/>
        <v>1.8572577375266519E-2</v>
      </c>
      <c r="I972">
        <f t="shared" si="121"/>
        <v>121.63008061294627</v>
      </c>
      <c r="J972">
        <f t="shared" si="116"/>
        <v>470.27312368630902</v>
      </c>
      <c r="K972" s="27">
        <f t="shared" si="117"/>
        <v>4107.6227319250993</v>
      </c>
    </row>
    <row r="973" spans="1:11" x14ac:dyDescent="0.25">
      <c r="A973" s="26">
        <v>923</v>
      </c>
      <c r="B973" s="82">
        <f t="shared" si="118"/>
        <v>0</v>
      </c>
      <c r="C973" s="58">
        <f t="shared" si="114"/>
        <v>104.50616427295054</v>
      </c>
      <c r="D973" s="83">
        <f t="shared" si="119"/>
        <v>445.77777777777789</v>
      </c>
      <c r="E973">
        <f t="shared" si="115"/>
        <v>0</v>
      </c>
      <c r="G973">
        <v>923</v>
      </c>
      <c r="H973" s="13">
        <f t="shared" si="120"/>
        <v>1.8572577375266519E-2</v>
      </c>
      <c r="I973">
        <f t="shared" si="121"/>
        <v>121.64865319032154</v>
      </c>
      <c r="J973">
        <f t="shared" si="116"/>
        <v>470.29267305277875</v>
      </c>
      <c r="K973" s="27">
        <f t="shared" si="117"/>
        <v>4107.9641497506263</v>
      </c>
    </row>
    <row r="974" spans="1:11" x14ac:dyDescent="0.25">
      <c r="A974" s="26">
        <v>924</v>
      </c>
      <c r="B974" s="82">
        <f t="shared" si="118"/>
        <v>0</v>
      </c>
      <c r="C974" s="58">
        <f t="shared" si="114"/>
        <v>104.50616427295054</v>
      </c>
      <c r="D974" s="83">
        <f t="shared" si="119"/>
        <v>445.77777777777789</v>
      </c>
      <c r="E974">
        <f t="shared" si="115"/>
        <v>0</v>
      </c>
      <c r="G974">
        <v>924</v>
      </c>
      <c r="H974" s="13">
        <f t="shared" si="120"/>
        <v>1.8572577375266519E-2</v>
      </c>
      <c r="I974">
        <f t="shared" si="121"/>
        <v>121.66722576769681</v>
      </c>
      <c r="J974">
        <f t="shared" si="116"/>
        <v>470.31221189841165</v>
      </c>
      <c r="K974" s="27">
        <f t="shared" si="117"/>
        <v>4108.3053980415471</v>
      </c>
    </row>
    <row r="975" spans="1:11" x14ac:dyDescent="0.25">
      <c r="A975" s="26">
        <v>925</v>
      </c>
      <c r="B975" s="82">
        <f t="shared" si="118"/>
        <v>0</v>
      </c>
      <c r="C975" s="58">
        <f t="shared" si="114"/>
        <v>104.50616427295054</v>
      </c>
      <c r="D975" s="83">
        <f t="shared" si="119"/>
        <v>445.77777777777789</v>
      </c>
      <c r="E975">
        <f t="shared" si="115"/>
        <v>0</v>
      </c>
      <c r="G975">
        <v>925</v>
      </c>
      <c r="H975" s="13">
        <f t="shared" si="120"/>
        <v>1.8572577375266519E-2</v>
      </c>
      <c r="I975">
        <f t="shared" si="121"/>
        <v>121.68579834507207</v>
      </c>
      <c r="J975">
        <f t="shared" si="116"/>
        <v>470.33174023212825</v>
      </c>
      <c r="K975" s="27">
        <f t="shared" si="117"/>
        <v>4108.6464769306904</v>
      </c>
    </row>
    <row r="976" spans="1:11" x14ac:dyDescent="0.25">
      <c r="A976" s="26">
        <v>926</v>
      </c>
      <c r="B976" s="82">
        <f t="shared" si="118"/>
        <v>0</v>
      </c>
      <c r="C976" s="58">
        <f t="shared" ref="C976:C1039" si="122">($C$37-$C$36)/2000+C975</f>
        <v>104.50616427295054</v>
      </c>
      <c r="D976" s="83">
        <f t="shared" si="119"/>
        <v>445.77777777777789</v>
      </c>
      <c r="E976">
        <f t="shared" si="115"/>
        <v>0</v>
      </c>
      <c r="G976">
        <v>926</v>
      </c>
      <c r="H976" s="13">
        <f t="shared" si="120"/>
        <v>1.8572577375266519E-2</v>
      </c>
      <c r="I976">
        <f t="shared" si="121"/>
        <v>121.70437092244734</v>
      </c>
      <c r="J976">
        <f t="shared" si="116"/>
        <v>470.35125806283435</v>
      </c>
      <c r="K976" s="27">
        <f t="shared" si="117"/>
        <v>4108.9873865506624</v>
      </c>
    </row>
    <row r="977" spans="1:11" x14ac:dyDescent="0.25">
      <c r="A977" s="26">
        <v>927</v>
      </c>
      <c r="B977" s="82">
        <f t="shared" si="118"/>
        <v>0</v>
      </c>
      <c r="C977" s="58">
        <f t="shared" si="122"/>
        <v>104.50616427295054</v>
      </c>
      <c r="D977" s="83">
        <f t="shared" si="119"/>
        <v>445.77777777777789</v>
      </c>
      <c r="E977">
        <f t="shared" si="115"/>
        <v>0</v>
      </c>
      <c r="G977">
        <v>927</v>
      </c>
      <c r="H977" s="13">
        <f t="shared" si="120"/>
        <v>1.8572577375266519E-2</v>
      </c>
      <c r="I977">
        <f t="shared" si="121"/>
        <v>121.72294349982261</v>
      </c>
      <c r="J977">
        <f t="shared" si="116"/>
        <v>470.37076539942075</v>
      </c>
      <c r="K977" s="27">
        <f t="shared" si="117"/>
        <v>4109.3281270338512</v>
      </c>
    </row>
    <row r="978" spans="1:11" x14ac:dyDescent="0.25">
      <c r="A978" s="26">
        <v>928</v>
      </c>
      <c r="B978" s="82">
        <f t="shared" si="118"/>
        <v>0</v>
      </c>
      <c r="C978" s="58">
        <f t="shared" si="122"/>
        <v>104.50616427295054</v>
      </c>
      <c r="D978" s="83">
        <f t="shared" si="119"/>
        <v>445.77777777777789</v>
      </c>
      <c r="E978">
        <f t="shared" si="115"/>
        <v>0</v>
      </c>
      <c r="G978">
        <v>928</v>
      </c>
      <c r="H978" s="13">
        <f t="shared" si="120"/>
        <v>1.8572577375266519E-2</v>
      </c>
      <c r="I978">
        <f t="shared" si="121"/>
        <v>121.74151607719787</v>
      </c>
      <c r="J978">
        <f t="shared" si="116"/>
        <v>470.39026225076356</v>
      </c>
      <c r="K978" s="27">
        <f t="shared" si="117"/>
        <v>4109.6686985124243</v>
      </c>
    </row>
    <row r="979" spans="1:11" x14ac:dyDescent="0.25">
      <c r="A979" s="26">
        <v>929</v>
      </c>
      <c r="B979" s="82">
        <f t="shared" si="118"/>
        <v>0</v>
      </c>
      <c r="C979" s="58">
        <f t="shared" si="122"/>
        <v>104.50616427295054</v>
      </c>
      <c r="D979" s="83">
        <f t="shared" si="119"/>
        <v>445.77777777777789</v>
      </c>
      <c r="E979">
        <f t="shared" si="115"/>
        <v>0</v>
      </c>
      <c r="G979">
        <v>929</v>
      </c>
      <c r="H979" s="13">
        <f t="shared" si="120"/>
        <v>1.8572577375266519E-2</v>
      </c>
      <c r="I979">
        <f t="shared" si="121"/>
        <v>121.76008865457314</v>
      </c>
      <c r="J979">
        <f t="shared" si="116"/>
        <v>470.40974862572398</v>
      </c>
      <c r="K979" s="27">
        <f t="shared" si="117"/>
        <v>4110.0091011183258</v>
      </c>
    </row>
    <row r="980" spans="1:11" x14ac:dyDescent="0.25">
      <c r="A980" s="26">
        <v>930</v>
      </c>
      <c r="B980" s="82">
        <f t="shared" si="118"/>
        <v>0</v>
      </c>
      <c r="C980" s="58">
        <f t="shared" si="122"/>
        <v>104.50616427295054</v>
      </c>
      <c r="D980" s="83">
        <f t="shared" si="119"/>
        <v>445.77777777777789</v>
      </c>
      <c r="E980">
        <f t="shared" si="115"/>
        <v>0</v>
      </c>
      <c r="G980">
        <v>930</v>
      </c>
      <c r="H980" s="13">
        <f t="shared" si="120"/>
        <v>1.8572577375266519E-2</v>
      </c>
      <c r="I980">
        <f t="shared" si="121"/>
        <v>121.7786612319484</v>
      </c>
      <c r="J980">
        <f t="shared" si="116"/>
        <v>470.42922453314867</v>
      </c>
      <c r="K980" s="27">
        <f t="shared" si="117"/>
        <v>4110.349334983287</v>
      </c>
    </row>
    <row r="981" spans="1:11" x14ac:dyDescent="0.25">
      <c r="A981" s="26">
        <v>931</v>
      </c>
      <c r="B981" s="82">
        <f t="shared" si="118"/>
        <v>0</v>
      </c>
      <c r="C981" s="58">
        <f t="shared" si="122"/>
        <v>104.50616427295054</v>
      </c>
      <c r="D981" s="83">
        <f t="shared" si="119"/>
        <v>445.77777777777789</v>
      </c>
      <c r="E981">
        <f t="shared" si="115"/>
        <v>0</v>
      </c>
      <c r="G981">
        <v>931</v>
      </c>
      <c r="H981" s="13">
        <f t="shared" si="120"/>
        <v>1.8572577375266519E-2</v>
      </c>
      <c r="I981">
        <f t="shared" si="121"/>
        <v>121.79723380932367</v>
      </c>
      <c r="J981">
        <f t="shared" si="116"/>
        <v>470.44868998186939</v>
      </c>
      <c r="K981" s="27">
        <f t="shared" si="117"/>
        <v>4110.6894002388144</v>
      </c>
    </row>
    <row r="982" spans="1:11" x14ac:dyDescent="0.25">
      <c r="A982" s="26">
        <v>932</v>
      </c>
      <c r="B982" s="82">
        <f t="shared" si="118"/>
        <v>0</v>
      </c>
      <c r="C982" s="58">
        <f t="shared" si="122"/>
        <v>104.50616427295054</v>
      </c>
      <c r="D982" s="83">
        <f t="shared" si="119"/>
        <v>445.77777777777789</v>
      </c>
      <c r="E982">
        <f t="shared" si="115"/>
        <v>0</v>
      </c>
      <c r="G982">
        <v>932</v>
      </c>
      <c r="H982" s="13">
        <f t="shared" si="120"/>
        <v>1.8572577375266519E-2</v>
      </c>
      <c r="I982">
        <f t="shared" si="121"/>
        <v>121.81580638669894</v>
      </c>
      <c r="J982">
        <f t="shared" si="116"/>
        <v>470.46814498070341</v>
      </c>
      <c r="K982" s="27">
        <f t="shared" si="117"/>
        <v>4111.0292970161972</v>
      </c>
    </row>
    <row r="983" spans="1:11" x14ac:dyDescent="0.25">
      <c r="A983" s="26">
        <v>933</v>
      </c>
      <c r="B983" s="82">
        <f t="shared" si="118"/>
        <v>0</v>
      </c>
      <c r="C983" s="58">
        <f t="shared" si="122"/>
        <v>104.50616427295054</v>
      </c>
      <c r="D983" s="83">
        <f t="shared" si="119"/>
        <v>445.77777777777789</v>
      </c>
      <c r="E983">
        <f t="shared" si="115"/>
        <v>0</v>
      </c>
      <c r="G983">
        <v>933</v>
      </c>
      <c r="H983" s="13">
        <f t="shared" si="120"/>
        <v>1.8572577375266519E-2</v>
      </c>
      <c r="I983">
        <f t="shared" si="121"/>
        <v>121.8343789640742</v>
      </c>
      <c r="J983">
        <f t="shared" si="116"/>
        <v>470.48758953845322</v>
      </c>
      <c r="K983" s="27">
        <f t="shared" si="117"/>
        <v>4111.3690254465091</v>
      </c>
    </row>
    <row r="984" spans="1:11" x14ac:dyDescent="0.25">
      <c r="A984" s="26">
        <v>934</v>
      </c>
      <c r="B984" s="82">
        <f t="shared" si="118"/>
        <v>0</v>
      </c>
      <c r="C984" s="58">
        <f t="shared" si="122"/>
        <v>104.50616427295054</v>
      </c>
      <c r="D984" s="83">
        <f t="shared" si="119"/>
        <v>445.77777777777789</v>
      </c>
      <c r="E984">
        <f t="shared" si="115"/>
        <v>0</v>
      </c>
      <c r="G984">
        <v>934</v>
      </c>
      <c r="H984" s="13">
        <f t="shared" si="120"/>
        <v>1.8572577375266519E-2</v>
      </c>
      <c r="I984">
        <f t="shared" si="121"/>
        <v>121.85295154144947</v>
      </c>
      <c r="J984">
        <f t="shared" si="116"/>
        <v>470.50702366390681</v>
      </c>
      <c r="K984" s="27">
        <f t="shared" si="117"/>
        <v>4111.7085856606063</v>
      </c>
    </row>
    <row r="985" spans="1:11" x14ac:dyDescent="0.25">
      <c r="A985" s="26">
        <v>935</v>
      </c>
      <c r="B985" s="82">
        <f t="shared" si="118"/>
        <v>0</v>
      </c>
      <c r="C985" s="58">
        <f t="shared" si="122"/>
        <v>104.50616427295054</v>
      </c>
      <c r="D985" s="83">
        <f t="shared" si="119"/>
        <v>445.77777777777789</v>
      </c>
      <c r="E985">
        <f t="shared" si="115"/>
        <v>0</v>
      </c>
      <c r="G985">
        <v>935</v>
      </c>
      <c r="H985" s="13">
        <f t="shared" si="120"/>
        <v>1.8572577375266519E-2</v>
      </c>
      <c r="I985">
        <f t="shared" si="121"/>
        <v>121.87152411882474</v>
      </c>
      <c r="J985">
        <f t="shared" si="116"/>
        <v>470.52644736583756</v>
      </c>
      <c r="K985" s="27">
        <f t="shared" si="117"/>
        <v>4112.0479777891251</v>
      </c>
    </row>
    <row r="986" spans="1:11" x14ac:dyDescent="0.25">
      <c r="A986" s="26">
        <v>936</v>
      </c>
      <c r="B986" s="82">
        <f t="shared" si="118"/>
        <v>0</v>
      </c>
      <c r="C986" s="58">
        <f t="shared" si="122"/>
        <v>104.50616427295054</v>
      </c>
      <c r="D986" s="83">
        <f t="shared" si="119"/>
        <v>445.77777777777789</v>
      </c>
      <c r="E986">
        <f t="shared" si="115"/>
        <v>0</v>
      </c>
      <c r="G986">
        <v>936</v>
      </c>
      <c r="H986" s="13">
        <f t="shared" si="120"/>
        <v>1.8572577375266519E-2</v>
      </c>
      <c r="I986">
        <f t="shared" si="121"/>
        <v>121.8900966962</v>
      </c>
      <c r="J986">
        <f t="shared" si="116"/>
        <v>470.5458606530043</v>
      </c>
      <c r="K986" s="27">
        <f t="shared" si="117"/>
        <v>4112.3872019624878</v>
      </c>
    </row>
    <row r="987" spans="1:11" x14ac:dyDescent="0.25">
      <c r="A987" s="26">
        <v>937</v>
      </c>
      <c r="B987" s="82">
        <f t="shared" si="118"/>
        <v>0</v>
      </c>
      <c r="C987" s="58">
        <f t="shared" si="122"/>
        <v>104.50616427295054</v>
      </c>
      <c r="D987" s="83">
        <f t="shared" si="119"/>
        <v>445.77777777777789</v>
      </c>
      <c r="E987">
        <f t="shared" si="115"/>
        <v>0</v>
      </c>
      <c r="G987">
        <v>937</v>
      </c>
      <c r="H987" s="13">
        <f t="shared" si="120"/>
        <v>1.8572577375266519E-2</v>
      </c>
      <c r="I987">
        <f t="shared" si="121"/>
        <v>121.90866927357527</v>
      </c>
      <c r="J987">
        <f t="shared" si="116"/>
        <v>470.56526353415137</v>
      </c>
      <c r="K987" s="27">
        <f t="shared" si="117"/>
        <v>4112.7262583109023</v>
      </c>
    </row>
    <row r="988" spans="1:11" x14ac:dyDescent="0.25">
      <c r="A988" s="26">
        <v>938</v>
      </c>
      <c r="B988" s="82">
        <f t="shared" si="118"/>
        <v>0</v>
      </c>
      <c r="C988" s="58">
        <f t="shared" si="122"/>
        <v>104.50616427295054</v>
      </c>
      <c r="D988" s="83">
        <f t="shared" si="119"/>
        <v>445.77777777777789</v>
      </c>
      <c r="E988">
        <f t="shared" si="115"/>
        <v>0</v>
      </c>
      <c r="G988">
        <v>938</v>
      </c>
      <c r="H988" s="13">
        <f t="shared" si="120"/>
        <v>1.8572577375266519E-2</v>
      </c>
      <c r="I988">
        <f t="shared" si="121"/>
        <v>121.92724185095054</v>
      </c>
      <c r="J988">
        <f t="shared" si="116"/>
        <v>470.58465601800873</v>
      </c>
      <c r="K988" s="27">
        <f t="shared" si="117"/>
        <v>4113.0651469643572</v>
      </c>
    </row>
    <row r="989" spans="1:11" x14ac:dyDescent="0.25">
      <c r="A989" s="26">
        <v>939</v>
      </c>
      <c r="B989" s="82">
        <f t="shared" si="118"/>
        <v>0</v>
      </c>
      <c r="C989" s="58">
        <f t="shared" si="122"/>
        <v>104.50616427295054</v>
      </c>
      <c r="D989" s="83">
        <f t="shared" si="119"/>
        <v>445.77777777777789</v>
      </c>
      <c r="E989">
        <f t="shared" si="115"/>
        <v>0</v>
      </c>
      <c r="G989">
        <v>939</v>
      </c>
      <c r="H989" s="13">
        <f t="shared" si="120"/>
        <v>1.8572577375266519E-2</v>
      </c>
      <c r="I989">
        <f t="shared" si="121"/>
        <v>121.9458144283258</v>
      </c>
      <c r="J989">
        <f t="shared" si="116"/>
        <v>470.60403811329172</v>
      </c>
      <c r="K989" s="27">
        <f t="shared" si="117"/>
        <v>4113.4038680526292</v>
      </c>
    </row>
    <row r="990" spans="1:11" x14ac:dyDescent="0.25">
      <c r="A990" s="26">
        <v>940</v>
      </c>
      <c r="B990" s="82">
        <f t="shared" si="118"/>
        <v>0</v>
      </c>
      <c r="C990" s="58">
        <f t="shared" si="122"/>
        <v>104.50616427295054</v>
      </c>
      <c r="D990" s="83">
        <f t="shared" si="119"/>
        <v>445.77777777777789</v>
      </c>
      <c r="E990">
        <f t="shared" si="115"/>
        <v>0</v>
      </c>
      <c r="G990">
        <v>940</v>
      </c>
      <c r="H990" s="13">
        <f t="shared" si="120"/>
        <v>1.8572577375266519E-2</v>
      </c>
      <c r="I990">
        <f t="shared" si="121"/>
        <v>121.96438700570107</v>
      </c>
      <c r="J990">
        <f t="shared" si="116"/>
        <v>470.62340982870154</v>
      </c>
      <c r="K990" s="27">
        <f t="shared" si="117"/>
        <v>4113.7424217052803</v>
      </c>
    </row>
    <row r="991" spans="1:11" x14ac:dyDescent="0.25">
      <c r="A991" s="26">
        <v>941</v>
      </c>
      <c r="B991" s="82">
        <f t="shared" si="118"/>
        <v>0</v>
      </c>
      <c r="C991" s="58">
        <f t="shared" si="122"/>
        <v>104.50616427295054</v>
      </c>
      <c r="D991" s="83">
        <f t="shared" si="119"/>
        <v>445.77777777777789</v>
      </c>
      <c r="E991">
        <f t="shared" si="115"/>
        <v>0</v>
      </c>
      <c r="G991">
        <v>941</v>
      </c>
      <c r="H991" s="13">
        <f t="shared" si="120"/>
        <v>1.8572577375266519E-2</v>
      </c>
      <c r="I991">
        <f t="shared" si="121"/>
        <v>121.98295958307634</v>
      </c>
      <c r="J991">
        <f t="shared" si="116"/>
        <v>470.64277117292482</v>
      </c>
      <c r="K991" s="27">
        <f t="shared" si="117"/>
        <v>4114.080808051659</v>
      </c>
    </row>
    <row r="992" spans="1:11" x14ac:dyDescent="0.25">
      <c r="A992" s="26">
        <v>942</v>
      </c>
      <c r="B992" s="82">
        <f t="shared" si="118"/>
        <v>0</v>
      </c>
      <c r="C992" s="58">
        <f t="shared" si="122"/>
        <v>104.50616427295054</v>
      </c>
      <c r="D992" s="83">
        <f t="shared" si="119"/>
        <v>445.77777777777789</v>
      </c>
      <c r="E992">
        <f t="shared" si="115"/>
        <v>0</v>
      </c>
      <c r="G992">
        <v>942</v>
      </c>
      <c r="H992" s="13">
        <f t="shared" si="120"/>
        <v>1.8572577375266519E-2</v>
      </c>
      <c r="I992">
        <f t="shared" si="121"/>
        <v>122.0015321604516</v>
      </c>
      <c r="J992">
        <f t="shared" si="116"/>
        <v>470.66212215463383</v>
      </c>
      <c r="K992" s="27">
        <f t="shared" si="117"/>
        <v>4114.4190272208989</v>
      </c>
    </row>
    <row r="993" spans="1:11" x14ac:dyDescent="0.25">
      <c r="A993" s="26">
        <v>943</v>
      </c>
      <c r="B993" s="82">
        <f t="shared" si="118"/>
        <v>0</v>
      </c>
      <c r="C993" s="58">
        <f t="shared" si="122"/>
        <v>104.50616427295054</v>
      </c>
      <c r="D993" s="83">
        <f t="shared" si="119"/>
        <v>445.77777777777789</v>
      </c>
      <c r="E993">
        <f t="shared" si="115"/>
        <v>0</v>
      </c>
      <c r="G993">
        <v>943</v>
      </c>
      <c r="H993" s="13">
        <f t="shared" si="120"/>
        <v>1.8572577375266519E-2</v>
      </c>
      <c r="I993">
        <f t="shared" si="121"/>
        <v>122.02010473782687</v>
      </c>
      <c r="J993">
        <f t="shared" si="116"/>
        <v>470.68146278248679</v>
      </c>
      <c r="K993" s="27">
        <f t="shared" si="117"/>
        <v>4114.7570793419209</v>
      </c>
    </row>
    <row r="994" spans="1:11" x14ac:dyDescent="0.25">
      <c r="A994" s="26">
        <v>944</v>
      </c>
      <c r="B994" s="82">
        <f t="shared" si="118"/>
        <v>0</v>
      </c>
      <c r="C994" s="58">
        <f t="shared" si="122"/>
        <v>104.50616427295054</v>
      </c>
      <c r="D994" s="83">
        <f t="shared" si="119"/>
        <v>445.77777777777789</v>
      </c>
      <c r="E994">
        <f t="shared" si="115"/>
        <v>0</v>
      </c>
      <c r="G994">
        <v>944</v>
      </c>
      <c r="H994" s="13">
        <f t="shared" si="120"/>
        <v>1.8572577375266519E-2</v>
      </c>
      <c r="I994">
        <f t="shared" si="121"/>
        <v>122.03867731520214</v>
      </c>
      <c r="J994">
        <f t="shared" si="116"/>
        <v>470.70079306512736</v>
      </c>
      <c r="K994" s="27">
        <f t="shared" si="117"/>
        <v>4115.0949645434348</v>
      </c>
    </row>
    <row r="995" spans="1:11" x14ac:dyDescent="0.25">
      <c r="A995" s="26">
        <v>945</v>
      </c>
      <c r="B995" s="82">
        <f t="shared" si="118"/>
        <v>0</v>
      </c>
      <c r="C995" s="58">
        <f t="shared" si="122"/>
        <v>104.50616427295054</v>
      </c>
      <c r="D995" s="83">
        <f t="shared" si="119"/>
        <v>445.77777777777789</v>
      </c>
      <c r="E995">
        <f t="shared" si="115"/>
        <v>0</v>
      </c>
      <c r="G995">
        <v>945</v>
      </c>
      <c r="H995" s="13">
        <f t="shared" si="120"/>
        <v>1.8572577375266519E-2</v>
      </c>
      <c r="I995">
        <f t="shared" si="121"/>
        <v>122.0572498925774</v>
      </c>
      <c r="J995">
        <f t="shared" si="116"/>
        <v>470.72011301118511</v>
      </c>
      <c r="K995" s="27">
        <f t="shared" si="117"/>
        <v>4115.4326829539377</v>
      </c>
    </row>
    <row r="996" spans="1:11" x14ac:dyDescent="0.25">
      <c r="A996" s="26">
        <v>946</v>
      </c>
      <c r="B996" s="82">
        <f t="shared" si="118"/>
        <v>0</v>
      </c>
      <c r="C996" s="58">
        <f t="shared" si="122"/>
        <v>104.50616427295054</v>
      </c>
      <c r="D996" s="83">
        <f t="shared" si="119"/>
        <v>445.77777777777789</v>
      </c>
      <c r="E996">
        <f t="shared" si="115"/>
        <v>0</v>
      </c>
      <c r="G996">
        <v>946</v>
      </c>
      <c r="H996" s="13">
        <f t="shared" si="120"/>
        <v>1.8572577375266519E-2</v>
      </c>
      <c r="I996">
        <f t="shared" si="121"/>
        <v>122.07582246995267</v>
      </c>
      <c r="J996">
        <f t="shared" si="116"/>
        <v>470.73942262927545</v>
      </c>
      <c r="K996" s="27">
        <f t="shared" si="117"/>
        <v>4115.7702347017157</v>
      </c>
    </row>
    <row r="997" spans="1:11" x14ac:dyDescent="0.25">
      <c r="A997" s="26">
        <v>947</v>
      </c>
      <c r="B997" s="82">
        <f t="shared" si="118"/>
        <v>0</v>
      </c>
      <c r="C997" s="58">
        <f t="shared" si="122"/>
        <v>104.50616427295054</v>
      </c>
      <c r="D997" s="83">
        <f t="shared" si="119"/>
        <v>445.77777777777789</v>
      </c>
      <c r="E997">
        <f t="shared" si="115"/>
        <v>0</v>
      </c>
      <c r="G997">
        <v>947</v>
      </c>
      <c r="H997" s="13">
        <f t="shared" si="120"/>
        <v>1.8572577375266519E-2</v>
      </c>
      <c r="I997">
        <f t="shared" si="121"/>
        <v>122.09439504732794</v>
      </c>
      <c r="J997">
        <f t="shared" si="116"/>
        <v>470.75872192799955</v>
      </c>
      <c r="K997" s="27">
        <f t="shared" si="117"/>
        <v>4116.1076199148438</v>
      </c>
    </row>
    <row r="998" spans="1:11" x14ac:dyDescent="0.25">
      <c r="A998" s="26">
        <v>948</v>
      </c>
      <c r="B998" s="82">
        <f t="shared" si="118"/>
        <v>0</v>
      </c>
      <c r="C998" s="58">
        <f t="shared" si="122"/>
        <v>104.50616427295054</v>
      </c>
      <c r="D998" s="83">
        <f t="shared" si="119"/>
        <v>445.77777777777789</v>
      </c>
      <c r="E998">
        <f t="shared" si="115"/>
        <v>0</v>
      </c>
      <c r="G998">
        <v>948</v>
      </c>
      <c r="H998" s="13">
        <f t="shared" si="120"/>
        <v>1.8572577375266519E-2</v>
      </c>
      <c r="I998">
        <f t="shared" si="121"/>
        <v>122.1129676247032</v>
      </c>
      <c r="J998">
        <f t="shared" si="116"/>
        <v>470.77801091594438</v>
      </c>
      <c r="K998" s="27">
        <f t="shared" si="117"/>
        <v>4116.4448387211878</v>
      </c>
    </row>
    <row r="999" spans="1:11" x14ac:dyDescent="0.25">
      <c r="A999" s="26">
        <v>949</v>
      </c>
      <c r="B999" s="82">
        <f t="shared" si="118"/>
        <v>0</v>
      </c>
      <c r="C999" s="58">
        <f t="shared" si="122"/>
        <v>104.50616427295054</v>
      </c>
      <c r="D999" s="83">
        <f t="shared" si="119"/>
        <v>445.77777777777789</v>
      </c>
      <c r="E999">
        <f t="shared" si="115"/>
        <v>0</v>
      </c>
      <c r="G999">
        <v>949</v>
      </c>
      <c r="H999" s="13">
        <f t="shared" si="120"/>
        <v>1.8572577375266519E-2</v>
      </c>
      <c r="I999">
        <f t="shared" si="121"/>
        <v>122.13154020207847</v>
      </c>
      <c r="J999">
        <f t="shared" si="116"/>
        <v>470.79728960168302</v>
      </c>
      <c r="K999" s="27">
        <f t="shared" si="117"/>
        <v>4116.781891248399</v>
      </c>
    </row>
    <row r="1000" spans="1:11" x14ac:dyDescent="0.25">
      <c r="A1000" s="26">
        <v>950</v>
      </c>
      <c r="B1000" s="82">
        <f t="shared" si="118"/>
        <v>0</v>
      </c>
      <c r="C1000" s="58">
        <f t="shared" si="122"/>
        <v>104.50616427295054</v>
      </c>
      <c r="D1000" s="83">
        <f t="shared" si="119"/>
        <v>445.77777777777789</v>
      </c>
      <c r="E1000">
        <f t="shared" si="115"/>
        <v>0</v>
      </c>
      <c r="G1000">
        <v>950</v>
      </c>
      <c r="H1000" s="13">
        <f t="shared" si="120"/>
        <v>1.8572577375266519E-2</v>
      </c>
      <c r="I1000">
        <f t="shared" si="121"/>
        <v>122.15011277945374</v>
      </c>
      <c r="J1000">
        <f t="shared" si="116"/>
        <v>470.81655799377421</v>
      </c>
      <c r="K1000" s="27">
        <f t="shared" si="117"/>
        <v>4117.1187776239258</v>
      </c>
    </row>
    <row r="1001" spans="1:11" x14ac:dyDescent="0.25">
      <c r="A1001" s="26">
        <v>951</v>
      </c>
      <c r="B1001" s="82">
        <f t="shared" si="118"/>
        <v>0</v>
      </c>
      <c r="C1001" s="58">
        <f t="shared" si="122"/>
        <v>104.50616427295054</v>
      </c>
      <c r="D1001" s="83">
        <f t="shared" si="119"/>
        <v>445.77777777777789</v>
      </c>
      <c r="E1001">
        <f t="shared" si="115"/>
        <v>0</v>
      </c>
      <c r="G1001">
        <v>951</v>
      </c>
      <c r="H1001" s="13">
        <f t="shared" si="120"/>
        <v>1.8572577375266519E-2</v>
      </c>
      <c r="I1001">
        <f t="shared" si="121"/>
        <v>122.168685356829</v>
      </c>
      <c r="J1001">
        <f t="shared" si="116"/>
        <v>470.83581610076283</v>
      </c>
      <c r="K1001" s="27">
        <f t="shared" si="117"/>
        <v>4117.4554979750019</v>
      </c>
    </row>
    <row r="1002" spans="1:11" x14ac:dyDescent="0.25">
      <c r="A1002" s="26">
        <v>952</v>
      </c>
      <c r="B1002" s="82">
        <f t="shared" si="118"/>
        <v>0</v>
      </c>
      <c r="C1002" s="58">
        <f t="shared" si="122"/>
        <v>104.50616427295054</v>
      </c>
      <c r="D1002" s="83">
        <f t="shared" si="119"/>
        <v>445.77777777777789</v>
      </c>
      <c r="E1002">
        <f t="shared" si="115"/>
        <v>0</v>
      </c>
      <c r="G1002">
        <v>952</v>
      </c>
      <c r="H1002" s="13">
        <f t="shared" si="120"/>
        <v>1.8572577375266519E-2</v>
      </c>
      <c r="I1002">
        <f t="shared" si="121"/>
        <v>122.18725793420427</v>
      </c>
      <c r="J1002">
        <f t="shared" si="116"/>
        <v>470.8550639311797</v>
      </c>
      <c r="K1002" s="27">
        <f t="shared" si="117"/>
        <v>4117.7920524286574</v>
      </c>
    </row>
    <row r="1003" spans="1:11" x14ac:dyDescent="0.25">
      <c r="A1003" s="26">
        <v>953</v>
      </c>
      <c r="B1003" s="82">
        <f t="shared" si="118"/>
        <v>0</v>
      </c>
      <c r="C1003" s="58">
        <f t="shared" si="122"/>
        <v>104.50616427295054</v>
      </c>
      <c r="D1003" s="83">
        <f t="shared" si="119"/>
        <v>445.77777777777789</v>
      </c>
      <c r="E1003">
        <f t="shared" si="115"/>
        <v>0</v>
      </c>
      <c r="G1003">
        <v>953</v>
      </c>
      <c r="H1003" s="13">
        <f t="shared" si="120"/>
        <v>1.8572577375266519E-2</v>
      </c>
      <c r="I1003">
        <f t="shared" si="121"/>
        <v>122.20583051157953</v>
      </c>
      <c r="J1003">
        <f t="shared" si="116"/>
        <v>470.87430149354168</v>
      </c>
      <c r="K1003" s="27">
        <f t="shared" si="117"/>
        <v>4118.1284411117094</v>
      </c>
    </row>
    <row r="1004" spans="1:11" x14ac:dyDescent="0.25">
      <c r="A1004" s="26">
        <v>954</v>
      </c>
      <c r="B1004" s="82">
        <f t="shared" si="118"/>
        <v>0</v>
      </c>
      <c r="C1004" s="58">
        <f t="shared" si="122"/>
        <v>104.50616427295054</v>
      </c>
      <c r="D1004" s="83">
        <f t="shared" si="119"/>
        <v>445.77777777777789</v>
      </c>
      <c r="E1004">
        <f t="shared" si="115"/>
        <v>0</v>
      </c>
      <c r="G1004">
        <v>954</v>
      </c>
      <c r="H1004" s="13">
        <f t="shared" si="120"/>
        <v>1.8572577375266519E-2</v>
      </c>
      <c r="I1004">
        <f t="shared" si="121"/>
        <v>122.2244030889548</v>
      </c>
      <c r="J1004">
        <f t="shared" si="116"/>
        <v>470.89352879635169</v>
      </c>
      <c r="K1004" s="27">
        <f t="shared" si="117"/>
        <v>4118.4646641507707</v>
      </c>
    </row>
    <row r="1005" spans="1:11" x14ac:dyDescent="0.25">
      <c r="A1005" s="26">
        <v>955</v>
      </c>
      <c r="B1005" s="82">
        <f t="shared" si="118"/>
        <v>0</v>
      </c>
      <c r="C1005" s="58">
        <f t="shared" si="122"/>
        <v>104.50616427295054</v>
      </c>
      <c r="D1005" s="83">
        <f t="shared" si="119"/>
        <v>445.77777777777789</v>
      </c>
      <c r="E1005">
        <f t="shared" si="115"/>
        <v>0</v>
      </c>
      <c r="G1005">
        <v>955</v>
      </c>
      <c r="H1005" s="13">
        <f t="shared" si="120"/>
        <v>1.8572577375266519E-2</v>
      </c>
      <c r="I1005">
        <f t="shared" si="121"/>
        <v>122.24297566633007</v>
      </c>
      <c r="J1005">
        <f t="shared" si="116"/>
        <v>470.91274584809855</v>
      </c>
      <c r="K1005" s="27">
        <f t="shared" si="117"/>
        <v>4118.8007216722463</v>
      </c>
    </row>
    <row r="1006" spans="1:11" x14ac:dyDescent="0.25">
      <c r="A1006" s="26">
        <v>956</v>
      </c>
      <c r="B1006" s="82">
        <f t="shared" si="118"/>
        <v>0</v>
      </c>
      <c r="C1006" s="58">
        <f t="shared" si="122"/>
        <v>104.50616427295054</v>
      </c>
      <c r="D1006" s="83">
        <f t="shared" si="119"/>
        <v>445.77777777777789</v>
      </c>
      <c r="E1006">
        <f t="shared" si="115"/>
        <v>0</v>
      </c>
      <c r="G1006">
        <v>956</v>
      </c>
      <c r="H1006" s="13">
        <f t="shared" si="120"/>
        <v>1.8572577375266519E-2</v>
      </c>
      <c r="I1006">
        <f t="shared" si="121"/>
        <v>122.26154824370533</v>
      </c>
      <c r="J1006">
        <f t="shared" si="116"/>
        <v>470.93195265725763</v>
      </c>
      <c r="K1006" s="27">
        <f t="shared" si="117"/>
        <v>4119.136613802335</v>
      </c>
    </row>
    <row r="1007" spans="1:11" x14ac:dyDescent="0.25">
      <c r="A1007" s="26">
        <v>957</v>
      </c>
      <c r="B1007" s="82">
        <f t="shared" si="118"/>
        <v>0</v>
      </c>
      <c r="C1007" s="58">
        <f t="shared" si="122"/>
        <v>104.50616427295054</v>
      </c>
      <c r="D1007" s="83">
        <f t="shared" si="119"/>
        <v>445.77777777777789</v>
      </c>
      <c r="E1007">
        <f t="shared" si="115"/>
        <v>0</v>
      </c>
      <c r="G1007">
        <v>957</v>
      </c>
      <c r="H1007" s="13">
        <f t="shared" si="120"/>
        <v>1.8572577375266519E-2</v>
      </c>
      <c r="I1007">
        <f t="shared" si="121"/>
        <v>122.2801208210806</v>
      </c>
      <c r="J1007">
        <f t="shared" si="116"/>
        <v>470.95114923228999</v>
      </c>
      <c r="K1007" s="27">
        <f t="shared" si="117"/>
        <v>4119.4723406670273</v>
      </c>
    </row>
    <row r="1008" spans="1:11" x14ac:dyDescent="0.25">
      <c r="A1008" s="26">
        <v>958</v>
      </c>
      <c r="B1008" s="82">
        <f t="shared" si="118"/>
        <v>0</v>
      </c>
      <c r="C1008" s="58">
        <f t="shared" si="122"/>
        <v>104.50616427295054</v>
      </c>
      <c r="D1008" s="83">
        <f t="shared" si="119"/>
        <v>445.77777777777789</v>
      </c>
      <c r="E1008">
        <f t="shared" si="115"/>
        <v>0</v>
      </c>
      <c r="G1008">
        <v>958</v>
      </c>
      <c r="H1008" s="13">
        <f t="shared" si="120"/>
        <v>1.8572577375266519E-2</v>
      </c>
      <c r="I1008">
        <f t="shared" si="121"/>
        <v>122.29869339845587</v>
      </c>
      <c r="J1008">
        <f t="shared" si="116"/>
        <v>470.9703355816431</v>
      </c>
      <c r="K1008" s="27">
        <f t="shared" si="117"/>
        <v>4119.8079023921118</v>
      </c>
    </row>
    <row r="1009" spans="1:11" x14ac:dyDescent="0.25">
      <c r="A1009" s="26">
        <v>959</v>
      </c>
      <c r="B1009" s="82">
        <f t="shared" si="118"/>
        <v>0</v>
      </c>
      <c r="C1009" s="58">
        <f t="shared" si="122"/>
        <v>104.50616427295054</v>
      </c>
      <c r="D1009" s="83">
        <f t="shared" si="119"/>
        <v>445.77777777777789</v>
      </c>
      <c r="E1009">
        <f t="shared" si="115"/>
        <v>0</v>
      </c>
      <c r="G1009">
        <v>959</v>
      </c>
      <c r="H1009" s="13">
        <f t="shared" si="120"/>
        <v>1.8572577375266519E-2</v>
      </c>
      <c r="I1009">
        <f t="shared" si="121"/>
        <v>122.31726597583113</v>
      </c>
      <c r="J1009">
        <f t="shared" si="116"/>
        <v>470.98951171375069</v>
      </c>
      <c r="K1009" s="27">
        <f t="shared" si="117"/>
        <v>4120.143299103167</v>
      </c>
    </row>
    <row r="1010" spans="1:11" x14ac:dyDescent="0.25">
      <c r="A1010" s="26">
        <v>960</v>
      </c>
      <c r="B1010" s="82">
        <f t="shared" si="118"/>
        <v>0</v>
      </c>
      <c r="C1010" s="58">
        <f t="shared" si="122"/>
        <v>104.50616427295054</v>
      </c>
      <c r="D1010" s="83">
        <f t="shared" si="119"/>
        <v>445.77777777777789</v>
      </c>
      <c r="E1010">
        <f t="shared" si="115"/>
        <v>0</v>
      </c>
      <c r="G1010">
        <v>960</v>
      </c>
      <c r="H1010" s="13">
        <f t="shared" si="120"/>
        <v>1.8572577375266519E-2</v>
      </c>
      <c r="I1010">
        <f t="shared" si="121"/>
        <v>122.3358385532064</v>
      </c>
      <c r="J1010">
        <f t="shared" si="116"/>
        <v>471.00867763703252</v>
      </c>
      <c r="K1010" s="27">
        <f t="shared" si="117"/>
        <v>4120.4785309255712</v>
      </c>
    </row>
    <row r="1011" spans="1:11" x14ac:dyDescent="0.25">
      <c r="A1011" s="26">
        <v>961</v>
      </c>
      <c r="B1011" s="82">
        <f t="shared" si="118"/>
        <v>0</v>
      </c>
      <c r="C1011" s="58">
        <f t="shared" si="122"/>
        <v>104.50616427295054</v>
      </c>
      <c r="D1011" s="83">
        <f t="shared" si="119"/>
        <v>445.77777777777789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1.8572577375266519E-2</v>
      </c>
      <c r="I1011">
        <f t="shared" si="121"/>
        <v>122.35441113058167</v>
      </c>
      <c r="J1011">
        <f t="shared" ref="J1011:J1074" si="124">IF($G$28&lt;$C$14,0,((($C$11^2)-((I1011-$C$13)^2))^0.5)+$C$16)</f>
        <v>471.02783335989494</v>
      </c>
      <c r="K1011" s="27">
        <f t="shared" ref="K1011:K1074" si="125">((J1011^2)+(J1011*J1012)+(J1012^2))*H1012/3</f>
        <v>4120.8135979844947</v>
      </c>
    </row>
    <row r="1012" spans="1:11" x14ac:dyDescent="0.25">
      <c r="A1012" s="26">
        <v>962</v>
      </c>
      <c r="B1012" s="82">
        <f t="shared" ref="B1012:B1075" si="126">C1012-C1011</f>
        <v>0</v>
      </c>
      <c r="C1012" s="58">
        <f t="shared" si="122"/>
        <v>104.50616427295054</v>
      </c>
      <c r="D1012" s="83">
        <f t="shared" ref="D1012:D1075" si="127">IF($G$28&lt;$C$14,0,((($C$11^2)-((C1012-$C$13)^2))^0.5)+$C$16)</f>
        <v>445.77777777777789</v>
      </c>
      <c r="E1012">
        <f t="shared" si="123"/>
        <v>0</v>
      </c>
      <c r="G1012">
        <v>962</v>
      </c>
      <c r="H1012" s="13">
        <f t="shared" ref="H1012:H1075" si="128">I1012-I1011</f>
        <v>1.8572577375266519E-2</v>
      </c>
      <c r="I1012">
        <f t="shared" ref="I1012:I1075" si="129">($G$27-$C$14)/2000+I1011</f>
        <v>122.37298370795693</v>
      </c>
      <c r="J1012">
        <f t="shared" si="124"/>
        <v>471.04697889073026</v>
      </c>
      <c r="K1012" s="27">
        <f t="shared" si="125"/>
        <v>4121.1485004049091</v>
      </c>
    </row>
    <row r="1013" spans="1:11" x14ac:dyDescent="0.25">
      <c r="A1013" s="26">
        <v>963</v>
      </c>
      <c r="B1013" s="82">
        <f t="shared" si="126"/>
        <v>0</v>
      </c>
      <c r="C1013" s="58">
        <f t="shared" si="122"/>
        <v>104.50616427295054</v>
      </c>
      <c r="D1013" s="83">
        <f t="shared" si="127"/>
        <v>445.77777777777789</v>
      </c>
      <c r="E1013">
        <f t="shared" si="123"/>
        <v>0</v>
      </c>
      <c r="G1013">
        <v>963</v>
      </c>
      <c r="H1013" s="13">
        <f t="shared" si="128"/>
        <v>1.8572577375266519E-2</v>
      </c>
      <c r="I1013">
        <f t="shared" si="129"/>
        <v>122.3915562853322</v>
      </c>
      <c r="J1013">
        <f t="shared" si="124"/>
        <v>471.06611423791742</v>
      </c>
      <c r="K1013" s="27">
        <f t="shared" si="125"/>
        <v>4121.4832383115745</v>
      </c>
    </row>
    <row r="1014" spans="1:11" x14ac:dyDescent="0.25">
      <c r="A1014" s="26">
        <v>964</v>
      </c>
      <c r="B1014" s="82">
        <f t="shared" si="126"/>
        <v>0</v>
      </c>
      <c r="C1014" s="58">
        <f t="shared" si="122"/>
        <v>104.50616427295054</v>
      </c>
      <c r="D1014" s="83">
        <f t="shared" si="127"/>
        <v>445.77777777777789</v>
      </c>
      <c r="E1014">
        <f t="shared" si="123"/>
        <v>0</v>
      </c>
      <c r="G1014">
        <v>964</v>
      </c>
      <c r="H1014" s="13">
        <f t="shared" si="128"/>
        <v>1.8572577375266519E-2</v>
      </c>
      <c r="I1014">
        <f t="shared" si="129"/>
        <v>122.41012886270747</v>
      </c>
      <c r="J1014">
        <f t="shared" si="124"/>
        <v>471.0852394098215</v>
      </c>
      <c r="K1014" s="27">
        <f t="shared" si="125"/>
        <v>4121.8178118290571</v>
      </c>
    </row>
    <row r="1015" spans="1:11" x14ac:dyDescent="0.25">
      <c r="A1015" s="26">
        <v>965</v>
      </c>
      <c r="B1015" s="82">
        <f t="shared" si="126"/>
        <v>0</v>
      </c>
      <c r="C1015" s="58">
        <f t="shared" si="122"/>
        <v>104.50616427295054</v>
      </c>
      <c r="D1015" s="83">
        <f t="shared" si="127"/>
        <v>445.77777777777789</v>
      </c>
      <c r="E1015">
        <f t="shared" si="123"/>
        <v>0</v>
      </c>
      <c r="G1015">
        <v>965</v>
      </c>
      <c r="H1015" s="13">
        <f t="shared" si="128"/>
        <v>1.8572577375266519E-2</v>
      </c>
      <c r="I1015">
        <f t="shared" si="129"/>
        <v>122.42870144008273</v>
      </c>
      <c r="J1015">
        <f t="shared" si="124"/>
        <v>471.10435441479416</v>
      </c>
      <c r="K1015" s="27">
        <f t="shared" si="125"/>
        <v>4122.1522210817138</v>
      </c>
    </row>
    <row r="1016" spans="1:11" x14ac:dyDescent="0.25">
      <c r="A1016" s="26">
        <v>966</v>
      </c>
      <c r="B1016" s="82">
        <f t="shared" si="126"/>
        <v>0</v>
      </c>
      <c r="C1016" s="58">
        <f t="shared" si="122"/>
        <v>104.50616427295054</v>
      </c>
      <c r="D1016" s="83">
        <f t="shared" si="127"/>
        <v>445.77777777777789</v>
      </c>
      <c r="E1016">
        <f t="shared" si="123"/>
        <v>0</v>
      </c>
      <c r="G1016">
        <v>966</v>
      </c>
      <c r="H1016" s="13">
        <f t="shared" si="128"/>
        <v>1.8572577375266519E-2</v>
      </c>
      <c r="I1016">
        <f t="shared" si="129"/>
        <v>122.447274017458</v>
      </c>
      <c r="J1016">
        <f t="shared" si="124"/>
        <v>471.12345926117337</v>
      </c>
      <c r="K1016" s="27">
        <f t="shared" si="125"/>
        <v>4122.4864661937036</v>
      </c>
    </row>
    <row r="1017" spans="1:11" x14ac:dyDescent="0.25">
      <c r="A1017" s="26">
        <v>967</v>
      </c>
      <c r="B1017" s="82">
        <f t="shared" si="126"/>
        <v>0</v>
      </c>
      <c r="C1017" s="58">
        <f t="shared" si="122"/>
        <v>104.50616427295054</v>
      </c>
      <c r="D1017" s="83">
        <f t="shared" si="127"/>
        <v>445.77777777777789</v>
      </c>
      <c r="E1017">
        <f t="shared" si="123"/>
        <v>0</v>
      </c>
      <c r="G1017">
        <v>967</v>
      </c>
      <c r="H1017" s="13">
        <f t="shared" si="128"/>
        <v>1.8572577375266519E-2</v>
      </c>
      <c r="I1017">
        <f t="shared" si="129"/>
        <v>122.46584659483327</v>
      </c>
      <c r="J1017">
        <f t="shared" si="124"/>
        <v>471.14255395728367</v>
      </c>
      <c r="K1017" s="27">
        <f t="shared" si="125"/>
        <v>4122.8205472889831</v>
      </c>
    </row>
    <row r="1018" spans="1:11" x14ac:dyDescent="0.25">
      <c r="A1018" s="26">
        <v>968</v>
      </c>
      <c r="B1018" s="82">
        <f t="shared" si="126"/>
        <v>0</v>
      </c>
      <c r="C1018" s="58">
        <f t="shared" si="122"/>
        <v>104.50616427295054</v>
      </c>
      <c r="D1018" s="83">
        <f t="shared" si="127"/>
        <v>445.77777777777789</v>
      </c>
      <c r="E1018">
        <f t="shared" si="123"/>
        <v>0</v>
      </c>
      <c r="G1018">
        <v>968</v>
      </c>
      <c r="H1018" s="13">
        <f t="shared" si="128"/>
        <v>1.8572577375266519E-2</v>
      </c>
      <c r="I1018">
        <f t="shared" si="129"/>
        <v>122.48441917220853</v>
      </c>
      <c r="J1018">
        <f t="shared" si="124"/>
        <v>471.16163851143597</v>
      </c>
      <c r="K1018" s="27">
        <f t="shared" si="125"/>
        <v>4123.1544644913038</v>
      </c>
    </row>
    <row r="1019" spans="1:11" x14ac:dyDescent="0.25">
      <c r="A1019" s="26">
        <v>969</v>
      </c>
      <c r="B1019" s="82">
        <f t="shared" si="126"/>
        <v>0</v>
      </c>
      <c r="C1019" s="58">
        <f t="shared" si="122"/>
        <v>104.50616427295054</v>
      </c>
      <c r="D1019" s="83">
        <f t="shared" si="127"/>
        <v>445.77777777777789</v>
      </c>
      <c r="E1019">
        <f t="shared" si="123"/>
        <v>0</v>
      </c>
      <c r="G1019">
        <v>969</v>
      </c>
      <c r="H1019" s="13">
        <f t="shared" si="128"/>
        <v>1.8572577375266519E-2</v>
      </c>
      <c r="I1019">
        <f t="shared" si="129"/>
        <v>122.5029917495838</v>
      </c>
      <c r="J1019">
        <f t="shared" si="124"/>
        <v>471.1807129319277</v>
      </c>
      <c r="K1019" s="27">
        <f t="shared" si="125"/>
        <v>4123.4882179242222</v>
      </c>
    </row>
    <row r="1020" spans="1:11" x14ac:dyDescent="0.25">
      <c r="A1020" s="26">
        <v>970</v>
      </c>
      <c r="B1020" s="82">
        <f t="shared" si="126"/>
        <v>0</v>
      </c>
      <c r="C1020" s="58">
        <f t="shared" si="122"/>
        <v>104.50616427295054</v>
      </c>
      <c r="D1020" s="83">
        <f t="shared" si="127"/>
        <v>445.77777777777789</v>
      </c>
      <c r="E1020">
        <f t="shared" si="123"/>
        <v>0</v>
      </c>
      <c r="G1020">
        <v>970</v>
      </c>
      <c r="H1020" s="13">
        <f t="shared" si="128"/>
        <v>1.8572577375266519E-2</v>
      </c>
      <c r="I1020">
        <f t="shared" si="129"/>
        <v>122.52156432695907</v>
      </c>
      <c r="J1020">
        <f t="shared" si="124"/>
        <v>471.19977722704306</v>
      </c>
      <c r="K1020" s="27">
        <f t="shared" si="125"/>
        <v>4123.8218077110951</v>
      </c>
    </row>
    <row r="1021" spans="1:11" x14ac:dyDescent="0.25">
      <c r="A1021" s="26">
        <v>971</v>
      </c>
      <c r="B1021" s="82">
        <f t="shared" si="126"/>
        <v>0</v>
      </c>
      <c r="C1021" s="58">
        <f t="shared" si="122"/>
        <v>104.50616427295054</v>
      </c>
      <c r="D1021" s="83">
        <f t="shared" si="127"/>
        <v>445.77777777777789</v>
      </c>
      <c r="E1021">
        <f t="shared" si="123"/>
        <v>0</v>
      </c>
      <c r="G1021">
        <v>971</v>
      </c>
      <c r="H1021" s="13">
        <f t="shared" si="128"/>
        <v>1.8572577375266519E-2</v>
      </c>
      <c r="I1021">
        <f t="shared" si="129"/>
        <v>122.54013690433433</v>
      </c>
      <c r="J1021">
        <f t="shared" si="124"/>
        <v>471.21883140505258</v>
      </c>
      <c r="K1021" s="27">
        <f t="shared" si="125"/>
        <v>4124.1552339750715</v>
      </c>
    </row>
    <row r="1022" spans="1:11" x14ac:dyDescent="0.25">
      <c r="A1022" s="26">
        <v>972</v>
      </c>
      <c r="B1022" s="82">
        <f t="shared" si="126"/>
        <v>0</v>
      </c>
      <c r="C1022" s="58">
        <f t="shared" si="122"/>
        <v>104.50616427295054</v>
      </c>
      <c r="D1022" s="83">
        <f t="shared" si="127"/>
        <v>445.77777777777789</v>
      </c>
      <c r="E1022">
        <f t="shared" si="123"/>
        <v>0</v>
      </c>
      <c r="G1022">
        <v>972</v>
      </c>
      <c r="H1022" s="13">
        <f t="shared" si="128"/>
        <v>1.8572577375266519E-2</v>
      </c>
      <c r="I1022">
        <f t="shared" si="129"/>
        <v>122.5587094817096</v>
      </c>
      <c r="J1022">
        <f t="shared" si="124"/>
        <v>471.23787547421347</v>
      </c>
      <c r="K1022" s="27">
        <f t="shared" si="125"/>
        <v>4124.4884968391107</v>
      </c>
    </row>
    <row r="1023" spans="1:11" x14ac:dyDescent="0.25">
      <c r="A1023" s="26">
        <v>973</v>
      </c>
      <c r="B1023" s="82">
        <f t="shared" si="126"/>
        <v>0</v>
      </c>
      <c r="C1023" s="58">
        <f t="shared" si="122"/>
        <v>104.50616427295054</v>
      </c>
      <c r="D1023" s="83">
        <f t="shared" si="127"/>
        <v>445.77777777777789</v>
      </c>
      <c r="E1023">
        <f t="shared" si="123"/>
        <v>0</v>
      </c>
      <c r="G1023">
        <v>973</v>
      </c>
      <c r="H1023" s="13">
        <f t="shared" si="128"/>
        <v>1.8572577375266519E-2</v>
      </c>
      <c r="I1023">
        <f t="shared" si="129"/>
        <v>122.57728205908487</v>
      </c>
      <c r="J1023">
        <f t="shared" si="124"/>
        <v>471.25690944276971</v>
      </c>
      <c r="K1023" s="27">
        <f t="shared" si="125"/>
        <v>4124.821596425968</v>
      </c>
    </row>
    <row r="1024" spans="1:11" x14ac:dyDescent="0.25">
      <c r="A1024" s="26">
        <v>974</v>
      </c>
      <c r="B1024" s="82">
        <f t="shared" si="126"/>
        <v>0</v>
      </c>
      <c r="C1024" s="58">
        <f t="shared" si="122"/>
        <v>104.50616427295054</v>
      </c>
      <c r="D1024" s="83">
        <f t="shared" si="127"/>
        <v>445.77777777777789</v>
      </c>
      <c r="E1024">
        <f t="shared" si="123"/>
        <v>0</v>
      </c>
      <c r="G1024">
        <v>974</v>
      </c>
      <c r="H1024" s="13">
        <f t="shared" si="128"/>
        <v>1.8572577375266519E-2</v>
      </c>
      <c r="I1024">
        <f t="shared" si="129"/>
        <v>122.59585463646013</v>
      </c>
      <c r="J1024">
        <f t="shared" si="124"/>
        <v>471.27593331895173</v>
      </c>
      <c r="K1024" s="27">
        <f t="shared" si="125"/>
        <v>4125.1545328581988</v>
      </c>
    </row>
    <row r="1025" spans="1:11" x14ac:dyDescent="0.25">
      <c r="A1025" s="26">
        <v>975</v>
      </c>
      <c r="B1025" s="82">
        <f t="shared" si="126"/>
        <v>0</v>
      </c>
      <c r="C1025" s="58">
        <f t="shared" si="122"/>
        <v>104.50616427295054</v>
      </c>
      <c r="D1025" s="83">
        <f t="shared" si="127"/>
        <v>445.77777777777789</v>
      </c>
      <c r="E1025">
        <f t="shared" si="123"/>
        <v>0</v>
      </c>
      <c r="G1025">
        <v>975</v>
      </c>
      <c r="H1025" s="13">
        <f t="shared" si="128"/>
        <v>1.8572577375266519E-2</v>
      </c>
      <c r="I1025">
        <f t="shared" si="129"/>
        <v>122.6144272138354</v>
      </c>
      <c r="J1025">
        <f t="shared" si="124"/>
        <v>471.29494711097686</v>
      </c>
      <c r="K1025" s="27">
        <f t="shared" si="125"/>
        <v>4125.4873062581655</v>
      </c>
    </row>
    <row r="1026" spans="1:11" x14ac:dyDescent="0.25">
      <c r="A1026" s="26">
        <v>976</v>
      </c>
      <c r="B1026" s="82">
        <f t="shared" si="126"/>
        <v>0</v>
      </c>
      <c r="C1026" s="58">
        <f t="shared" si="122"/>
        <v>104.50616427295054</v>
      </c>
      <c r="D1026" s="83">
        <f t="shared" si="127"/>
        <v>445.77777777777789</v>
      </c>
      <c r="E1026">
        <f t="shared" si="123"/>
        <v>0</v>
      </c>
      <c r="G1026">
        <v>976</v>
      </c>
      <c r="H1026" s="13">
        <f t="shared" si="128"/>
        <v>1.8572577375266519E-2</v>
      </c>
      <c r="I1026">
        <f t="shared" si="129"/>
        <v>122.63299979121066</v>
      </c>
      <c r="J1026">
        <f t="shared" si="124"/>
        <v>471.3139508270491</v>
      </c>
      <c r="K1026" s="27">
        <f t="shared" si="125"/>
        <v>4125.8199167480307</v>
      </c>
    </row>
    <row r="1027" spans="1:11" x14ac:dyDescent="0.25">
      <c r="A1027" s="26">
        <v>977</v>
      </c>
      <c r="B1027" s="82">
        <f t="shared" si="126"/>
        <v>0</v>
      </c>
      <c r="C1027" s="58">
        <f t="shared" si="122"/>
        <v>104.50616427295054</v>
      </c>
      <c r="D1027" s="83">
        <f t="shared" si="127"/>
        <v>445.77777777777789</v>
      </c>
      <c r="E1027">
        <f t="shared" si="123"/>
        <v>0</v>
      </c>
      <c r="G1027">
        <v>977</v>
      </c>
      <c r="H1027" s="13">
        <f t="shared" si="128"/>
        <v>1.8572577375266519E-2</v>
      </c>
      <c r="I1027">
        <f t="shared" si="129"/>
        <v>122.65157236858593</v>
      </c>
      <c r="J1027">
        <f t="shared" si="124"/>
        <v>471.33294447535917</v>
      </c>
      <c r="K1027" s="27">
        <f t="shared" si="125"/>
        <v>4126.1523644497584</v>
      </c>
    </row>
    <row r="1028" spans="1:11" x14ac:dyDescent="0.25">
      <c r="A1028" s="26">
        <v>978</v>
      </c>
      <c r="B1028" s="82">
        <f t="shared" si="126"/>
        <v>0</v>
      </c>
      <c r="C1028" s="58">
        <f t="shared" si="122"/>
        <v>104.50616427295054</v>
      </c>
      <c r="D1028" s="83">
        <f t="shared" si="127"/>
        <v>445.77777777777789</v>
      </c>
      <c r="E1028">
        <f t="shared" si="123"/>
        <v>0</v>
      </c>
      <c r="G1028">
        <v>978</v>
      </c>
      <c r="H1028" s="13">
        <f t="shared" si="128"/>
        <v>1.8572577375266519E-2</v>
      </c>
      <c r="I1028">
        <f t="shared" si="129"/>
        <v>122.6701449459612</v>
      </c>
      <c r="J1028">
        <f t="shared" si="124"/>
        <v>471.35192806408463</v>
      </c>
      <c r="K1028" s="27">
        <f t="shared" si="125"/>
        <v>4126.4846494851181</v>
      </c>
    </row>
    <row r="1029" spans="1:11" x14ac:dyDescent="0.25">
      <c r="A1029" s="26">
        <v>979</v>
      </c>
      <c r="B1029" s="82">
        <f t="shared" si="126"/>
        <v>0</v>
      </c>
      <c r="C1029" s="58">
        <f t="shared" si="122"/>
        <v>104.50616427295054</v>
      </c>
      <c r="D1029" s="83">
        <f t="shared" si="127"/>
        <v>445.77777777777789</v>
      </c>
      <c r="E1029">
        <f t="shared" si="123"/>
        <v>0</v>
      </c>
      <c r="G1029">
        <v>979</v>
      </c>
      <c r="H1029" s="13">
        <f t="shared" si="128"/>
        <v>1.8572577375266519E-2</v>
      </c>
      <c r="I1029">
        <f t="shared" si="129"/>
        <v>122.68871752333646</v>
      </c>
      <c r="J1029">
        <f t="shared" si="124"/>
        <v>471.37090160138985</v>
      </c>
      <c r="K1029" s="27">
        <f t="shared" si="125"/>
        <v>4126.816771975683</v>
      </c>
    </row>
    <row r="1030" spans="1:11" x14ac:dyDescent="0.25">
      <c r="A1030" s="26">
        <v>980</v>
      </c>
      <c r="B1030" s="82">
        <f t="shared" si="126"/>
        <v>0</v>
      </c>
      <c r="C1030" s="58">
        <f t="shared" si="122"/>
        <v>104.50616427295054</v>
      </c>
      <c r="D1030" s="83">
        <f t="shared" si="127"/>
        <v>445.77777777777789</v>
      </c>
      <c r="E1030">
        <f t="shared" si="123"/>
        <v>0</v>
      </c>
      <c r="G1030">
        <v>980</v>
      </c>
      <c r="H1030" s="13">
        <f t="shared" si="128"/>
        <v>1.8572577375266519E-2</v>
      </c>
      <c r="I1030">
        <f t="shared" si="129"/>
        <v>122.70729010071173</v>
      </c>
      <c r="J1030">
        <f t="shared" si="124"/>
        <v>471.3898650954261</v>
      </c>
      <c r="K1030" s="27">
        <f t="shared" si="125"/>
        <v>4127.1487320428287</v>
      </c>
    </row>
    <row r="1031" spans="1:11" x14ac:dyDescent="0.25">
      <c r="A1031" s="26">
        <v>981</v>
      </c>
      <c r="B1031" s="82">
        <f t="shared" si="126"/>
        <v>0</v>
      </c>
      <c r="C1031" s="58">
        <f t="shared" si="122"/>
        <v>104.50616427295054</v>
      </c>
      <c r="D1031" s="83">
        <f t="shared" si="127"/>
        <v>445.77777777777789</v>
      </c>
      <c r="E1031">
        <f t="shared" si="123"/>
        <v>0</v>
      </c>
      <c r="G1031">
        <v>981</v>
      </c>
      <c r="H1031" s="13">
        <f t="shared" si="128"/>
        <v>1.8572577375266519E-2</v>
      </c>
      <c r="I1031">
        <f t="shared" si="129"/>
        <v>122.725862678087</v>
      </c>
      <c r="J1031">
        <f t="shared" si="124"/>
        <v>471.40881855433133</v>
      </c>
      <c r="K1031" s="27">
        <f t="shared" si="125"/>
        <v>4127.4805298077381</v>
      </c>
    </row>
    <row r="1032" spans="1:11" x14ac:dyDescent="0.25">
      <c r="A1032" s="26">
        <v>982</v>
      </c>
      <c r="B1032" s="82">
        <f t="shared" si="126"/>
        <v>0</v>
      </c>
      <c r="C1032" s="58">
        <f t="shared" si="122"/>
        <v>104.50616427295054</v>
      </c>
      <c r="D1032" s="83">
        <f t="shared" si="127"/>
        <v>445.77777777777789</v>
      </c>
      <c r="E1032">
        <f t="shared" si="123"/>
        <v>0</v>
      </c>
      <c r="G1032">
        <v>982</v>
      </c>
      <c r="H1032" s="13">
        <f t="shared" si="128"/>
        <v>1.8572577375266519E-2</v>
      </c>
      <c r="I1032">
        <f t="shared" si="129"/>
        <v>122.74443525546226</v>
      </c>
      <c r="J1032">
        <f t="shared" si="124"/>
        <v>471.42776198623073</v>
      </c>
      <c r="K1032" s="27">
        <f t="shared" si="125"/>
        <v>4127.8121653913977</v>
      </c>
    </row>
    <row r="1033" spans="1:11" x14ac:dyDescent="0.25">
      <c r="A1033" s="26">
        <v>983</v>
      </c>
      <c r="B1033" s="82">
        <f t="shared" si="126"/>
        <v>0</v>
      </c>
      <c r="C1033" s="58">
        <f t="shared" si="122"/>
        <v>104.50616427295054</v>
      </c>
      <c r="D1033" s="83">
        <f t="shared" si="127"/>
        <v>445.77777777777789</v>
      </c>
      <c r="E1033">
        <f t="shared" si="123"/>
        <v>0</v>
      </c>
      <c r="G1033">
        <v>983</v>
      </c>
      <c r="H1033" s="13">
        <f t="shared" si="128"/>
        <v>1.8572577375266519E-2</v>
      </c>
      <c r="I1033">
        <f t="shared" si="129"/>
        <v>122.76300783283753</v>
      </c>
      <c r="J1033">
        <f t="shared" si="124"/>
        <v>471.44669539923615</v>
      </c>
      <c r="K1033" s="27">
        <f t="shared" si="125"/>
        <v>4128.1436389145993</v>
      </c>
    </row>
    <row r="1034" spans="1:11" x14ac:dyDescent="0.25">
      <c r="A1034" s="26">
        <v>984</v>
      </c>
      <c r="B1034" s="82">
        <f t="shared" si="126"/>
        <v>0</v>
      </c>
      <c r="C1034" s="58">
        <f t="shared" si="122"/>
        <v>104.50616427295054</v>
      </c>
      <c r="D1034" s="83">
        <f t="shared" si="127"/>
        <v>445.77777777777789</v>
      </c>
      <c r="E1034">
        <f t="shared" si="123"/>
        <v>0</v>
      </c>
      <c r="G1034">
        <v>984</v>
      </c>
      <c r="H1034" s="13">
        <f t="shared" si="128"/>
        <v>1.8572577375266519E-2</v>
      </c>
      <c r="I1034">
        <f t="shared" si="129"/>
        <v>122.7815804102128</v>
      </c>
      <c r="J1034">
        <f t="shared" si="124"/>
        <v>471.46561880144651</v>
      </c>
      <c r="K1034" s="27">
        <f t="shared" si="125"/>
        <v>4128.4749504979418</v>
      </c>
    </row>
    <row r="1035" spans="1:11" x14ac:dyDescent="0.25">
      <c r="A1035" s="26">
        <v>985</v>
      </c>
      <c r="B1035" s="82">
        <f t="shared" si="126"/>
        <v>0</v>
      </c>
      <c r="C1035" s="58">
        <f t="shared" si="122"/>
        <v>104.50616427295054</v>
      </c>
      <c r="D1035" s="83">
        <f t="shared" si="127"/>
        <v>445.77777777777789</v>
      </c>
      <c r="E1035">
        <f t="shared" si="123"/>
        <v>0</v>
      </c>
      <c r="G1035">
        <v>985</v>
      </c>
      <c r="H1035" s="13">
        <f t="shared" si="128"/>
        <v>1.8572577375266519E-2</v>
      </c>
      <c r="I1035">
        <f t="shared" si="129"/>
        <v>122.80015298758806</v>
      </c>
      <c r="J1035">
        <f t="shared" si="124"/>
        <v>471.4845322009478</v>
      </c>
      <c r="K1035" s="27">
        <f t="shared" si="125"/>
        <v>4128.8061002618297</v>
      </c>
    </row>
    <row r="1036" spans="1:11" x14ac:dyDescent="0.25">
      <c r="A1036" s="26">
        <v>986</v>
      </c>
      <c r="B1036" s="82">
        <f t="shared" si="126"/>
        <v>0</v>
      </c>
      <c r="C1036" s="58">
        <f t="shared" si="122"/>
        <v>104.50616427295054</v>
      </c>
      <c r="D1036" s="83">
        <f t="shared" si="127"/>
        <v>445.77777777777789</v>
      </c>
      <c r="E1036">
        <f t="shared" si="123"/>
        <v>0</v>
      </c>
      <c r="G1036">
        <v>986</v>
      </c>
      <c r="H1036" s="13">
        <f t="shared" si="128"/>
        <v>1.8572577375266519E-2</v>
      </c>
      <c r="I1036">
        <f t="shared" si="129"/>
        <v>122.81872556496333</v>
      </c>
      <c r="J1036">
        <f t="shared" si="124"/>
        <v>471.50343560581285</v>
      </c>
      <c r="K1036" s="27">
        <f t="shared" si="125"/>
        <v>4129.1370883264744</v>
      </c>
    </row>
    <row r="1037" spans="1:11" x14ac:dyDescent="0.25">
      <c r="A1037" s="26">
        <v>987</v>
      </c>
      <c r="B1037" s="82">
        <f t="shared" si="126"/>
        <v>0</v>
      </c>
      <c r="C1037" s="58">
        <f t="shared" si="122"/>
        <v>104.50616427295054</v>
      </c>
      <c r="D1037" s="83">
        <f t="shared" si="127"/>
        <v>445.77777777777789</v>
      </c>
      <c r="E1037">
        <f t="shared" si="123"/>
        <v>0</v>
      </c>
      <c r="G1037">
        <v>987</v>
      </c>
      <c r="H1037" s="13">
        <f t="shared" si="128"/>
        <v>1.8572577375266519E-2</v>
      </c>
      <c r="I1037">
        <f t="shared" si="129"/>
        <v>122.8372981423386</v>
      </c>
      <c r="J1037">
        <f t="shared" si="124"/>
        <v>471.52232902410174</v>
      </c>
      <c r="K1037" s="27">
        <f t="shared" si="125"/>
        <v>4129.4679148118948</v>
      </c>
    </row>
    <row r="1038" spans="1:11" x14ac:dyDescent="0.25">
      <c r="A1038" s="26">
        <v>988</v>
      </c>
      <c r="B1038" s="82">
        <f t="shared" si="126"/>
        <v>0</v>
      </c>
      <c r="C1038" s="58">
        <f t="shared" si="122"/>
        <v>104.50616427295054</v>
      </c>
      <c r="D1038" s="83">
        <f t="shared" si="127"/>
        <v>445.77777777777789</v>
      </c>
      <c r="E1038">
        <f t="shared" si="123"/>
        <v>0</v>
      </c>
      <c r="G1038">
        <v>988</v>
      </c>
      <c r="H1038" s="13">
        <f t="shared" si="128"/>
        <v>1.8572577375266519E-2</v>
      </c>
      <c r="I1038">
        <f t="shared" si="129"/>
        <v>122.85587071971386</v>
      </c>
      <c r="J1038">
        <f t="shared" si="124"/>
        <v>471.54121246386148</v>
      </c>
      <c r="K1038" s="27">
        <f t="shared" si="125"/>
        <v>4129.7985798379186</v>
      </c>
    </row>
    <row r="1039" spans="1:11" x14ac:dyDescent="0.25">
      <c r="A1039" s="26">
        <v>989</v>
      </c>
      <c r="B1039" s="82">
        <f t="shared" si="126"/>
        <v>0</v>
      </c>
      <c r="C1039" s="58">
        <f t="shared" si="122"/>
        <v>104.50616427295054</v>
      </c>
      <c r="D1039" s="83">
        <f t="shared" si="127"/>
        <v>445.77777777777789</v>
      </c>
      <c r="E1039">
        <f t="shared" si="123"/>
        <v>0</v>
      </c>
      <c r="G1039">
        <v>989</v>
      </c>
      <c r="H1039" s="13">
        <f t="shared" si="128"/>
        <v>1.8572577375266519E-2</v>
      </c>
      <c r="I1039">
        <f t="shared" si="129"/>
        <v>122.87444329708913</v>
      </c>
      <c r="J1039">
        <f t="shared" si="124"/>
        <v>471.5600859331264</v>
      </c>
      <c r="K1039" s="27">
        <f t="shared" si="125"/>
        <v>4130.1290835241807</v>
      </c>
    </row>
    <row r="1040" spans="1:11" x14ac:dyDescent="0.25">
      <c r="A1040" s="26">
        <v>990</v>
      </c>
      <c r="B1040" s="82">
        <f t="shared" si="126"/>
        <v>0</v>
      </c>
      <c r="C1040" s="58">
        <f t="shared" ref="C1040:C1103" si="130">($C$37-$C$36)/2000+C1039</f>
        <v>104.50616427295054</v>
      </c>
      <c r="D1040" s="83">
        <f t="shared" si="127"/>
        <v>445.77777777777789</v>
      </c>
      <c r="E1040">
        <f t="shared" si="123"/>
        <v>0</v>
      </c>
      <c r="G1040">
        <v>990</v>
      </c>
      <c r="H1040" s="13">
        <f t="shared" si="128"/>
        <v>1.8572577375266519E-2</v>
      </c>
      <c r="I1040">
        <f t="shared" si="129"/>
        <v>122.8930158744644</v>
      </c>
      <c r="J1040">
        <f t="shared" si="124"/>
        <v>471.57894943991772</v>
      </c>
      <c r="K1040" s="27">
        <f t="shared" si="125"/>
        <v>4130.4594259901251</v>
      </c>
    </row>
    <row r="1041" spans="1:11" x14ac:dyDescent="0.25">
      <c r="A1041" s="26">
        <v>991</v>
      </c>
      <c r="B1041" s="82">
        <f t="shared" si="126"/>
        <v>0</v>
      </c>
      <c r="C1041" s="58">
        <f t="shared" si="130"/>
        <v>104.50616427295054</v>
      </c>
      <c r="D1041" s="83">
        <f t="shared" si="127"/>
        <v>445.77777777777789</v>
      </c>
      <c r="E1041">
        <f t="shared" si="123"/>
        <v>0</v>
      </c>
      <c r="G1041">
        <v>991</v>
      </c>
      <c r="H1041" s="13">
        <f t="shared" si="128"/>
        <v>1.8572577375266519E-2</v>
      </c>
      <c r="I1041">
        <f t="shared" si="129"/>
        <v>122.91158845183966</v>
      </c>
      <c r="J1041">
        <f t="shared" si="124"/>
        <v>471.59780299224406</v>
      </c>
      <c r="K1041" s="27">
        <f t="shared" si="125"/>
        <v>4130.789607355001</v>
      </c>
    </row>
    <row r="1042" spans="1:11" x14ac:dyDescent="0.25">
      <c r="A1042" s="26">
        <v>992</v>
      </c>
      <c r="B1042" s="82">
        <f t="shared" si="126"/>
        <v>0</v>
      </c>
      <c r="C1042" s="58">
        <f t="shared" si="130"/>
        <v>104.50616427295054</v>
      </c>
      <c r="D1042" s="83">
        <f t="shared" si="127"/>
        <v>445.77777777777789</v>
      </c>
      <c r="E1042">
        <f t="shared" si="123"/>
        <v>0</v>
      </c>
      <c r="G1042">
        <v>992</v>
      </c>
      <c r="H1042" s="13">
        <f t="shared" si="128"/>
        <v>1.8572577375266519E-2</v>
      </c>
      <c r="I1042">
        <f t="shared" si="129"/>
        <v>122.93016102921493</v>
      </c>
      <c r="J1042">
        <f t="shared" si="124"/>
        <v>471.61664659810094</v>
      </c>
      <c r="K1042" s="27">
        <f t="shared" si="125"/>
        <v>4131.119627737874</v>
      </c>
    </row>
    <row r="1043" spans="1:11" x14ac:dyDescent="0.25">
      <c r="A1043" s="26">
        <v>993</v>
      </c>
      <c r="B1043" s="82">
        <f t="shared" si="126"/>
        <v>0</v>
      </c>
      <c r="C1043" s="58">
        <f t="shared" si="130"/>
        <v>104.50616427295054</v>
      </c>
      <c r="D1043" s="83">
        <f t="shared" si="127"/>
        <v>445.77777777777789</v>
      </c>
      <c r="E1043">
        <f t="shared" si="123"/>
        <v>0</v>
      </c>
      <c r="G1043">
        <v>993</v>
      </c>
      <c r="H1043" s="13">
        <f t="shared" si="128"/>
        <v>1.8572577375266519E-2</v>
      </c>
      <c r="I1043">
        <f t="shared" si="129"/>
        <v>122.9487336065902</v>
      </c>
      <c r="J1043">
        <f t="shared" si="124"/>
        <v>471.63548026547153</v>
      </c>
      <c r="K1043" s="27">
        <f t="shared" si="125"/>
        <v>4131.4494872576142</v>
      </c>
    </row>
    <row r="1044" spans="1:11" x14ac:dyDescent="0.25">
      <c r="A1044" s="26">
        <v>994</v>
      </c>
      <c r="B1044" s="82">
        <f t="shared" si="126"/>
        <v>0</v>
      </c>
      <c r="C1044" s="58">
        <f t="shared" si="130"/>
        <v>104.50616427295054</v>
      </c>
      <c r="D1044" s="83">
        <f t="shared" si="127"/>
        <v>445.77777777777789</v>
      </c>
      <c r="E1044">
        <f t="shared" si="123"/>
        <v>0</v>
      </c>
      <c r="G1044">
        <v>994</v>
      </c>
      <c r="H1044" s="13">
        <f t="shared" si="128"/>
        <v>1.8572577375266519E-2</v>
      </c>
      <c r="I1044">
        <f t="shared" si="129"/>
        <v>122.96730618396546</v>
      </c>
      <c r="J1044">
        <f t="shared" si="124"/>
        <v>471.65430400232583</v>
      </c>
      <c r="K1044" s="27">
        <f t="shared" si="125"/>
        <v>4131.7791860329044</v>
      </c>
    </row>
    <row r="1045" spans="1:11" x14ac:dyDescent="0.25">
      <c r="A1045" s="26">
        <v>995</v>
      </c>
      <c r="B1045" s="82">
        <f t="shared" si="126"/>
        <v>0</v>
      </c>
      <c r="C1045" s="58">
        <f t="shared" si="130"/>
        <v>104.50616427295054</v>
      </c>
      <c r="D1045" s="83">
        <f t="shared" si="127"/>
        <v>445.77777777777789</v>
      </c>
      <c r="E1045">
        <f t="shared" si="123"/>
        <v>0</v>
      </c>
      <c r="G1045">
        <v>995</v>
      </c>
      <c r="H1045" s="13">
        <f t="shared" si="128"/>
        <v>1.8572577375266519E-2</v>
      </c>
      <c r="I1045">
        <f t="shared" si="129"/>
        <v>122.98587876134073</v>
      </c>
      <c r="J1045">
        <f t="shared" si="124"/>
        <v>471.67311781662147</v>
      </c>
      <c r="K1045" s="27">
        <f t="shared" si="125"/>
        <v>4132.1087241822388</v>
      </c>
    </row>
    <row r="1046" spans="1:11" x14ac:dyDescent="0.25">
      <c r="A1046" s="26">
        <v>996</v>
      </c>
      <c r="B1046" s="82">
        <f t="shared" si="126"/>
        <v>0</v>
      </c>
      <c r="C1046" s="58">
        <f t="shared" si="130"/>
        <v>104.50616427295054</v>
      </c>
      <c r="D1046" s="83">
        <f t="shared" si="127"/>
        <v>445.77777777777789</v>
      </c>
      <c r="E1046">
        <f t="shared" si="123"/>
        <v>0</v>
      </c>
      <c r="G1046">
        <v>996</v>
      </c>
      <c r="H1046" s="13">
        <f t="shared" si="128"/>
        <v>1.8572577375266519E-2</v>
      </c>
      <c r="I1046">
        <f t="shared" si="129"/>
        <v>123.004451338716</v>
      </c>
      <c r="J1046">
        <f t="shared" si="124"/>
        <v>471.69192171630317</v>
      </c>
      <c r="K1046" s="27">
        <f t="shared" si="125"/>
        <v>4132.4381018239192</v>
      </c>
    </row>
    <row r="1047" spans="1:11" x14ac:dyDescent="0.25">
      <c r="A1047" s="26">
        <v>997</v>
      </c>
      <c r="B1047" s="82">
        <f t="shared" si="126"/>
        <v>0</v>
      </c>
      <c r="C1047" s="58">
        <f t="shared" si="130"/>
        <v>104.50616427295054</v>
      </c>
      <c r="D1047" s="83">
        <f t="shared" si="127"/>
        <v>445.77777777777789</v>
      </c>
      <c r="E1047">
        <f t="shared" si="123"/>
        <v>0</v>
      </c>
      <c r="G1047">
        <v>997</v>
      </c>
      <c r="H1047" s="13">
        <f t="shared" si="128"/>
        <v>1.8572577375266519E-2</v>
      </c>
      <c r="I1047">
        <f t="shared" si="129"/>
        <v>123.02302391609126</v>
      </c>
      <c r="J1047">
        <f t="shared" si="124"/>
        <v>471.71071570930303</v>
      </c>
      <c r="K1047" s="27">
        <f t="shared" si="125"/>
        <v>4132.7673190760615</v>
      </c>
    </row>
    <row r="1048" spans="1:11" x14ac:dyDescent="0.25">
      <c r="A1048" s="26">
        <v>998</v>
      </c>
      <c r="B1048" s="82">
        <f t="shared" si="126"/>
        <v>0</v>
      </c>
      <c r="C1048" s="58">
        <f t="shared" si="130"/>
        <v>104.50616427295054</v>
      </c>
      <c r="D1048" s="83">
        <f t="shared" si="127"/>
        <v>445.77777777777789</v>
      </c>
      <c r="E1048">
        <f t="shared" si="123"/>
        <v>0</v>
      </c>
      <c r="G1048">
        <v>998</v>
      </c>
      <c r="H1048" s="13">
        <f t="shared" si="128"/>
        <v>1.8572577375266519E-2</v>
      </c>
      <c r="I1048">
        <f t="shared" si="129"/>
        <v>123.04159649346653</v>
      </c>
      <c r="J1048">
        <f t="shared" si="124"/>
        <v>471.72949980354059</v>
      </c>
      <c r="K1048" s="27">
        <f t="shared" si="125"/>
        <v>4133.0963760565937</v>
      </c>
    </row>
    <row r="1049" spans="1:11" x14ac:dyDescent="0.25">
      <c r="A1049" s="26">
        <v>999</v>
      </c>
      <c r="B1049" s="82">
        <f t="shared" si="126"/>
        <v>0</v>
      </c>
      <c r="C1049" s="58">
        <f t="shared" si="130"/>
        <v>104.50616427295054</v>
      </c>
      <c r="D1049" s="83">
        <f t="shared" si="127"/>
        <v>445.77777777777789</v>
      </c>
      <c r="E1049">
        <f t="shared" si="123"/>
        <v>0</v>
      </c>
      <c r="G1049">
        <v>999</v>
      </c>
      <c r="H1049" s="13">
        <f t="shared" si="128"/>
        <v>1.8572577375266519E-2</v>
      </c>
      <c r="I1049">
        <f t="shared" si="129"/>
        <v>123.06016907084179</v>
      </c>
      <c r="J1049">
        <f t="shared" si="124"/>
        <v>471.74827400692277</v>
      </c>
      <c r="K1049" s="27">
        <f t="shared" si="125"/>
        <v>4133.4252728832562</v>
      </c>
    </row>
    <row r="1050" spans="1:11" x14ac:dyDescent="0.25">
      <c r="A1050" s="26">
        <v>1000</v>
      </c>
      <c r="B1050" s="82">
        <f t="shared" si="126"/>
        <v>0</v>
      </c>
      <c r="C1050" s="58">
        <f t="shared" si="130"/>
        <v>104.50616427295054</v>
      </c>
      <c r="D1050" s="83">
        <f t="shared" si="127"/>
        <v>445.77777777777789</v>
      </c>
      <c r="E1050">
        <f t="shared" si="123"/>
        <v>0</v>
      </c>
      <c r="G1050">
        <v>1000</v>
      </c>
      <c r="H1050" s="13">
        <f t="shared" si="128"/>
        <v>1.8572577375266519E-2</v>
      </c>
      <c r="I1050">
        <f t="shared" si="129"/>
        <v>123.07874164821706</v>
      </c>
      <c r="J1050">
        <f t="shared" si="124"/>
        <v>471.76703832734381</v>
      </c>
      <c r="K1050" s="27">
        <f t="shared" si="125"/>
        <v>4133.7540096736002</v>
      </c>
    </row>
    <row r="1051" spans="1:11" x14ac:dyDescent="0.25">
      <c r="A1051" s="26">
        <v>1001</v>
      </c>
      <c r="B1051" s="82">
        <f t="shared" si="126"/>
        <v>0</v>
      </c>
      <c r="C1051" s="58">
        <f t="shared" si="130"/>
        <v>104.50616427295054</v>
      </c>
      <c r="D1051" s="83">
        <f t="shared" si="127"/>
        <v>445.77777777777789</v>
      </c>
      <c r="E1051">
        <f t="shared" si="123"/>
        <v>0</v>
      </c>
      <c r="G1051">
        <v>1001</v>
      </c>
      <c r="H1051" s="13">
        <f t="shared" si="128"/>
        <v>1.8572577375266519E-2</v>
      </c>
      <c r="I1051">
        <f t="shared" si="129"/>
        <v>123.09731422559233</v>
      </c>
      <c r="J1051">
        <f t="shared" si="124"/>
        <v>471.78579277268557</v>
      </c>
      <c r="K1051" s="27">
        <f t="shared" si="125"/>
        <v>4134.0825865449924</v>
      </c>
    </row>
    <row r="1052" spans="1:11" x14ac:dyDescent="0.25">
      <c r="A1052" s="26">
        <v>1002</v>
      </c>
      <c r="B1052" s="82">
        <f t="shared" si="126"/>
        <v>0</v>
      </c>
      <c r="C1052" s="58">
        <f t="shared" si="130"/>
        <v>104.50616427295054</v>
      </c>
      <c r="D1052" s="83">
        <f t="shared" si="127"/>
        <v>445.77777777777789</v>
      </c>
      <c r="E1052">
        <f t="shared" si="123"/>
        <v>0</v>
      </c>
      <c r="G1052">
        <v>1002</v>
      </c>
      <c r="H1052" s="13">
        <f t="shared" si="128"/>
        <v>1.8572577375266519E-2</v>
      </c>
      <c r="I1052">
        <f t="shared" si="129"/>
        <v>123.11588680296759</v>
      </c>
      <c r="J1052">
        <f t="shared" si="124"/>
        <v>471.80453735081721</v>
      </c>
      <c r="K1052" s="27">
        <f t="shared" si="125"/>
        <v>4134.411003614613</v>
      </c>
    </row>
    <row r="1053" spans="1:11" x14ac:dyDescent="0.25">
      <c r="A1053" s="26">
        <v>1003</v>
      </c>
      <c r="B1053" s="82">
        <f t="shared" si="126"/>
        <v>0</v>
      </c>
      <c r="C1053" s="58">
        <f t="shared" si="130"/>
        <v>104.50616427295054</v>
      </c>
      <c r="D1053" s="83">
        <f t="shared" si="127"/>
        <v>445.77777777777789</v>
      </c>
      <c r="E1053">
        <f t="shared" si="123"/>
        <v>0</v>
      </c>
      <c r="G1053">
        <v>1003</v>
      </c>
      <c r="H1053" s="13">
        <f t="shared" si="128"/>
        <v>1.8572577375266519E-2</v>
      </c>
      <c r="I1053">
        <f t="shared" si="129"/>
        <v>123.13445938034286</v>
      </c>
      <c r="J1053">
        <f t="shared" si="124"/>
        <v>471.82327206959559</v>
      </c>
      <c r="K1053" s="27">
        <f t="shared" si="125"/>
        <v>4134.739260999454</v>
      </c>
    </row>
    <row r="1054" spans="1:11" x14ac:dyDescent="0.25">
      <c r="A1054" s="26">
        <v>1004</v>
      </c>
      <c r="B1054" s="82">
        <f t="shared" si="126"/>
        <v>0</v>
      </c>
      <c r="C1054" s="58">
        <f t="shared" si="130"/>
        <v>104.50616427295054</v>
      </c>
      <c r="D1054" s="83">
        <f t="shared" si="127"/>
        <v>445.77777777777789</v>
      </c>
      <c r="E1054">
        <f t="shared" si="123"/>
        <v>0</v>
      </c>
      <c r="G1054">
        <v>1004</v>
      </c>
      <c r="H1054" s="13">
        <f t="shared" si="128"/>
        <v>1.8572577375266519E-2</v>
      </c>
      <c r="I1054">
        <f t="shared" si="129"/>
        <v>123.15303195771813</v>
      </c>
      <c r="J1054">
        <f t="shared" si="124"/>
        <v>471.84199693686492</v>
      </c>
      <c r="K1054" s="27">
        <f t="shared" si="125"/>
        <v>4135.0673588163254</v>
      </c>
    </row>
    <row r="1055" spans="1:11" x14ac:dyDescent="0.25">
      <c r="A1055" s="26">
        <v>1005</v>
      </c>
      <c r="B1055" s="82">
        <f t="shared" si="126"/>
        <v>0</v>
      </c>
      <c r="C1055" s="58">
        <f t="shared" si="130"/>
        <v>104.50616427295054</v>
      </c>
      <c r="D1055" s="83">
        <f t="shared" si="127"/>
        <v>445.77777777777789</v>
      </c>
      <c r="E1055">
        <f t="shared" si="123"/>
        <v>0</v>
      </c>
      <c r="G1055">
        <v>1005</v>
      </c>
      <c r="H1055" s="13">
        <f t="shared" si="128"/>
        <v>1.8572577375266519E-2</v>
      </c>
      <c r="I1055">
        <f t="shared" si="129"/>
        <v>123.17160453509339</v>
      </c>
      <c r="J1055">
        <f t="shared" si="124"/>
        <v>471.86071196045714</v>
      </c>
      <c r="K1055" s="27">
        <f t="shared" si="125"/>
        <v>4135.3952971818489</v>
      </c>
    </row>
    <row r="1056" spans="1:11" x14ac:dyDescent="0.25">
      <c r="A1056" s="26">
        <v>1006</v>
      </c>
      <c r="B1056" s="82">
        <f t="shared" si="126"/>
        <v>0</v>
      </c>
      <c r="C1056" s="58">
        <f t="shared" si="130"/>
        <v>104.50616427295054</v>
      </c>
      <c r="D1056" s="83">
        <f t="shared" si="127"/>
        <v>445.77777777777789</v>
      </c>
      <c r="E1056">
        <f t="shared" si="123"/>
        <v>0</v>
      </c>
      <c r="G1056">
        <v>1006</v>
      </c>
      <c r="H1056" s="13">
        <f t="shared" si="128"/>
        <v>1.8572577375266519E-2</v>
      </c>
      <c r="I1056">
        <f t="shared" si="129"/>
        <v>123.19017711246866</v>
      </c>
      <c r="J1056">
        <f t="shared" si="124"/>
        <v>471.87941714819158</v>
      </c>
      <c r="K1056" s="27">
        <f t="shared" si="125"/>
        <v>4135.7230762124627</v>
      </c>
    </row>
    <row r="1057" spans="1:11" x14ac:dyDescent="0.25">
      <c r="A1057" s="26">
        <v>1007</v>
      </c>
      <c r="B1057" s="82">
        <f t="shared" si="126"/>
        <v>0</v>
      </c>
      <c r="C1057" s="58">
        <f t="shared" si="130"/>
        <v>104.50616427295054</v>
      </c>
      <c r="D1057" s="83">
        <f t="shared" si="127"/>
        <v>445.77777777777789</v>
      </c>
      <c r="E1057">
        <f t="shared" si="123"/>
        <v>0</v>
      </c>
      <c r="G1057">
        <v>1007</v>
      </c>
      <c r="H1057" s="13">
        <f t="shared" si="128"/>
        <v>1.8572577375266519E-2</v>
      </c>
      <c r="I1057">
        <f t="shared" si="129"/>
        <v>123.20874968984393</v>
      </c>
      <c r="J1057">
        <f t="shared" si="124"/>
        <v>471.89811250787545</v>
      </c>
      <c r="K1057" s="27">
        <f t="shared" si="125"/>
        <v>4136.0506960244193</v>
      </c>
    </row>
    <row r="1058" spans="1:11" x14ac:dyDescent="0.25">
      <c r="A1058" s="26">
        <v>1008</v>
      </c>
      <c r="B1058" s="82">
        <f t="shared" si="126"/>
        <v>0</v>
      </c>
      <c r="C1058" s="58">
        <f t="shared" si="130"/>
        <v>104.50616427295054</v>
      </c>
      <c r="D1058" s="83">
        <f t="shared" si="127"/>
        <v>445.77777777777789</v>
      </c>
      <c r="E1058">
        <f t="shared" si="123"/>
        <v>0</v>
      </c>
      <c r="G1058">
        <v>1008</v>
      </c>
      <c r="H1058" s="13">
        <f t="shared" si="128"/>
        <v>1.8572577375266519E-2</v>
      </c>
      <c r="I1058">
        <f t="shared" si="129"/>
        <v>123.22732226721919</v>
      </c>
      <c r="J1058">
        <f t="shared" si="124"/>
        <v>471.91679804730336</v>
      </c>
      <c r="K1058" s="27">
        <f t="shared" si="125"/>
        <v>4136.378156733791</v>
      </c>
    </row>
    <row r="1059" spans="1:11" x14ac:dyDescent="0.25">
      <c r="A1059" s="26">
        <v>1009</v>
      </c>
      <c r="B1059" s="82">
        <f t="shared" si="126"/>
        <v>0</v>
      </c>
      <c r="C1059" s="58">
        <f t="shared" si="130"/>
        <v>104.50616427295054</v>
      </c>
      <c r="D1059" s="83">
        <f t="shared" si="127"/>
        <v>445.77777777777789</v>
      </c>
      <c r="E1059">
        <f t="shared" si="123"/>
        <v>0</v>
      </c>
      <c r="G1059">
        <v>1009</v>
      </c>
      <c r="H1059" s="13">
        <f t="shared" si="128"/>
        <v>1.8572577375266519E-2</v>
      </c>
      <c r="I1059">
        <f t="shared" si="129"/>
        <v>123.24589484459446</v>
      </c>
      <c r="J1059">
        <f t="shared" si="124"/>
        <v>471.93547377425767</v>
      </c>
      <c r="K1059" s="27">
        <f t="shared" si="125"/>
        <v>4136.7054584564621</v>
      </c>
    </row>
    <row r="1060" spans="1:11" x14ac:dyDescent="0.25">
      <c r="A1060" s="26">
        <v>1010</v>
      </c>
      <c r="B1060" s="82">
        <f t="shared" si="126"/>
        <v>0</v>
      </c>
      <c r="C1060" s="58">
        <f t="shared" si="130"/>
        <v>104.50616427295054</v>
      </c>
      <c r="D1060" s="83">
        <f t="shared" si="127"/>
        <v>445.77777777777789</v>
      </c>
      <c r="E1060">
        <f t="shared" si="123"/>
        <v>0</v>
      </c>
      <c r="G1060">
        <v>1010</v>
      </c>
      <c r="H1060" s="13">
        <f t="shared" si="128"/>
        <v>1.8572577375266519E-2</v>
      </c>
      <c r="I1060">
        <f t="shared" si="129"/>
        <v>123.26446742196973</v>
      </c>
      <c r="J1060">
        <f t="shared" si="124"/>
        <v>471.95413969650855</v>
      </c>
      <c r="K1060" s="27">
        <f t="shared" si="125"/>
        <v>4137.0326013081385</v>
      </c>
    </row>
    <row r="1061" spans="1:11" x14ac:dyDescent="0.25">
      <c r="A1061" s="26">
        <v>1011</v>
      </c>
      <c r="B1061" s="82">
        <f t="shared" si="126"/>
        <v>0</v>
      </c>
      <c r="C1061" s="58">
        <f t="shared" si="130"/>
        <v>104.50616427295054</v>
      </c>
      <c r="D1061" s="83">
        <f t="shared" si="127"/>
        <v>445.77777777777789</v>
      </c>
      <c r="E1061">
        <f t="shared" si="123"/>
        <v>0</v>
      </c>
      <c r="G1061">
        <v>1011</v>
      </c>
      <c r="H1061" s="13">
        <f t="shared" si="128"/>
        <v>1.8572577375266519E-2</v>
      </c>
      <c r="I1061">
        <f t="shared" si="129"/>
        <v>123.28303999934499</v>
      </c>
      <c r="J1061">
        <f t="shared" si="124"/>
        <v>471.97279582181375</v>
      </c>
      <c r="K1061" s="27">
        <f t="shared" si="125"/>
        <v>4137.3595854043369</v>
      </c>
    </row>
    <row r="1062" spans="1:11" x14ac:dyDescent="0.25">
      <c r="A1062" s="26">
        <v>1012</v>
      </c>
      <c r="B1062" s="82">
        <f t="shared" si="126"/>
        <v>0</v>
      </c>
      <c r="C1062" s="58">
        <f t="shared" si="130"/>
        <v>104.50616427295054</v>
      </c>
      <c r="D1062" s="83">
        <f t="shared" si="127"/>
        <v>445.77777777777789</v>
      </c>
      <c r="E1062">
        <f t="shared" si="123"/>
        <v>0</v>
      </c>
      <c r="G1062">
        <v>1012</v>
      </c>
      <c r="H1062" s="13">
        <f t="shared" si="128"/>
        <v>1.8572577375266519E-2</v>
      </c>
      <c r="I1062">
        <f t="shared" si="129"/>
        <v>123.30161257672026</v>
      </c>
      <c r="J1062">
        <f t="shared" si="124"/>
        <v>471.99144215791887</v>
      </c>
      <c r="K1062" s="27">
        <f t="shared" si="125"/>
        <v>4137.6864108603977</v>
      </c>
    </row>
    <row r="1063" spans="1:11" x14ac:dyDescent="0.25">
      <c r="A1063" s="26">
        <v>1013</v>
      </c>
      <c r="B1063" s="82">
        <f t="shared" si="126"/>
        <v>0</v>
      </c>
      <c r="C1063" s="58">
        <f t="shared" si="130"/>
        <v>104.50616427295054</v>
      </c>
      <c r="D1063" s="83">
        <f t="shared" si="127"/>
        <v>445.77777777777789</v>
      </c>
      <c r="E1063">
        <f t="shared" si="123"/>
        <v>0</v>
      </c>
      <c r="G1063">
        <v>1013</v>
      </c>
      <c r="H1063" s="13">
        <f t="shared" si="128"/>
        <v>1.8572577375266519E-2</v>
      </c>
      <c r="I1063">
        <f t="shared" si="129"/>
        <v>123.32018515409553</v>
      </c>
      <c r="J1063">
        <f t="shared" si="124"/>
        <v>472.01007871255712</v>
      </c>
      <c r="K1063" s="27">
        <f t="shared" si="125"/>
        <v>4138.0130777914774</v>
      </c>
    </row>
    <row r="1064" spans="1:11" x14ac:dyDescent="0.25">
      <c r="A1064" s="26">
        <v>1014</v>
      </c>
      <c r="B1064" s="82">
        <f t="shared" si="126"/>
        <v>0</v>
      </c>
      <c r="C1064" s="58">
        <f t="shared" si="130"/>
        <v>104.50616427295054</v>
      </c>
      <c r="D1064" s="83">
        <f t="shared" si="127"/>
        <v>445.77777777777789</v>
      </c>
      <c r="E1064">
        <f t="shared" si="123"/>
        <v>0</v>
      </c>
      <c r="G1064">
        <v>1014</v>
      </c>
      <c r="H1064" s="13">
        <f t="shared" si="128"/>
        <v>1.8572577375266519E-2</v>
      </c>
      <c r="I1064">
        <f t="shared" si="129"/>
        <v>123.33875773147079</v>
      </c>
      <c r="J1064">
        <f t="shared" si="124"/>
        <v>472.02870549344982</v>
      </c>
      <c r="K1064" s="27">
        <f t="shared" si="125"/>
        <v>4138.3395863125506</v>
      </c>
    </row>
    <row r="1065" spans="1:11" x14ac:dyDescent="0.25">
      <c r="A1065" s="26">
        <v>1015</v>
      </c>
      <c r="B1065" s="82">
        <f t="shared" si="126"/>
        <v>0</v>
      </c>
      <c r="C1065" s="58">
        <f t="shared" si="130"/>
        <v>104.50616427295054</v>
      </c>
      <c r="D1065" s="83">
        <f t="shared" si="127"/>
        <v>445.77777777777789</v>
      </c>
      <c r="E1065">
        <f t="shared" si="123"/>
        <v>0</v>
      </c>
      <c r="G1065">
        <v>1015</v>
      </c>
      <c r="H1065" s="13">
        <f t="shared" si="128"/>
        <v>1.8572577375266519E-2</v>
      </c>
      <c r="I1065">
        <f t="shared" si="129"/>
        <v>123.35733030884606</v>
      </c>
      <c r="J1065">
        <f t="shared" si="124"/>
        <v>472.0473225083058</v>
      </c>
      <c r="K1065" s="27">
        <f t="shared" si="125"/>
        <v>4138.6659365384085</v>
      </c>
    </row>
    <row r="1066" spans="1:11" x14ac:dyDescent="0.25">
      <c r="A1066" s="26">
        <v>1016</v>
      </c>
      <c r="B1066" s="82">
        <f t="shared" si="126"/>
        <v>0</v>
      </c>
      <c r="C1066" s="58">
        <f t="shared" si="130"/>
        <v>104.50616427295054</v>
      </c>
      <c r="D1066" s="83">
        <f t="shared" si="127"/>
        <v>445.77777777777789</v>
      </c>
      <c r="E1066">
        <f t="shared" si="123"/>
        <v>0</v>
      </c>
      <c r="G1066">
        <v>1016</v>
      </c>
      <c r="H1066" s="13">
        <f t="shared" si="128"/>
        <v>1.8572577375266519E-2</v>
      </c>
      <c r="I1066">
        <f t="shared" si="129"/>
        <v>123.37590288622133</v>
      </c>
      <c r="J1066">
        <f t="shared" si="124"/>
        <v>472.06592976482193</v>
      </c>
      <c r="K1066" s="27">
        <f t="shared" si="125"/>
        <v>4138.9921285836663</v>
      </c>
    </row>
    <row r="1067" spans="1:11" x14ac:dyDescent="0.25">
      <c r="A1067" s="26">
        <v>1017</v>
      </c>
      <c r="B1067" s="82">
        <f t="shared" si="126"/>
        <v>0</v>
      </c>
      <c r="C1067" s="58">
        <f t="shared" si="130"/>
        <v>104.50616427295054</v>
      </c>
      <c r="D1067" s="83">
        <f t="shared" si="127"/>
        <v>445.77777777777789</v>
      </c>
      <c r="E1067">
        <f t="shared" si="123"/>
        <v>0</v>
      </c>
      <c r="G1067">
        <v>1017</v>
      </c>
      <c r="H1067" s="13">
        <f t="shared" si="128"/>
        <v>1.8572577375266519E-2</v>
      </c>
      <c r="I1067">
        <f t="shared" si="129"/>
        <v>123.39447546359659</v>
      </c>
      <c r="J1067">
        <f t="shared" si="124"/>
        <v>472.084527270683</v>
      </c>
      <c r="K1067" s="27">
        <f t="shared" si="125"/>
        <v>4139.3181625627567</v>
      </c>
    </row>
    <row r="1068" spans="1:11" x14ac:dyDescent="0.25">
      <c r="A1068" s="26">
        <v>1018</v>
      </c>
      <c r="B1068" s="82">
        <f t="shared" si="126"/>
        <v>0</v>
      </c>
      <c r="C1068" s="58">
        <f t="shared" si="130"/>
        <v>104.50616427295054</v>
      </c>
      <c r="D1068" s="83">
        <f t="shared" si="127"/>
        <v>445.77777777777789</v>
      </c>
      <c r="E1068">
        <f t="shared" si="123"/>
        <v>0</v>
      </c>
      <c r="G1068">
        <v>1018</v>
      </c>
      <c r="H1068" s="13">
        <f t="shared" si="128"/>
        <v>1.8572577375266519E-2</v>
      </c>
      <c r="I1068">
        <f t="shared" si="129"/>
        <v>123.41304804097186</v>
      </c>
      <c r="J1068">
        <f t="shared" si="124"/>
        <v>472.10311503356161</v>
      </c>
      <c r="K1068" s="27">
        <f t="shared" si="125"/>
        <v>4139.6440385899323</v>
      </c>
    </row>
    <row r="1069" spans="1:11" x14ac:dyDescent="0.25">
      <c r="A1069" s="26">
        <v>1019</v>
      </c>
      <c r="B1069" s="82">
        <f t="shared" si="126"/>
        <v>0</v>
      </c>
      <c r="C1069" s="58">
        <f t="shared" si="130"/>
        <v>104.50616427295054</v>
      </c>
      <c r="D1069" s="83">
        <f t="shared" si="127"/>
        <v>445.77777777777789</v>
      </c>
      <c r="E1069">
        <f t="shared" si="123"/>
        <v>0</v>
      </c>
      <c r="G1069">
        <v>1019</v>
      </c>
      <c r="H1069" s="13">
        <f t="shared" si="128"/>
        <v>1.8572577375266519E-2</v>
      </c>
      <c r="I1069">
        <f t="shared" si="129"/>
        <v>123.43162061834713</v>
      </c>
      <c r="J1069">
        <f t="shared" si="124"/>
        <v>472.12169306111826</v>
      </c>
      <c r="K1069" s="27">
        <f t="shared" si="125"/>
        <v>4139.9697567792655</v>
      </c>
    </row>
    <row r="1070" spans="1:11" x14ac:dyDescent="0.25">
      <c r="A1070" s="26">
        <v>1020</v>
      </c>
      <c r="B1070" s="82">
        <f t="shared" si="126"/>
        <v>0</v>
      </c>
      <c r="C1070" s="58">
        <f t="shared" si="130"/>
        <v>104.50616427295054</v>
      </c>
      <c r="D1070" s="83">
        <f t="shared" si="127"/>
        <v>445.77777777777789</v>
      </c>
      <c r="E1070">
        <f t="shared" si="123"/>
        <v>0</v>
      </c>
      <c r="G1070">
        <v>1020</v>
      </c>
      <c r="H1070" s="13">
        <f t="shared" si="128"/>
        <v>1.8572577375266519E-2</v>
      </c>
      <c r="I1070">
        <f t="shared" si="129"/>
        <v>123.45019319572239</v>
      </c>
      <c r="J1070">
        <f t="shared" si="124"/>
        <v>472.14026136100159</v>
      </c>
      <c r="K1070" s="27">
        <f t="shared" si="125"/>
        <v>4140.2953172446478</v>
      </c>
    </row>
    <row r="1071" spans="1:11" x14ac:dyDescent="0.25">
      <c r="A1071" s="26">
        <v>1021</v>
      </c>
      <c r="B1071" s="82">
        <f t="shared" si="126"/>
        <v>0</v>
      </c>
      <c r="C1071" s="58">
        <f t="shared" si="130"/>
        <v>104.50616427295054</v>
      </c>
      <c r="D1071" s="83">
        <f t="shared" si="127"/>
        <v>445.77777777777789</v>
      </c>
      <c r="E1071">
        <f t="shared" si="123"/>
        <v>0</v>
      </c>
      <c r="G1071">
        <v>1021</v>
      </c>
      <c r="H1071" s="13">
        <f t="shared" si="128"/>
        <v>1.8572577375266519E-2</v>
      </c>
      <c r="I1071">
        <f t="shared" si="129"/>
        <v>123.46876577309766</v>
      </c>
      <c r="J1071">
        <f t="shared" si="124"/>
        <v>472.15881994084805</v>
      </c>
      <c r="K1071" s="27">
        <f t="shared" si="125"/>
        <v>4140.6207200997997</v>
      </c>
    </row>
    <row r="1072" spans="1:11" x14ac:dyDescent="0.25">
      <c r="A1072" s="26">
        <v>1022</v>
      </c>
      <c r="B1072" s="82">
        <f t="shared" si="126"/>
        <v>0</v>
      </c>
      <c r="C1072" s="58">
        <f t="shared" si="130"/>
        <v>104.50616427295054</v>
      </c>
      <c r="D1072" s="83">
        <f t="shared" si="127"/>
        <v>445.77777777777789</v>
      </c>
      <c r="E1072">
        <f t="shared" si="123"/>
        <v>0</v>
      </c>
      <c r="G1072">
        <v>1022</v>
      </c>
      <c r="H1072" s="13">
        <f t="shared" si="128"/>
        <v>1.8572577375266519E-2</v>
      </c>
      <c r="I1072">
        <f t="shared" si="129"/>
        <v>123.48733835047292</v>
      </c>
      <c r="J1072">
        <f t="shared" si="124"/>
        <v>472.17736880828227</v>
      </c>
      <c r="K1072" s="27">
        <f t="shared" si="125"/>
        <v>4140.9459654582542</v>
      </c>
    </row>
    <row r="1073" spans="1:11" x14ac:dyDescent="0.25">
      <c r="A1073" s="26">
        <v>1023</v>
      </c>
      <c r="B1073" s="82">
        <f t="shared" si="126"/>
        <v>0</v>
      </c>
      <c r="C1073" s="58">
        <f t="shared" si="130"/>
        <v>104.50616427295054</v>
      </c>
      <c r="D1073" s="83">
        <f t="shared" si="127"/>
        <v>445.77777777777789</v>
      </c>
      <c r="E1073">
        <f t="shared" si="123"/>
        <v>0</v>
      </c>
      <c r="G1073">
        <v>1023</v>
      </c>
      <c r="H1073" s="13">
        <f t="shared" si="128"/>
        <v>1.8572577375266519E-2</v>
      </c>
      <c r="I1073">
        <f t="shared" si="129"/>
        <v>123.50591092784819</v>
      </c>
      <c r="J1073">
        <f t="shared" si="124"/>
        <v>472.19590797091678</v>
      </c>
      <c r="K1073" s="27">
        <f t="shared" si="125"/>
        <v>4141.2710534333701</v>
      </c>
    </row>
    <row r="1074" spans="1:11" x14ac:dyDescent="0.25">
      <c r="A1074" s="26">
        <v>1024</v>
      </c>
      <c r="B1074" s="82">
        <f t="shared" si="126"/>
        <v>0</v>
      </c>
      <c r="C1074" s="58">
        <f t="shared" si="130"/>
        <v>104.50616427295054</v>
      </c>
      <c r="D1074" s="83">
        <f t="shared" si="127"/>
        <v>445.77777777777789</v>
      </c>
      <c r="E1074">
        <f t="shared" si="123"/>
        <v>0</v>
      </c>
      <c r="G1074">
        <v>1024</v>
      </c>
      <c r="H1074" s="13">
        <f t="shared" si="128"/>
        <v>1.8572577375266519E-2</v>
      </c>
      <c r="I1074">
        <f t="shared" si="129"/>
        <v>123.52448350522346</v>
      </c>
      <c r="J1074">
        <f t="shared" si="124"/>
        <v>472.21443743635223</v>
      </c>
      <c r="K1074" s="27">
        <f t="shared" si="125"/>
        <v>4141.5959841383301</v>
      </c>
    </row>
    <row r="1075" spans="1:11" x14ac:dyDescent="0.25">
      <c r="A1075" s="26">
        <v>1025</v>
      </c>
      <c r="B1075" s="82">
        <f t="shared" si="126"/>
        <v>0</v>
      </c>
      <c r="C1075" s="58">
        <f t="shared" si="130"/>
        <v>104.50616427295054</v>
      </c>
      <c r="D1075" s="83">
        <f t="shared" si="127"/>
        <v>445.77777777777789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1.8572577375266519E-2</v>
      </c>
      <c r="I1075">
        <f t="shared" si="129"/>
        <v>123.54305608259872</v>
      </c>
      <c r="J1075">
        <f t="shared" ref="J1075:J1138" si="132">IF($G$28&lt;$C$14,0,((($C$11^2)-((I1075-$C$13)^2))^0.5)+$C$16)</f>
        <v>472.23295721217738</v>
      </c>
      <c r="K1075" s="27">
        <f t="shared" ref="K1075:K1138" si="133">((J1075^2)+(J1075*J1076)+(J1076^2))*H1076/3</f>
        <v>4141.9207576861363</v>
      </c>
    </row>
    <row r="1076" spans="1:11" x14ac:dyDescent="0.25">
      <c r="A1076" s="26">
        <v>1026</v>
      </c>
      <c r="B1076" s="82">
        <f t="shared" ref="B1076:B1139" si="134">C1076-C1075</f>
        <v>0</v>
      </c>
      <c r="C1076" s="58">
        <f t="shared" si="130"/>
        <v>104.50616427295054</v>
      </c>
      <c r="D1076" s="83">
        <f t="shared" ref="D1076:D1139" si="135">IF($G$28&lt;$C$14,0,((($C$11^2)-((C1076-$C$13)^2))^0.5)+$C$16)</f>
        <v>445.77777777777789</v>
      </c>
      <c r="E1076">
        <f t="shared" si="131"/>
        <v>0</v>
      </c>
      <c r="G1076">
        <v>1026</v>
      </c>
      <c r="H1076" s="13">
        <f t="shared" ref="H1076:H1139" si="136">I1076-I1075</f>
        <v>1.8572577375266519E-2</v>
      </c>
      <c r="I1076">
        <f t="shared" ref="I1076:I1139" si="137">($G$27-$C$14)/2000+I1075</f>
        <v>123.56162865997399</v>
      </c>
      <c r="J1076">
        <f t="shared" si="132"/>
        <v>472.25146730596913</v>
      </c>
      <c r="K1076" s="27">
        <f t="shared" si="133"/>
        <v>4142.2453741896179</v>
      </c>
    </row>
    <row r="1077" spans="1:11" x14ac:dyDescent="0.25">
      <c r="A1077" s="26">
        <v>1027</v>
      </c>
      <c r="B1077" s="82">
        <f t="shared" si="134"/>
        <v>0</v>
      </c>
      <c r="C1077" s="58">
        <f t="shared" si="130"/>
        <v>104.50616427295054</v>
      </c>
      <c r="D1077" s="83">
        <f t="shared" si="135"/>
        <v>445.77777777777789</v>
      </c>
      <c r="E1077">
        <f t="shared" si="131"/>
        <v>0</v>
      </c>
      <c r="G1077">
        <v>1027</v>
      </c>
      <c r="H1077" s="13">
        <f t="shared" si="136"/>
        <v>1.8572577375266519E-2</v>
      </c>
      <c r="I1077">
        <f t="shared" si="137"/>
        <v>123.58020123734926</v>
      </c>
      <c r="J1077">
        <f t="shared" si="132"/>
        <v>472.26996772529253</v>
      </c>
      <c r="K1077" s="27">
        <f t="shared" si="133"/>
        <v>4142.5698337614258</v>
      </c>
    </row>
    <row r="1078" spans="1:11" x14ac:dyDescent="0.25">
      <c r="A1078" s="26">
        <v>1028</v>
      </c>
      <c r="B1078" s="82">
        <f t="shared" si="134"/>
        <v>0</v>
      </c>
      <c r="C1078" s="58">
        <f t="shared" si="130"/>
        <v>104.50616427295054</v>
      </c>
      <c r="D1078" s="83">
        <f t="shared" si="135"/>
        <v>445.77777777777789</v>
      </c>
      <c r="E1078">
        <f t="shared" si="131"/>
        <v>0</v>
      </c>
      <c r="G1078">
        <v>1028</v>
      </c>
      <c r="H1078" s="13">
        <f t="shared" si="136"/>
        <v>1.8572577375266519E-2</v>
      </c>
      <c r="I1078">
        <f t="shared" si="137"/>
        <v>123.59877381472452</v>
      </c>
      <c r="J1078">
        <f t="shared" si="132"/>
        <v>472.28845847770071</v>
      </c>
      <c r="K1078" s="27">
        <f t="shared" si="133"/>
        <v>4142.8941365140317</v>
      </c>
    </row>
    <row r="1079" spans="1:11" x14ac:dyDescent="0.25">
      <c r="A1079" s="26">
        <v>1029</v>
      </c>
      <c r="B1079" s="82">
        <f t="shared" si="134"/>
        <v>0</v>
      </c>
      <c r="C1079" s="58">
        <f t="shared" si="130"/>
        <v>104.50616427295054</v>
      </c>
      <c r="D1079" s="83">
        <f t="shared" si="135"/>
        <v>445.77777777777789</v>
      </c>
      <c r="E1079">
        <f t="shared" si="131"/>
        <v>0</v>
      </c>
      <c r="G1079">
        <v>1029</v>
      </c>
      <c r="H1079" s="13">
        <f t="shared" si="136"/>
        <v>1.8572577375266519E-2</v>
      </c>
      <c r="I1079">
        <f t="shared" si="137"/>
        <v>123.61734639209979</v>
      </c>
      <c r="J1079">
        <f t="shared" si="132"/>
        <v>472.30693957073515</v>
      </c>
      <c r="K1079" s="27">
        <f t="shared" si="133"/>
        <v>4143.2182825597365</v>
      </c>
    </row>
    <row r="1080" spans="1:11" x14ac:dyDescent="0.25">
      <c r="A1080" s="26">
        <v>1030</v>
      </c>
      <c r="B1080" s="82">
        <f t="shared" si="134"/>
        <v>0</v>
      </c>
      <c r="C1080" s="58">
        <f t="shared" si="130"/>
        <v>104.50616427295054</v>
      </c>
      <c r="D1080" s="83">
        <f t="shared" si="135"/>
        <v>445.77777777777789</v>
      </c>
      <c r="E1080">
        <f t="shared" si="131"/>
        <v>0</v>
      </c>
      <c r="G1080">
        <v>1030</v>
      </c>
      <c r="H1080" s="13">
        <f t="shared" si="136"/>
        <v>1.8572577375266519E-2</v>
      </c>
      <c r="I1080">
        <f t="shared" si="137"/>
        <v>123.63591896947506</v>
      </c>
      <c r="J1080">
        <f t="shared" si="132"/>
        <v>472.32541101192533</v>
      </c>
      <c r="K1080" s="27">
        <f t="shared" si="133"/>
        <v>4143.5422720106626</v>
      </c>
    </row>
    <row r="1081" spans="1:11" x14ac:dyDescent="0.25">
      <c r="A1081" s="26">
        <v>1031</v>
      </c>
      <c r="B1081" s="82">
        <f t="shared" si="134"/>
        <v>0</v>
      </c>
      <c r="C1081" s="58">
        <f t="shared" si="130"/>
        <v>104.50616427295054</v>
      </c>
      <c r="D1081" s="83">
        <f t="shared" si="135"/>
        <v>445.77777777777789</v>
      </c>
      <c r="E1081">
        <f t="shared" si="131"/>
        <v>0</v>
      </c>
      <c r="G1081">
        <v>1031</v>
      </c>
      <c r="H1081" s="13">
        <f t="shared" si="136"/>
        <v>1.8572577375266519E-2</v>
      </c>
      <c r="I1081">
        <f t="shared" si="137"/>
        <v>123.65449154685032</v>
      </c>
      <c r="J1081">
        <f t="shared" si="132"/>
        <v>472.34387280878929</v>
      </c>
      <c r="K1081" s="27">
        <f t="shared" si="133"/>
        <v>4143.8661049787615</v>
      </c>
    </row>
    <row r="1082" spans="1:11" x14ac:dyDescent="0.25">
      <c r="A1082" s="26">
        <v>1032</v>
      </c>
      <c r="B1082" s="82">
        <f t="shared" si="134"/>
        <v>0</v>
      </c>
      <c r="C1082" s="58">
        <f t="shared" si="130"/>
        <v>104.50616427295054</v>
      </c>
      <c r="D1082" s="83">
        <f t="shared" si="135"/>
        <v>445.77777777777789</v>
      </c>
      <c r="E1082">
        <f t="shared" si="131"/>
        <v>0</v>
      </c>
      <c r="G1082">
        <v>1032</v>
      </c>
      <c r="H1082" s="13">
        <f t="shared" si="136"/>
        <v>1.8572577375266519E-2</v>
      </c>
      <c r="I1082">
        <f t="shared" si="137"/>
        <v>123.67306412422559</v>
      </c>
      <c r="J1082">
        <f t="shared" si="132"/>
        <v>472.36232496883309</v>
      </c>
      <c r="K1082" s="27">
        <f t="shared" si="133"/>
        <v>4144.1897815758048</v>
      </c>
    </row>
    <row r="1083" spans="1:11" x14ac:dyDescent="0.25">
      <c r="A1083" s="26">
        <v>1033</v>
      </c>
      <c r="B1083" s="82">
        <f t="shared" si="134"/>
        <v>0</v>
      </c>
      <c r="C1083" s="58">
        <f t="shared" si="130"/>
        <v>104.50616427295054</v>
      </c>
      <c r="D1083" s="83">
        <f t="shared" si="135"/>
        <v>445.77777777777789</v>
      </c>
      <c r="E1083">
        <f t="shared" si="131"/>
        <v>0</v>
      </c>
      <c r="G1083">
        <v>1033</v>
      </c>
      <c r="H1083" s="13">
        <f t="shared" si="136"/>
        <v>1.8572577375266519E-2</v>
      </c>
      <c r="I1083">
        <f t="shared" si="137"/>
        <v>123.69163670160086</v>
      </c>
      <c r="J1083">
        <f t="shared" si="132"/>
        <v>472.38076749955115</v>
      </c>
      <c r="K1083" s="27">
        <f t="shared" si="133"/>
        <v>4144.5133019133946</v>
      </c>
    </row>
    <row r="1084" spans="1:11" x14ac:dyDescent="0.25">
      <c r="A1084" s="26">
        <v>1034</v>
      </c>
      <c r="B1084" s="82">
        <f t="shared" si="134"/>
        <v>0</v>
      </c>
      <c r="C1084" s="58">
        <f t="shared" si="130"/>
        <v>104.50616427295054</v>
      </c>
      <c r="D1084" s="83">
        <f t="shared" si="135"/>
        <v>445.77777777777789</v>
      </c>
      <c r="E1084">
        <f t="shared" si="131"/>
        <v>0</v>
      </c>
      <c r="G1084">
        <v>1034</v>
      </c>
      <c r="H1084" s="13">
        <f t="shared" si="136"/>
        <v>1.8572577375266519E-2</v>
      </c>
      <c r="I1084">
        <f t="shared" si="137"/>
        <v>123.71020927897612</v>
      </c>
      <c r="J1084">
        <f t="shared" si="132"/>
        <v>472.39920040842628</v>
      </c>
      <c r="K1084" s="27">
        <f t="shared" si="133"/>
        <v>4144.836666102954</v>
      </c>
    </row>
    <row r="1085" spans="1:11" x14ac:dyDescent="0.25">
      <c r="A1085" s="26">
        <v>1035</v>
      </c>
      <c r="B1085" s="82">
        <f t="shared" si="134"/>
        <v>0</v>
      </c>
      <c r="C1085" s="58">
        <f t="shared" si="130"/>
        <v>104.50616427295054</v>
      </c>
      <c r="D1085" s="83">
        <f t="shared" si="135"/>
        <v>445.77777777777789</v>
      </c>
      <c r="E1085">
        <f t="shared" si="131"/>
        <v>0</v>
      </c>
      <c r="G1085">
        <v>1035</v>
      </c>
      <c r="H1085" s="13">
        <f t="shared" si="136"/>
        <v>1.8572577375266519E-2</v>
      </c>
      <c r="I1085">
        <f t="shared" si="137"/>
        <v>123.72878185635139</v>
      </c>
      <c r="J1085">
        <f t="shared" si="132"/>
        <v>472.41762370292963</v>
      </c>
      <c r="K1085" s="27">
        <f t="shared" si="133"/>
        <v>4145.159874255738</v>
      </c>
    </row>
    <row r="1086" spans="1:11" x14ac:dyDescent="0.25">
      <c r="A1086" s="26">
        <v>1036</v>
      </c>
      <c r="B1086" s="82">
        <f t="shared" si="134"/>
        <v>0</v>
      </c>
      <c r="C1086" s="58">
        <f t="shared" si="130"/>
        <v>104.50616427295054</v>
      </c>
      <c r="D1086" s="83">
        <f t="shared" si="135"/>
        <v>445.77777777777789</v>
      </c>
      <c r="E1086">
        <f t="shared" si="131"/>
        <v>0</v>
      </c>
      <c r="G1086">
        <v>1036</v>
      </c>
      <c r="H1086" s="13">
        <f t="shared" si="136"/>
        <v>1.8572577375266519E-2</v>
      </c>
      <c r="I1086">
        <f t="shared" si="137"/>
        <v>123.74735443372666</v>
      </c>
      <c r="J1086">
        <f t="shared" si="132"/>
        <v>472.43603739052065</v>
      </c>
      <c r="K1086" s="27">
        <f t="shared" si="133"/>
        <v>4145.4829264828277</v>
      </c>
    </row>
    <row r="1087" spans="1:11" x14ac:dyDescent="0.25">
      <c r="A1087" s="26">
        <v>1037</v>
      </c>
      <c r="B1087" s="82">
        <f t="shared" si="134"/>
        <v>0</v>
      </c>
      <c r="C1087" s="58">
        <f t="shared" si="130"/>
        <v>104.50616427295054</v>
      </c>
      <c r="D1087" s="83">
        <f t="shared" si="135"/>
        <v>445.77777777777789</v>
      </c>
      <c r="E1087">
        <f t="shared" si="131"/>
        <v>0</v>
      </c>
      <c r="G1087">
        <v>1037</v>
      </c>
      <c r="H1087" s="13">
        <f t="shared" si="136"/>
        <v>1.8572577375266519E-2</v>
      </c>
      <c r="I1087">
        <f t="shared" si="137"/>
        <v>123.76592701110192</v>
      </c>
      <c r="J1087">
        <f t="shared" si="132"/>
        <v>472.45444147864725</v>
      </c>
      <c r="K1087" s="27">
        <f t="shared" si="133"/>
        <v>4145.8058228951268</v>
      </c>
    </row>
    <row r="1088" spans="1:11" x14ac:dyDescent="0.25">
      <c r="A1088" s="26">
        <v>1038</v>
      </c>
      <c r="B1088" s="82">
        <f t="shared" si="134"/>
        <v>0</v>
      </c>
      <c r="C1088" s="58">
        <f t="shared" si="130"/>
        <v>104.50616427295054</v>
      </c>
      <c r="D1088" s="83">
        <f t="shared" si="135"/>
        <v>445.77777777777789</v>
      </c>
      <c r="E1088">
        <f t="shared" si="131"/>
        <v>0</v>
      </c>
      <c r="G1088">
        <v>1038</v>
      </c>
      <c r="H1088" s="13">
        <f t="shared" si="136"/>
        <v>1.8572577375266519E-2</v>
      </c>
      <c r="I1088">
        <f t="shared" si="137"/>
        <v>123.78449958847719</v>
      </c>
      <c r="J1088">
        <f t="shared" si="132"/>
        <v>472.47283597474581</v>
      </c>
      <c r="K1088" s="27">
        <f t="shared" si="133"/>
        <v>4146.1285636033726</v>
      </c>
    </row>
    <row r="1089" spans="1:11" x14ac:dyDescent="0.25">
      <c r="A1089" s="26">
        <v>1039</v>
      </c>
      <c r="B1089" s="82">
        <f t="shared" si="134"/>
        <v>0</v>
      </c>
      <c r="C1089" s="58">
        <f t="shared" si="130"/>
        <v>104.50616427295054</v>
      </c>
      <c r="D1089" s="83">
        <f t="shared" si="135"/>
        <v>445.77777777777789</v>
      </c>
      <c r="E1089">
        <f t="shared" si="131"/>
        <v>0</v>
      </c>
      <c r="G1089">
        <v>1039</v>
      </c>
      <c r="H1089" s="13">
        <f t="shared" si="136"/>
        <v>1.8572577375266519E-2</v>
      </c>
      <c r="I1089">
        <f t="shared" si="137"/>
        <v>123.80307216585246</v>
      </c>
      <c r="J1089">
        <f t="shared" si="132"/>
        <v>472.49122088624102</v>
      </c>
      <c r="K1089" s="27">
        <f t="shared" si="133"/>
        <v>4146.451148718128</v>
      </c>
    </row>
    <row r="1090" spans="1:11" x14ac:dyDescent="0.25">
      <c r="A1090" s="26">
        <v>1040</v>
      </c>
      <c r="B1090" s="82">
        <f t="shared" si="134"/>
        <v>0</v>
      </c>
      <c r="C1090" s="58">
        <f t="shared" si="130"/>
        <v>104.50616427295054</v>
      </c>
      <c r="D1090" s="83">
        <f t="shared" si="135"/>
        <v>445.77777777777789</v>
      </c>
      <c r="E1090">
        <f t="shared" si="131"/>
        <v>0</v>
      </c>
      <c r="G1090">
        <v>1040</v>
      </c>
      <c r="H1090" s="13">
        <f t="shared" si="136"/>
        <v>1.8572577375266519E-2</v>
      </c>
      <c r="I1090">
        <f t="shared" si="137"/>
        <v>123.82164474322772</v>
      </c>
      <c r="J1090">
        <f t="shared" si="132"/>
        <v>472.5095962205462</v>
      </c>
      <c r="K1090" s="27">
        <f t="shared" si="133"/>
        <v>4146.7735783497819</v>
      </c>
    </row>
    <row r="1091" spans="1:11" x14ac:dyDescent="0.25">
      <c r="A1091" s="26">
        <v>1041</v>
      </c>
      <c r="B1091" s="82">
        <f t="shared" si="134"/>
        <v>0</v>
      </c>
      <c r="C1091" s="58">
        <f t="shared" si="130"/>
        <v>104.50616427295054</v>
      </c>
      <c r="D1091" s="83">
        <f t="shared" si="135"/>
        <v>445.77777777777789</v>
      </c>
      <c r="E1091">
        <f t="shared" si="131"/>
        <v>0</v>
      </c>
      <c r="G1091">
        <v>1041</v>
      </c>
      <c r="H1091" s="13">
        <f t="shared" si="136"/>
        <v>1.8572577375266519E-2</v>
      </c>
      <c r="I1091">
        <f t="shared" si="137"/>
        <v>123.84021732060299</v>
      </c>
      <c r="J1091">
        <f t="shared" si="132"/>
        <v>472.52796198506309</v>
      </c>
      <c r="K1091" s="27">
        <f t="shared" si="133"/>
        <v>4147.0958526085578</v>
      </c>
    </row>
    <row r="1092" spans="1:11" x14ac:dyDescent="0.25">
      <c r="A1092" s="26">
        <v>1042</v>
      </c>
      <c r="B1092" s="82">
        <f t="shared" si="134"/>
        <v>0</v>
      </c>
      <c r="C1092" s="58">
        <f t="shared" si="130"/>
        <v>104.50616427295054</v>
      </c>
      <c r="D1092" s="83">
        <f t="shared" si="135"/>
        <v>445.77777777777789</v>
      </c>
      <c r="E1092">
        <f t="shared" si="131"/>
        <v>0</v>
      </c>
      <c r="G1092">
        <v>1042</v>
      </c>
      <c r="H1092" s="13">
        <f t="shared" si="136"/>
        <v>1.8572577375266519E-2</v>
      </c>
      <c r="I1092">
        <f t="shared" si="137"/>
        <v>123.85878989797826</v>
      </c>
      <c r="J1092">
        <f t="shared" si="132"/>
        <v>472.54631818718195</v>
      </c>
      <c r="K1092" s="27">
        <f t="shared" si="133"/>
        <v>4147.4179716045037</v>
      </c>
    </row>
    <row r="1093" spans="1:11" x14ac:dyDescent="0.25">
      <c r="A1093" s="26">
        <v>1043</v>
      </c>
      <c r="B1093" s="82">
        <f t="shared" si="134"/>
        <v>0</v>
      </c>
      <c r="C1093" s="58">
        <f t="shared" si="130"/>
        <v>104.50616427295054</v>
      </c>
      <c r="D1093" s="83">
        <f t="shared" si="135"/>
        <v>445.77777777777789</v>
      </c>
      <c r="E1093">
        <f t="shared" si="131"/>
        <v>0</v>
      </c>
      <c r="G1093">
        <v>1043</v>
      </c>
      <c r="H1093" s="13">
        <f t="shared" si="136"/>
        <v>1.8572577375266519E-2</v>
      </c>
      <c r="I1093">
        <f t="shared" si="137"/>
        <v>123.87736247535352</v>
      </c>
      <c r="J1093">
        <f t="shared" si="132"/>
        <v>472.56466483428164</v>
      </c>
      <c r="K1093" s="27">
        <f t="shared" si="133"/>
        <v>4147.7399354474983</v>
      </c>
    </row>
    <row r="1094" spans="1:11" x14ac:dyDescent="0.25">
      <c r="A1094" s="26">
        <v>1044</v>
      </c>
      <c r="B1094" s="82">
        <f t="shared" si="134"/>
        <v>0</v>
      </c>
      <c r="C1094" s="58">
        <f t="shared" si="130"/>
        <v>104.50616427295054</v>
      </c>
      <c r="D1094" s="83">
        <f t="shared" si="135"/>
        <v>445.77777777777789</v>
      </c>
      <c r="E1094">
        <f t="shared" si="131"/>
        <v>0</v>
      </c>
      <c r="G1094">
        <v>1044</v>
      </c>
      <c r="H1094" s="13">
        <f t="shared" si="136"/>
        <v>1.8572577375266519E-2</v>
      </c>
      <c r="I1094">
        <f t="shared" si="137"/>
        <v>123.89593505272879</v>
      </c>
      <c r="J1094">
        <f t="shared" si="132"/>
        <v>472.58300193372963</v>
      </c>
      <c r="K1094" s="27">
        <f t="shared" si="133"/>
        <v>4148.0617442472512</v>
      </c>
    </row>
    <row r="1095" spans="1:11" x14ac:dyDescent="0.25">
      <c r="A1095" s="26">
        <v>1045</v>
      </c>
      <c r="B1095" s="82">
        <f t="shared" si="134"/>
        <v>0</v>
      </c>
      <c r="C1095" s="58">
        <f t="shared" si="130"/>
        <v>104.50616427295054</v>
      </c>
      <c r="D1095" s="83">
        <f t="shared" si="135"/>
        <v>445.77777777777789</v>
      </c>
      <c r="E1095">
        <f t="shared" si="131"/>
        <v>0</v>
      </c>
      <c r="G1095">
        <v>1045</v>
      </c>
      <c r="H1095" s="13">
        <f t="shared" si="136"/>
        <v>1.8572577375266519E-2</v>
      </c>
      <c r="I1095">
        <f t="shared" si="137"/>
        <v>123.91450763010405</v>
      </c>
      <c r="J1095">
        <f t="shared" si="132"/>
        <v>472.6013294928818</v>
      </c>
      <c r="K1095" s="27">
        <f t="shared" si="133"/>
        <v>4148.3833981133002</v>
      </c>
    </row>
    <row r="1096" spans="1:11" x14ac:dyDescent="0.25">
      <c r="A1096" s="26">
        <v>1046</v>
      </c>
      <c r="B1096" s="82">
        <f t="shared" si="134"/>
        <v>0</v>
      </c>
      <c r="C1096" s="58">
        <f t="shared" si="130"/>
        <v>104.50616427295054</v>
      </c>
      <c r="D1096" s="83">
        <f t="shared" si="135"/>
        <v>445.77777777777789</v>
      </c>
      <c r="E1096">
        <f t="shared" si="131"/>
        <v>0</v>
      </c>
      <c r="G1096">
        <v>1046</v>
      </c>
      <c r="H1096" s="13">
        <f t="shared" si="136"/>
        <v>1.8572577375266519E-2</v>
      </c>
      <c r="I1096">
        <f t="shared" si="137"/>
        <v>123.93308020747932</v>
      </c>
      <c r="J1096">
        <f t="shared" si="132"/>
        <v>472.61964751908283</v>
      </c>
      <c r="K1096" s="27">
        <f t="shared" si="133"/>
        <v>4148.7048971550148</v>
      </c>
    </row>
    <row r="1097" spans="1:11" x14ac:dyDescent="0.25">
      <c r="A1097" s="26">
        <v>1047</v>
      </c>
      <c r="B1097" s="82">
        <f t="shared" si="134"/>
        <v>0</v>
      </c>
      <c r="C1097" s="58">
        <f t="shared" si="130"/>
        <v>104.50616427295054</v>
      </c>
      <c r="D1097" s="83">
        <f t="shared" si="135"/>
        <v>445.77777777777789</v>
      </c>
      <c r="E1097">
        <f t="shared" si="131"/>
        <v>0</v>
      </c>
      <c r="G1097">
        <v>1047</v>
      </c>
      <c r="H1097" s="13">
        <f t="shared" si="136"/>
        <v>1.8572577375266519E-2</v>
      </c>
      <c r="I1097">
        <f t="shared" si="137"/>
        <v>123.95165278485459</v>
      </c>
      <c r="J1097">
        <f t="shared" si="132"/>
        <v>472.63795601966603</v>
      </c>
      <c r="K1097" s="27">
        <f t="shared" si="133"/>
        <v>4149.0262414815988</v>
      </c>
    </row>
    <row r="1098" spans="1:11" x14ac:dyDescent="0.25">
      <c r="A1098" s="26">
        <v>1048</v>
      </c>
      <c r="B1098" s="82">
        <f t="shared" si="134"/>
        <v>0</v>
      </c>
      <c r="C1098" s="58">
        <f t="shared" si="130"/>
        <v>104.50616427295054</v>
      </c>
      <c r="D1098" s="83">
        <f t="shared" si="135"/>
        <v>445.77777777777789</v>
      </c>
      <c r="E1098">
        <f t="shared" si="131"/>
        <v>0</v>
      </c>
      <c r="G1098">
        <v>1048</v>
      </c>
      <c r="H1098" s="13">
        <f t="shared" si="136"/>
        <v>1.8572577375266519E-2</v>
      </c>
      <c r="I1098">
        <f t="shared" si="137"/>
        <v>123.97022536222985</v>
      </c>
      <c r="J1098">
        <f t="shared" si="132"/>
        <v>472.65625500195335</v>
      </c>
      <c r="K1098" s="27">
        <f t="shared" si="133"/>
        <v>4149.3474312020808</v>
      </c>
    </row>
    <row r="1099" spans="1:11" x14ac:dyDescent="0.25">
      <c r="A1099" s="26">
        <v>1049</v>
      </c>
      <c r="B1099" s="82">
        <f t="shared" si="134"/>
        <v>0</v>
      </c>
      <c r="C1099" s="58">
        <f t="shared" si="130"/>
        <v>104.50616427295054</v>
      </c>
      <c r="D1099" s="83">
        <f t="shared" si="135"/>
        <v>445.77777777777789</v>
      </c>
      <c r="E1099">
        <f t="shared" si="131"/>
        <v>0</v>
      </c>
      <c r="G1099">
        <v>1049</v>
      </c>
      <c r="H1099" s="13">
        <f t="shared" si="136"/>
        <v>1.8572577375266519E-2</v>
      </c>
      <c r="I1099">
        <f t="shared" si="137"/>
        <v>123.98879793960512</v>
      </c>
      <c r="J1099">
        <f t="shared" si="132"/>
        <v>472.67454447325542</v>
      </c>
      <c r="K1099" s="27">
        <f t="shared" si="133"/>
        <v>4149.6684664253271</v>
      </c>
    </row>
    <row r="1100" spans="1:11" x14ac:dyDescent="0.25">
      <c r="A1100" s="26">
        <v>1050</v>
      </c>
      <c r="B1100" s="82">
        <f t="shared" si="134"/>
        <v>0</v>
      </c>
      <c r="C1100" s="58">
        <f t="shared" si="130"/>
        <v>104.50616427295054</v>
      </c>
      <c r="D1100" s="83">
        <f t="shared" si="135"/>
        <v>445.77777777777789</v>
      </c>
      <c r="E1100">
        <f t="shared" si="131"/>
        <v>0</v>
      </c>
      <c r="G1100">
        <v>1050</v>
      </c>
      <c r="H1100" s="13">
        <f t="shared" si="136"/>
        <v>1.8572577375266519E-2</v>
      </c>
      <c r="I1100">
        <f t="shared" si="137"/>
        <v>124.00737051698039</v>
      </c>
      <c r="J1100">
        <f t="shared" si="132"/>
        <v>472.69282444087162</v>
      </c>
      <c r="K1100" s="27">
        <f t="shared" si="133"/>
        <v>4149.9893472600334</v>
      </c>
    </row>
    <row r="1101" spans="1:11" x14ac:dyDescent="0.25">
      <c r="A1101" s="26">
        <v>1051</v>
      </c>
      <c r="B1101" s="82">
        <f t="shared" si="134"/>
        <v>0</v>
      </c>
      <c r="C1101" s="58">
        <f t="shared" si="130"/>
        <v>104.50616427295054</v>
      </c>
      <c r="D1101" s="83">
        <f t="shared" si="135"/>
        <v>445.77777777777789</v>
      </c>
      <c r="E1101">
        <f t="shared" si="131"/>
        <v>0</v>
      </c>
      <c r="G1101">
        <v>1051</v>
      </c>
      <c r="H1101" s="13">
        <f t="shared" si="136"/>
        <v>1.8572577375266519E-2</v>
      </c>
      <c r="I1101">
        <f t="shared" si="137"/>
        <v>124.02594309435565</v>
      </c>
      <c r="J1101">
        <f t="shared" si="132"/>
        <v>472.71109491209006</v>
      </c>
      <c r="K1101" s="27">
        <f t="shared" si="133"/>
        <v>4150.3100738147268</v>
      </c>
    </row>
    <row r="1102" spans="1:11" x14ac:dyDescent="0.25">
      <c r="A1102" s="26">
        <v>1052</v>
      </c>
      <c r="B1102" s="82">
        <f t="shared" si="134"/>
        <v>0</v>
      </c>
      <c r="C1102" s="58">
        <f t="shared" si="130"/>
        <v>104.50616427295054</v>
      </c>
      <c r="D1102" s="83">
        <f t="shared" si="135"/>
        <v>445.77777777777789</v>
      </c>
      <c r="E1102">
        <f t="shared" si="131"/>
        <v>0</v>
      </c>
      <c r="G1102">
        <v>1052</v>
      </c>
      <c r="H1102" s="13">
        <f t="shared" si="136"/>
        <v>1.8572577375266519E-2</v>
      </c>
      <c r="I1102">
        <f t="shared" si="137"/>
        <v>124.04451567173092</v>
      </c>
      <c r="J1102">
        <f t="shared" si="132"/>
        <v>472.72935589418762</v>
      </c>
      <c r="K1102" s="27">
        <f t="shared" si="133"/>
        <v>4150.6306461977701</v>
      </c>
    </row>
    <row r="1103" spans="1:11" x14ac:dyDescent="0.25">
      <c r="A1103" s="26">
        <v>1053</v>
      </c>
      <c r="B1103" s="82">
        <f t="shared" si="134"/>
        <v>0</v>
      </c>
      <c r="C1103" s="58">
        <f t="shared" si="130"/>
        <v>104.50616427295054</v>
      </c>
      <c r="D1103" s="83">
        <f t="shared" si="135"/>
        <v>445.77777777777789</v>
      </c>
      <c r="E1103">
        <f t="shared" si="131"/>
        <v>0</v>
      </c>
      <c r="G1103">
        <v>1053</v>
      </c>
      <c r="H1103" s="13">
        <f t="shared" si="136"/>
        <v>1.8572577375266519E-2</v>
      </c>
      <c r="I1103">
        <f t="shared" si="137"/>
        <v>124.06308824910619</v>
      </c>
      <c r="J1103">
        <f t="shared" si="132"/>
        <v>472.74760739442996</v>
      </c>
      <c r="K1103" s="27">
        <f t="shared" si="133"/>
        <v>4150.9510645173568</v>
      </c>
    </row>
    <row r="1104" spans="1:11" x14ac:dyDescent="0.25">
      <c r="A1104" s="26">
        <v>1054</v>
      </c>
      <c r="B1104" s="82">
        <f t="shared" si="134"/>
        <v>0</v>
      </c>
      <c r="C1104" s="58">
        <f t="shared" ref="C1104:C1167" si="138">($C$37-$C$36)/2000+C1103</f>
        <v>104.50616427295054</v>
      </c>
      <c r="D1104" s="83">
        <f t="shared" si="135"/>
        <v>445.77777777777789</v>
      </c>
      <c r="E1104">
        <f t="shared" si="131"/>
        <v>0</v>
      </c>
      <c r="G1104">
        <v>1054</v>
      </c>
      <c r="H1104" s="13">
        <f t="shared" si="136"/>
        <v>1.8572577375266519E-2</v>
      </c>
      <c r="I1104">
        <f t="shared" si="137"/>
        <v>124.08166082648145</v>
      </c>
      <c r="J1104">
        <f t="shared" si="132"/>
        <v>472.76584942007162</v>
      </c>
      <c r="K1104" s="27">
        <f t="shared" si="133"/>
        <v>4151.2713288815148</v>
      </c>
    </row>
    <row r="1105" spans="1:11" x14ac:dyDescent="0.25">
      <c r="A1105" s="26">
        <v>1055</v>
      </c>
      <c r="B1105" s="82">
        <f t="shared" si="134"/>
        <v>0</v>
      </c>
      <c r="C1105" s="58">
        <f t="shared" si="138"/>
        <v>104.50616427295054</v>
      </c>
      <c r="D1105" s="83">
        <f t="shared" si="135"/>
        <v>445.77777777777789</v>
      </c>
      <c r="E1105">
        <f t="shared" si="131"/>
        <v>0</v>
      </c>
      <c r="G1105">
        <v>1055</v>
      </c>
      <c r="H1105" s="13">
        <f t="shared" si="136"/>
        <v>1.8572577375266519E-2</v>
      </c>
      <c r="I1105">
        <f t="shared" si="137"/>
        <v>124.10023340385672</v>
      </c>
      <c r="J1105">
        <f t="shared" si="132"/>
        <v>472.78408197835597</v>
      </c>
      <c r="K1105" s="27">
        <f t="shared" si="133"/>
        <v>4151.5914393981075</v>
      </c>
    </row>
    <row r="1106" spans="1:11" x14ac:dyDescent="0.25">
      <c r="A1106" s="26">
        <v>1056</v>
      </c>
      <c r="B1106" s="82">
        <f t="shared" si="134"/>
        <v>0</v>
      </c>
      <c r="C1106" s="58">
        <f t="shared" si="138"/>
        <v>104.50616427295054</v>
      </c>
      <c r="D1106" s="83">
        <f t="shared" si="135"/>
        <v>445.77777777777789</v>
      </c>
      <c r="E1106">
        <f t="shared" si="131"/>
        <v>0</v>
      </c>
      <c r="G1106">
        <v>1056</v>
      </c>
      <c r="H1106" s="13">
        <f t="shared" si="136"/>
        <v>1.8572577375266519E-2</v>
      </c>
      <c r="I1106">
        <f t="shared" si="137"/>
        <v>124.11880598123199</v>
      </c>
      <c r="J1106">
        <f t="shared" si="132"/>
        <v>472.80230507651515</v>
      </c>
      <c r="K1106" s="27">
        <f t="shared" si="133"/>
        <v>4151.911396174829</v>
      </c>
    </row>
    <row r="1107" spans="1:11" x14ac:dyDescent="0.25">
      <c r="A1107" s="26">
        <v>1057</v>
      </c>
      <c r="B1107" s="82">
        <f t="shared" si="134"/>
        <v>0</v>
      </c>
      <c r="C1107" s="58">
        <f t="shared" si="138"/>
        <v>104.50616427295054</v>
      </c>
      <c r="D1107" s="83">
        <f t="shared" si="135"/>
        <v>445.77777777777789</v>
      </c>
      <c r="E1107">
        <f t="shared" si="131"/>
        <v>0</v>
      </c>
      <c r="G1107">
        <v>1057</v>
      </c>
      <c r="H1107" s="13">
        <f t="shared" si="136"/>
        <v>1.8572577375266519E-2</v>
      </c>
      <c r="I1107">
        <f t="shared" si="137"/>
        <v>124.13737855860725</v>
      </c>
      <c r="J1107">
        <f t="shared" si="132"/>
        <v>472.82051872177021</v>
      </c>
      <c r="K1107" s="27">
        <f t="shared" si="133"/>
        <v>4152.2311993192106</v>
      </c>
    </row>
    <row r="1108" spans="1:11" x14ac:dyDescent="0.25">
      <c r="A1108" s="26">
        <v>1058</v>
      </c>
      <c r="B1108" s="82">
        <f t="shared" si="134"/>
        <v>0</v>
      </c>
      <c r="C1108" s="58">
        <f t="shared" si="138"/>
        <v>104.50616427295054</v>
      </c>
      <c r="D1108" s="83">
        <f t="shared" si="135"/>
        <v>445.77777777777789</v>
      </c>
      <c r="E1108">
        <f t="shared" si="131"/>
        <v>0</v>
      </c>
      <c r="G1108">
        <v>1058</v>
      </c>
      <c r="H1108" s="13">
        <f t="shared" si="136"/>
        <v>1.8572577375266519E-2</v>
      </c>
      <c r="I1108">
        <f t="shared" si="137"/>
        <v>124.15595113598252</v>
      </c>
      <c r="J1108">
        <f t="shared" si="132"/>
        <v>472.83872292133128</v>
      </c>
      <c r="K1108" s="27">
        <f t="shared" si="133"/>
        <v>4152.5508489386193</v>
      </c>
    </row>
    <row r="1109" spans="1:11" x14ac:dyDescent="0.25">
      <c r="A1109" s="26">
        <v>1059</v>
      </c>
      <c r="B1109" s="82">
        <f t="shared" si="134"/>
        <v>0</v>
      </c>
      <c r="C1109" s="58">
        <f t="shared" si="138"/>
        <v>104.50616427295054</v>
      </c>
      <c r="D1109" s="83">
        <f t="shared" si="135"/>
        <v>445.77777777777789</v>
      </c>
      <c r="E1109">
        <f t="shared" si="131"/>
        <v>0</v>
      </c>
      <c r="G1109">
        <v>1059</v>
      </c>
      <c r="H1109" s="13">
        <f t="shared" si="136"/>
        <v>1.8572577375266519E-2</v>
      </c>
      <c r="I1109">
        <f t="shared" si="137"/>
        <v>124.17452371335779</v>
      </c>
      <c r="J1109">
        <f t="shared" si="132"/>
        <v>472.85691768239724</v>
      </c>
      <c r="K1109" s="27">
        <f t="shared" si="133"/>
        <v>4152.8703451402553</v>
      </c>
    </row>
    <row r="1110" spans="1:11" x14ac:dyDescent="0.25">
      <c r="A1110" s="26">
        <v>1060</v>
      </c>
      <c r="B1110" s="82">
        <f t="shared" si="134"/>
        <v>0</v>
      </c>
      <c r="C1110" s="58">
        <f t="shared" si="138"/>
        <v>104.50616427295054</v>
      </c>
      <c r="D1110" s="83">
        <f t="shared" si="135"/>
        <v>445.77777777777789</v>
      </c>
      <c r="E1110">
        <f t="shared" si="131"/>
        <v>0</v>
      </c>
      <c r="G1110">
        <v>1060</v>
      </c>
      <c r="H1110" s="13">
        <f t="shared" si="136"/>
        <v>1.8572577375266519E-2</v>
      </c>
      <c r="I1110">
        <f t="shared" si="137"/>
        <v>124.19309629073305</v>
      </c>
      <c r="J1110">
        <f t="shared" si="132"/>
        <v>472.87510301215593</v>
      </c>
      <c r="K1110" s="27">
        <f t="shared" si="133"/>
        <v>4153.1896880311533</v>
      </c>
    </row>
    <row r="1111" spans="1:11" x14ac:dyDescent="0.25">
      <c r="A1111" s="26">
        <v>1061</v>
      </c>
      <c r="B1111" s="82">
        <f t="shared" si="134"/>
        <v>0</v>
      </c>
      <c r="C1111" s="58">
        <f t="shared" si="138"/>
        <v>104.50616427295054</v>
      </c>
      <c r="D1111" s="83">
        <f t="shared" si="135"/>
        <v>445.77777777777789</v>
      </c>
      <c r="E1111">
        <f t="shared" si="131"/>
        <v>0</v>
      </c>
      <c r="G1111">
        <v>1061</v>
      </c>
      <c r="H1111" s="13">
        <f t="shared" si="136"/>
        <v>1.8572577375266519E-2</v>
      </c>
      <c r="I1111">
        <f t="shared" si="137"/>
        <v>124.21166886810832</v>
      </c>
      <c r="J1111">
        <f t="shared" si="132"/>
        <v>472.89327891778436</v>
      </c>
      <c r="K1111" s="27">
        <f t="shared" si="133"/>
        <v>4153.5088777181891</v>
      </c>
    </row>
    <row r="1112" spans="1:11" x14ac:dyDescent="0.25">
      <c r="A1112" s="26">
        <v>1062</v>
      </c>
      <c r="B1112" s="82">
        <f t="shared" si="134"/>
        <v>0</v>
      </c>
      <c r="C1112" s="58">
        <f t="shared" si="138"/>
        <v>104.50616427295054</v>
      </c>
      <c r="D1112" s="83">
        <f t="shared" si="135"/>
        <v>445.77777777777789</v>
      </c>
      <c r="E1112">
        <f t="shared" si="131"/>
        <v>0</v>
      </c>
      <c r="G1112">
        <v>1062</v>
      </c>
      <c r="H1112" s="13">
        <f t="shared" si="136"/>
        <v>1.8572577375266519E-2</v>
      </c>
      <c r="I1112">
        <f t="shared" si="137"/>
        <v>124.23024144548359</v>
      </c>
      <c r="J1112">
        <f t="shared" si="132"/>
        <v>472.91144540644831</v>
      </c>
      <c r="K1112" s="27">
        <f t="shared" si="133"/>
        <v>4153.827914308069</v>
      </c>
    </row>
    <row r="1113" spans="1:11" x14ac:dyDescent="0.25">
      <c r="A1113" s="26">
        <v>1063</v>
      </c>
      <c r="B1113" s="82">
        <f t="shared" si="134"/>
        <v>0</v>
      </c>
      <c r="C1113" s="58">
        <f t="shared" si="138"/>
        <v>104.50616427295054</v>
      </c>
      <c r="D1113" s="83">
        <f t="shared" si="135"/>
        <v>445.77777777777789</v>
      </c>
      <c r="E1113">
        <f t="shared" si="131"/>
        <v>0</v>
      </c>
      <c r="G1113">
        <v>1063</v>
      </c>
      <c r="H1113" s="13">
        <f t="shared" si="136"/>
        <v>1.8572577375266519E-2</v>
      </c>
      <c r="I1113">
        <f t="shared" si="137"/>
        <v>124.24881402285885</v>
      </c>
      <c r="J1113">
        <f t="shared" si="132"/>
        <v>472.92960248530272</v>
      </c>
      <c r="K1113" s="27">
        <f t="shared" si="133"/>
        <v>4154.1467979073395</v>
      </c>
    </row>
    <row r="1114" spans="1:11" x14ac:dyDescent="0.25">
      <c r="A1114" s="26">
        <v>1064</v>
      </c>
      <c r="B1114" s="82">
        <f t="shared" si="134"/>
        <v>0</v>
      </c>
      <c r="C1114" s="58">
        <f t="shared" si="138"/>
        <v>104.50616427295054</v>
      </c>
      <c r="D1114" s="83">
        <f t="shared" si="135"/>
        <v>445.77777777777789</v>
      </c>
      <c r="E1114">
        <f t="shared" si="131"/>
        <v>0</v>
      </c>
      <c r="G1114">
        <v>1064</v>
      </c>
      <c r="H1114" s="13">
        <f t="shared" si="136"/>
        <v>1.8572577375266519E-2</v>
      </c>
      <c r="I1114">
        <f t="shared" si="137"/>
        <v>124.26738660023412</v>
      </c>
      <c r="J1114">
        <f t="shared" si="132"/>
        <v>472.94775016149163</v>
      </c>
      <c r="K1114" s="27">
        <f t="shared" si="133"/>
        <v>4154.4655286223833</v>
      </c>
    </row>
    <row r="1115" spans="1:11" x14ac:dyDescent="0.25">
      <c r="A1115" s="26">
        <v>1065</v>
      </c>
      <c r="B1115" s="82">
        <f t="shared" si="134"/>
        <v>0</v>
      </c>
      <c r="C1115" s="58">
        <f t="shared" si="138"/>
        <v>104.50616427295054</v>
      </c>
      <c r="D1115" s="83">
        <f t="shared" si="135"/>
        <v>445.77777777777789</v>
      </c>
      <c r="E1115">
        <f t="shared" si="131"/>
        <v>0</v>
      </c>
      <c r="G1115">
        <v>1065</v>
      </c>
      <c r="H1115" s="13">
        <f t="shared" si="136"/>
        <v>1.8572577375266519E-2</v>
      </c>
      <c r="I1115">
        <f t="shared" si="137"/>
        <v>124.28595917760939</v>
      </c>
      <c r="J1115">
        <f t="shared" si="132"/>
        <v>472.96588844214796</v>
      </c>
      <c r="K1115" s="27">
        <f t="shared" si="133"/>
        <v>4154.7841065594203</v>
      </c>
    </row>
    <row r="1116" spans="1:11" x14ac:dyDescent="0.25">
      <c r="A1116" s="26">
        <v>1066</v>
      </c>
      <c r="B1116" s="82">
        <f t="shared" si="134"/>
        <v>0</v>
      </c>
      <c r="C1116" s="58">
        <f t="shared" si="138"/>
        <v>104.50616427295054</v>
      </c>
      <c r="D1116" s="83">
        <f t="shared" si="135"/>
        <v>445.77777777777789</v>
      </c>
      <c r="E1116">
        <f t="shared" si="131"/>
        <v>0</v>
      </c>
      <c r="G1116">
        <v>1066</v>
      </c>
      <c r="H1116" s="13">
        <f t="shared" si="136"/>
        <v>1.8572577375266519E-2</v>
      </c>
      <c r="I1116">
        <f t="shared" si="137"/>
        <v>124.30453175498465</v>
      </c>
      <c r="J1116">
        <f t="shared" si="132"/>
        <v>472.98401733439403</v>
      </c>
      <c r="K1116" s="27">
        <f t="shared" si="133"/>
        <v>4155.1025318245083</v>
      </c>
    </row>
    <row r="1117" spans="1:11" x14ac:dyDescent="0.25">
      <c r="A1117" s="26">
        <v>1067</v>
      </c>
      <c r="B1117" s="82">
        <f t="shared" si="134"/>
        <v>0</v>
      </c>
      <c r="C1117" s="58">
        <f t="shared" si="138"/>
        <v>104.50616427295054</v>
      </c>
      <c r="D1117" s="83">
        <f t="shared" si="135"/>
        <v>445.77777777777789</v>
      </c>
      <c r="E1117">
        <f t="shared" si="131"/>
        <v>0</v>
      </c>
      <c r="G1117">
        <v>1067</v>
      </c>
      <c r="H1117" s="13">
        <f t="shared" si="136"/>
        <v>1.8572577375266519E-2</v>
      </c>
      <c r="I1117">
        <f t="shared" si="137"/>
        <v>124.32310433235992</v>
      </c>
      <c r="J1117">
        <f t="shared" si="132"/>
        <v>473.00213684534094</v>
      </c>
      <c r="K1117" s="27">
        <f t="shared" si="133"/>
        <v>4155.4208045235437</v>
      </c>
    </row>
    <row r="1118" spans="1:11" x14ac:dyDescent="0.25">
      <c r="A1118" s="26">
        <v>1068</v>
      </c>
      <c r="B1118" s="82">
        <f t="shared" si="134"/>
        <v>0</v>
      </c>
      <c r="C1118" s="58">
        <f t="shared" si="138"/>
        <v>104.50616427295054</v>
      </c>
      <c r="D1118" s="83">
        <f t="shared" si="135"/>
        <v>445.77777777777789</v>
      </c>
      <c r="E1118">
        <f t="shared" si="131"/>
        <v>0</v>
      </c>
      <c r="G1118">
        <v>1068</v>
      </c>
      <c r="H1118" s="13">
        <f t="shared" si="136"/>
        <v>1.8572577375266519E-2</v>
      </c>
      <c r="I1118">
        <f t="shared" si="137"/>
        <v>124.34167690973518</v>
      </c>
      <c r="J1118">
        <f t="shared" si="132"/>
        <v>473.02024698208925</v>
      </c>
      <c r="K1118" s="27">
        <f t="shared" si="133"/>
        <v>4155.7389247622605</v>
      </c>
    </row>
    <row r="1119" spans="1:11" x14ac:dyDescent="0.25">
      <c r="A1119" s="26">
        <v>1069</v>
      </c>
      <c r="B1119" s="82">
        <f t="shared" si="134"/>
        <v>0</v>
      </c>
      <c r="C1119" s="58">
        <f t="shared" si="138"/>
        <v>104.50616427295054</v>
      </c>
      <c r="D1119" s="83">
        <f t="shared" si="135"/>
        <v>445.77777777777789</v>
      </c>
      <c r="E1119">
        <f t="shared" si="131"/>
        <v>0</v>
      </c>
      <c r="G1119">
        <v>1069</v>
      </c>
      <c r="H1119" s="13">
        <f t="shared" si="136"/>
        <v>1.8572577375266519E-2</v>
      </c>
      <c r="I1119">
        <f t="shared" si="137"/>
        <v>124.36024948711045</v>
      </c>
      <c r="J1119">
        <f t="shared" si="132"/>
        <v>473.03834775172845</v>
      </c>
      <c r="K1119" s="27">
        <f t="shared" si="133"/>
        <v>4156.0568926462302</v>
      </c>
    </row>
    <row r="1120" spans="1:11" x14ac:dyDescent="0.25">
      <c r="A1120" s="26">
        <v>1070</v>
      </c>
      <c r="B1120" s="82">
        <f t="shared" si="134"/>
        <v>0</v>
      </c>
      <c r="C1120" s="58">
        <f t="shared" si="138"/>
        <v>104.50616427295054</v>
      </c>
      <c r="D1120" s="83">
        <f t="shared" si="135"/>
        <v>445.77777777777789</v>
      </c>
      <c r="E1120">
        <f t="shared" si="131"/>
        <v>0</v>
      </c>
      <c r="G1120">
        <v>1070</v>
      </c>
      <c r="H1120" s="13">
        <f t="shared" si="136"/>
        <v>1.8572577375266519E-2</v>
      </c>
      <c r="I1120">
        <f t="shared" si="137"/>
        <v>124.37882206448572</v>
      </c>
      <c r="J1120">
        <f t="shared" si="132"/>
        <v>473.05643916133738</v>
      </c>
      <c r="K1120" s="27">
        <f t="shared" si="133"/>
        <v>4156.3747082808668</v>
      </c>
    </row>
    <row r="1121" spans="1:11" x14ac:dyDescent="0.25">
      <c r="A1121" s="26">
        <v>1071</v>
      </c>
      <c r="B1121" s="82">
        <f t="shared" si="134"/>
        <v>0</v>
      </c>
      <c r="C1121" s="58">
        <f t="shared" si="138"/>
        <v>104.50616427295054</v>
      </c>
      <c r="D1121" s="83">
        <f t="shared" si="135"/>
        <v>445.77777777777789</v>
      </c>
      <c r="E1121">
        <f t="shared" si="131"/>
        <v>0</v>
      </c>
      <c r="G1121">
        <v>1071</v>
      </c>
      <c r="H1121" s="13">
        <f t="shared" si="136"/>
        <v>1.8572577375266519E-2</v>
      </c>
      <c r="I1121">
        <f t="shared" si="137"/>
        <v>124.39739464186098</v>
      </c>
      <c r="J1121">
        <f t="shared" si="132"/>
        <v>473.07452121798394</v>
      </c>
      <c r="K1121" s="27">
        <f t="shared" si="133"/>
        <v>4156.6923717714189</v>
      </c>
    </row>
    <row r="1122" spans="1:11" x14ac:dyDescent="0.25">
      <c r="A1122" s="26">
        <v>1072</v>
      </c>
      <c r="B1122" s="82">
        <f t="shared" si="134"/>
        <v>0</v>
      </c>
      <c r="C1122" s="58">
        <f t="shared" si="138"/>
        <v>104.50616427295054</v>
      </c>
      <c r="D1122" s="83">
        <f t="shared" si="135"/>
        <v>445.77777777777789</v>
      </c>
      <c r="E1122">
        <f t="shared" si="131"/>
        <v>0</v>
      </c>
      <c r="G1122">
        <v>1072</v>
      </c>
      <c r="H1122" s="13">
        <f t="shared" si="136"/>
        <v>1.8572577375266519E-2</v>
      </c>
      <c r="I1122">
        <f t="shared" si="137"/>
        <v>124.41596721923625</v>
      </c>
      <c r="J1122">
        <f t="shared" si="132"/>
        <v>473.09259392872542</v>
      </c>
      <c r="K1122" s="27">
        <f t="shared" si="133"/>
        <v>4157.0098832229824</v>
      </c>
    </row>
    <row r="1123" spans="1:11" x14ac:dyDescent="0.25">
      <c r="A1123" s="26">
        <v>1073</v>
      </c>
      <c r="B1123" s="82">
        <f t="shared" si="134"/>
        <v>0</v>
      </c>
      <c r="C1123" s="58">
        <f t="shared" si="138"/>
        <v>104.50616427295054</v>
      </c>
      <c r="D1123" s="83">
        <f t="shared" si="135"/>
        <v>445.77777777777789</v>
      </c>
      <c r="E1123">
        <f t="shared" si="131"/>
        <v>0</v>
      </c>
      <c r="G1123">
        <v>1073</v>
      </c>
      <c r="H1123" s="13">
        <f t="shared" si="136"/>
        <v>1.8572577375266519E-2</v>
      </c>
      <c r="I1123">
        <f t="shared" si="137"/>
        <v>124.43453979661152</v>
      </c>
      <c r="J1123">
        <f t="shared" si="132"/>
        <v>473.1106573006083</v>
      </c>
      <c r="K1123" s="27">
        <f t="shared" si="133"/>
        <v>4157.3272427404845</v>
      </c>
    </row>
    <row r="1124" spans="1:11" x14ac:dyDescent="0.25">
      <c r="A1124" s="26">
        <v>1074</v>
      </c>
      <c r="B1124" s="82">
        <f t="shared" si="134"/>
        <v>0</v>
      </c>
      <c r="C1124" s="58">
        <f t="shared" si="138"/>
        <v>104.50616427295054</v>
      </c>
      <c r="D1124" s="83">
        <f t="shared" si="135"/>
        <v>445.77777777777789</v>
      </c>
      <c r="E1124">
        <f t="shared" si="131"/>
        <v>0</v>
      </c>
      <c r="G1124">
        <v>1074</v>
      </c>
      <c r="H1124" s="13">
        <f t="shared" si="136"/>
        <v>1.8572577375266519E-2</v>
      </c>
      <c r="I1124">
        <f t="shared" si="137"/>
        <v>124.45311237398678</v>
      </c>
      <c r="J1124">
        <f t="shared" si="132"/>
        <v>473.12871134066842</v>
      </c>
      <c r="K1124" s="27">
        <f t="shared" si="133"/>
        <v>4157.6444504286992</v>
      </c>
    </row>
    <row r="1125" spans="1:11" x14ac:dyDescent="0.25">
      <c r="A1125" s="26">
        <v>1075</v>
      </c>
      <c r="B1125" s="82">
        <f t="shared" si="134"/>
        <v>0</v>
      </c>
      <c r="C1125" s="58">
        <f t="shared" si="138"/>
        <v>104.50616427295054</v>
      </c>
      <c r="D1125" s="83">
        <f t="shared" si="135"/>
        <v>445.77777777777789</v>
      </c>
      <c r="E1125">
        <f t="shared" si="131"/>
        <v>0</v>
      </c>
      <c r="G1125">
        <v>1075</v>
      </c>
      <c r="H1125" s="13">
        <f t="shared" si="136"/>
        <v>1.8572577375266519E-2</v>
      </c>
      <c r="I1125">
        <f t="shared" si="137"/>
        <v>124.47168495136205</v>
      </c>
      <c r="J1125">
        <f t="shared" si="132"/>
        <v>473.14675605593072</v>
      </c>
      <c r="K1125" s="27">
        <f t="shared" si="133"/>
        <v>4157.9615063922383</v>
      </c>
    </row>
    <row r="1126" spans="1:11" x14ac:dyDescent="0.25">
      <c r="A1126" s="26">
        <v>1076</v>
      </c>
      <c r="B1126" s="82">
        <f t="shared" si="134"/>
        <v>0</v>
      </c>
      <c r="C1126" s="58">
        <f t="shared" si="138"/>
        <v>104.50616427295054</v>
      </c>
      <c r="D1126" s="83">
        <f t="shared" si="135"/>
        <v>445.77777777777789</v>
      </c>
      <c r="E1126">
        <f t="shared" si="131"/>
        <v>0</v>
      </c>
      <c r="G1126">
        <v>1076</v>
      </c>
      <c r="H1126" s="13">
        <f t="shared" si="136"/>
        <v>1.8572577375266519E-2</v>
      </c>
      <c r="I1126">
        <f t="shared" si="137"/>
        <v>124.49025752873732</v>
      </c>
      <c r="J1126">
        <f t="shared" si="132"/>
        <v>473.16479145340963</v>
      </c>
      <c r="K1126" s="27">
        <f t="shared" si="133"/>
        <v>4158.2784107355556</v>
      </c>
    </row>
    <row r="1127" spans="1:11" x14ac:dyDescent="0.25">
      <c r="A1127" s="26">
        <v>1077</v>
      </c>
      <c r="B1127" s="82">
        <f t="shared" si="134"/>
        <v>0</v>
      </c>
      <c r="C1127" s="58">
        <f t="shared" si="138"/>
        <v>104.50616427295054</v>
      </c>
      <c r="D1127" s="83">
        <f t="shared" si="135"/>
        <v>445.77777777777789</v>
      </c>
      <c r="E1127">
        <f t="shared" si="131"/>
        <v>0</v>
      </c>
      <c r="G1127">
        <v>1077</v>
      </c>
      <c r="H1127" s="13">
        <f t="shared" si="136"/>
        <v>1.8572577375266519E-2</v>
      </c>
      <c r="I1127">
        <f t="shared" si="137"/>
        <v>124.50883010611258</v>
      </c>
      <c r="J1127">
        <f t="shared" si="132"/>
        <v>473.182817540109</v>
      </c>
      <c r="K1127" s="27">
        <f t="shared" si="133"/>
        <v>4158.5951635629463</v>
      </c>
    </row>
    <row r="1128" spans="1:11" x14ac:dyDescent="0.25">
      <c r="A1128" s="26">
        <v>1078</v>
      </c>
      <c r="B1128" s="82">
        <f t="shared" si="134"/>
        <v>0</v>
      </c>
      <c r="C1128" s="58">
        <f t="shared" si="138"/>
        <v>104.50616427295054</v>
      </c>
      <c r="D1128" s="83">
        <f t="shared" si="135"/>
        <v>445.77777777777789</v>
      </c>
      <c r="E1128">
        <f t="shared" si="131"/>
        <v>0</v>
      </c>
      <c r="G1128">
        <v>1078</v>
      </c>
      <c r="H1128" s="13">
        <f t="shared" si="136"/>
        <v>1.8572577375266519E-2</v>
      </c>
      <c r="I1128">
        <f t="shared" si="137"/>
        <v>124.52740268348785</v>
      </c>
      <c r="J1128">
        <f t="shared" si="132"/>
        <v>473.20083432302192</v>
      </c>
      <c r="K1128" s="27">
        <f t="shared" si="133"/>
        <v>4158.9117649785476</v>
      </c>
    </row>
    <row r="1129" spans="1:11" x14ac:dyDescent="0.25">
      <c r="A1129" s="26">
        <v>1079</v>
      </c>
      <c r="B1129" s="82">
        <f t="shared" si="134"/>
        <v>0</v>
      </c>
      <c r="C1129" s="58">
        <f t="shared" si="138"/>
        <v>104.50616427295054</v>
      </c>
      <c r="D1129" s="83">
        <f t="shared" si="135"/>
        <v>445.77777777777789</v>
      </c>
      <c r="E1129">
        <f t="shared" si="131"/>
        <v>0</v>
      </c>
      <c r="G1129">
        <v>1079</v>
      </c>
      <c r="H1129" s="13">
        <f t="shared" si="136"/>
        <v>1.8572577375266519E-2</v>
      </c>
      <c r="I1129">
        <f t="shared" si="137"/>
        <v>124.54597526086312</v>
      </c>
      <c r="J1129">
        <f t="shared" si="132"/>
        <v>473.21884180913082</v>
      </c>
      <c r="K1129" s="27">
        <f t="shared" si="133"/>
        <v>4159.2282150863384</v>
      </c>
    </row>
    <row r="1130" spans="1:11" x14ac:dyDescent="0.25">
      <c r="A1130" s="26">
        <v>1080</v>
      </c>
      <c r="B1130" s="82">
        <f t="shared" si="134"/>
        <v>0</v>
      </c>
      <c r="C1130" s="58">
        <f t="shared" si="138"/>
        <v>104.50616427295054</v>
      </c>
      <c r="D1130" s="83">
        <f t="shared" si="135"/>
        <v>445.77777777777789</v>
      </c>
      <c r="E1130">
        <f t="shared" si="131"/>
        <v>0</v>
      </c>
      <c r="G1130">
        <v>1080</v>
      </c>
      <c r="H1130" s="13">
        <f t="shared" si="136"/>
        <v>1.8572577375266519E-2</v>
      </c>
      <c r="I1130">
        <f t="shared" si="137"/>
        <v>124.56454783823838</v>
      </c>
      <c r="J1130">
        <f t="shared" si="132"/>
        <v>473.23684000540771</v>
      </c>
      <c r="K1130" s="27">
        <f t="shared" si="133"/>
        <v>4159.5445139901412</v>
      </c>
    </row>
    <row r="1131" spans="1:11" x14ac:dyDescent="0.25">
      <c r="A1131" s="26">
        <v>1081</v>
      </c>
      <c r="B1131" s="82">
        <f t="shared" si="134"/>
        <v>0</v>
      </c>
      <c r="C1131" s="58">
        <f t="shared" si="138"/>
        <v>104.50616427295054</v>
      </c>
      <c r="D1131" s="83">
        <f t="shared" si="135"/>
        <v>445.77777777777789</v>
      </c>
      <c r="E1131">
        <f t="shared" si="131"/>
        <v>0</v>
      </c>
      <c r="G1131">
        <v>1081</v>
      </c>
      <c r="H1131" s="13">
        <f t="shared" si="136"/>
        <v>1.8572577375266519E-2</v>
      </c>
      <c r="I1131">
        <f t="shared" si="137"/>
        <v>124.58312041561365</v>
      </c>
      <c r="J1131">
        <f t="shared" si="132"/>
        <v>473.25482891881398</v>
      </c>
      <c r="K1131" s="27">
        <f t="shared" si="133"/>
        <v>4159.8606617936193</v>
      </c>
    </row>
    <row r="1132" spans="1:11" x14ac:dyDescent="0.25">
      <c r="A1132" s="26">
        <v>1082</v>
      </c>
      <c r="B1132" s="82">
        <f t="shared" si="134"/>
        <v>0</v>
      </c>
      <c r="C1132" s="58">
        <f t="shared" si="138"/>
        <v>104.50616427295054</v>
      </c>
      <c r="D1132" s="83">
        <f t="shared" si="135"/>
        <v>445.77777777777789</v>
      </c>
      <c r="E1132">
        <f t="shared" si="131"/>
        <v>0</v>
      </c>
      <c r="G1132">
        <v>1082</v>
      </c>
      <c r="H1132" s="13">
        <f t="shared" si="136"/>
        <v>1.8572577375266519E-2</v>
      </c>
      <c r="I1132">
        <f t="shared" si="137"/>
        <v>124.60169299298892</v>
      </c>
      <c r="J1132">
        <f t="shared" si="132"/>
        <v>473.27280855630045</v>
      </c>
      <c r="K1132" s="27">
        <f t="shared" si="133"/>
        <v>4160.1766586002786</v>
      </c>
    </row>
    <row r="1133" spans="1:11" x14ac:dyDescent="0.25">
      <c r="A1133" s="26">
        <v>1083</v>
      </c>
      <c r="B1133" s="82">
        <f t="shared" si="134"/>
        <v>0</v>
      </c>
      <c r="C1133" s="58">
        <f t="shared" si="138"/>
        <v>104.50616427295054</v>
      </c>
      <c r="D1133" s="83">
        <f t="shared" si="135"/>
        <v>445.77777777777789</v>
      </c>
      <c r="E1133">
        <f t="shared" si="131"/>
        <v>0</v>
      </c>
      <c r="G1133">
        <v>1083</v>
      </c>
      <c r="H1133" s="13">
        <f t="shared" si="136"/>
        <v>1.8572577375266519E-2</v>
      </c>
      <c r="I1133">
        <f t="shared" si="137"/>
        <v>124.62026557036418</v>
      </c>
      <c r="J1133">
        <f t="shared" si="132"/>
        <v>473.29077892480734</v>
      </c>
      <c r="K1133" s="27">
        <f t="shared" si="133"/>
        <v>4160.4925045134723</v>
      </c>
    </row>
    <row r="1134" spans="1:11" x14ac:dyDescent="0.25">
      <c r="A1134" s="26">
        <v>1084</v>
      </c>
      <c r="B1134" s="82">
        <f t="shared" si="134"/>
        <v>0</v>
      </c>
      <c r="C1134" s="58">
        <f t="shared" si="138"/>
        <v>104.50616427295054</v>
      </c>
      <c r="D1134" s="83">
        <f t="shared" si="135"/>
        <v>445.77777777777789</v>
      </c>
      <c r="E1134">
        <f t="shared" si="131"/>
        <v>0</v>
      </c>
      <c r="G1134">
        <v>1084</v>
      </c>
      <c r="H1134" s="13">
        <f t="shared" si="136"/>
        <v>1.8572577375266519E-2</v>
      </c>
      <c r="I1134">
        <f t="shared" si="137"/>
        <v>124.63883814773945</v>
      </c>
      <c r="J1134">
        <f t="shared" si="132"/>
        <v>473.30874003126462</v>
      </c>
      <c r="K1134" s="27">
        <f t="shared" si="133"/>
        <v>4160.8081996363953</v>
      </c>
    </row>
    <row r="1135" spans="1:11" x14ac:dyDescent="0.25">
      <c r="A1135" s="26">
        <v>1085</v>
      </c>
      <c r="B1135" s="82">
        <f t="shared" si="134"/>
        <v>0</v>
      </c>
      <c r="C1135" s="58">
        <f t="shared" si="138"/>
        <v>104.50616427295054</v>
      </c>
      <c r="D1135" s="83">
        <f t="shared" si="135"/>
        <v>445.77777777777789</v>
      </c>
      <c r="E1135">
        <f t="shared" si="131"/>
        <v>0</v>
      </c>
      <c r="G1135">
        <v>1085</v>
      </c>
      <c r="H1135" s="13">
        <f t="shared" si="136"/>
        <v>1.8572577375266519E-2</v>
      </c>
      <c r="I1135">
        <f t="shared" si="137"/>
        <v>124.65741072511472</v>
      </c>
      <c r="J1135">
        <f t="shared" si="132"/>
        <v>473.3266918825916</v>
      </c>
      <c r="K1135" s="27">
        <f t="shared" si="133"/>
        <v>4161.1237440720843</v>
      </c>
    </row>
    <row r="1136" spans="1:11" x14ac:dyDescent="0.25">
      <c r="A1136" s="26">
        <v>1086</v>
      </c>
      <c r="B1136" s="82">
        <f t="shared" si="134"/>
        <v>0</v>
      </c>
      <c r="C1136" s="58">
        <f t="shared" si="138"/>
        <v>104.50616427295054</v>
      </c>
      <c r="D1136" s="83">
        <f t="shared" si="135"/>
        <v>445.77777777777789</v>
      </c>
      <c r="E1136">
        <f t="shared" si="131"/>
        <v>0</v>
      </c>
      <c r="G1136">
        <v>1086</v>
      </c>
      <c r="H1136" s="13">
        <f t="shared" si="136"/>
        <v>1.8572577375266519E-2</v>
      </c>
      <c r="I1136">
        <f t="shared" si="137"/>
        <v>124.67598330248998</v>
      </c>
      <c r="J1136">
        <f t="shared" si="132"/>
        <v>473.3446344856971</v>
      </c>
      <c r="K1136" s="27">
        <f t="shared" si="133"/>
        <v>4161.439137923423</v>
      </c>
    </row>
    <row r="1137" spans="1:11" x14ac:dyDescent="0.25">
      <c r="A1137" s="26">
        <v>1087</v>
      </c>
      <c r="B1137" s="82">
        <f t="shared" si="134"/>
        <v>0</v>
      </c>
      <c r="C1137" s="58">
        <f t="shared" si="138"/>
        <v>104.50616427295054</v>
      </c>
      <c r="D1137" s="83">
        <f t="shared" si="135"/>
        <v>445.77777777777789</v>
      </c>
      <c r="E1137">
        <f t="shared" si="131"/>
        <v>0</v>
      </c>
      <c r="G1137">
        <v>1087</v>
      </c>
      <c r="H1137" s="13">
        <f t="shared" si="136"/>
        <v>1.8572577375266519E-2</v>
      </c>
      <c r="I1137">
        <f t="shared" si="137"/>
        <v>124.69455587986525</v>
      </c>
      <c r="J1137">
        <f t="shared" si="132"/>
        <v>473.36256784747968</v>
      </c>
      <c r="K1137" s="27">
        <f t="shared" si="133"/>
        <v>4161.7543812931408</v>
      </c>
    </row>
    <row r="1138" spans="1:11" x14ac:dyDescent="0.25">
      <c r="A1138" s="26">
        <v>1088</v>
      </c>
      <c r="B1138" s="82">
        <f t="shared" si="134"/>
        <v>0</v>
      </c>
      <c r="C1138" s="58">
        <f t="shared" si="138"/>
        <v>104.50616427295054</v>
      </c>
      <c r="D1138" s="83">
        <f t="shared" si="135"/>
        <v>445.77777777777789</v>
      </c>
      <c r="E1138">
        <f t="shared" si="131"/>
        <v>0</v>
      </c>
      <c r="G1138">
        <v>1088</v>
      </c>
      <c r="H1138" s="13">
        <f t="shared" si="136"/>
        <v>1.8572577375266519E-2</v>
      </c>
      <c r="I1138">
        <f t="shared" si="137"/>
        <v>124.71312845724051</v>
      </c>
      <c r="J1138">
        <f t="shared" si="132"/>
        <v>473.38049197482746</v>
      </c>
      <c r="K1138" s="27">
        <f t="shared" si="133"/>
        <v>4162.0694742838086</v>
      </c>
    </row>
    <row r="1139" spans="1:11" x14ac:dyDescent="0.25">
      <c r="A1139" s="26">
        <v>1089</v>
      </c>
      <c r="B1139" s="82">
        <f t="shared" si="134"/>
        <v>0</v>
      </c>
      <c r="C1139" s="58">
        <f t="shared" si="138"/>
        <v>104.50616427295054</v>
      </c>
      <c r="D1139" s="83">
        <f t="shared" si="135"/>
        <v>445.77777777777789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1.8572577375266519E-2</v>
      </c>
      <c r="I1139">
        <f t="shared" si="137"/>
        <v>124.73170103461578</v>
      </c>
      <c r="J1139">
        <f t="shared" ref="J1139:J1202" si="140">IF($G$28&lt;$C$14,0,((($C$11^2)-((I1139-$C$13)^2))^0.5)+$C$16)</f>
        <v>473.39840687461799</v>
      </c>
      <c r="K1139" s="27">
        <f t="shared" ref="K1139:K1202" si="141">((J1139^2)+(J1139*J1140)+(J1140^2))*H1140/3</f>
        <v>4162.3844169978465</v>
      </c>
    </row>
    <row r="1140" spans="1:11" x14ac:dyDescent="0.25">
      <c r="A1140" s="26">
        <v>1090</v>
      </c>
      <c r="B1140" s="82">
        <f t="shared" ref="B1140:B1203" si="142">C1140-C1139</f>
        <v>0</v>
      </c>
      <c r="C1140" s="58">
        <f t="shared" si="138"/>
        <v>104.50616427295054</v>
      </c>
      <c r="D1140" s="83">
        <f t="shared" ref="D1140:D1203" si="143">IF($G$28&lt;$C$14,0,((($C$11^2)-((C1140-$C$13)^2))^0.5)+$C$16)</f>
        <v>445.77777777777789</v>
      </c>
      <c r="E1140">
        <f t="shared" si="139"/>
        <v>0</v>
      </c>
      <c r="G1140">
        <v>1090</v>
      </c>
      <c r="H1140" s="13">
        <f t="shared" ref="H1140:H1203" si="144">I1140-I1139</f>
        <v>1.8572577375266519E-2</v>
      </c>
      <c r="I1140">
        <f t="shared" ref="I1140:I1203" si="145">($G$27-$C$14)/2000+I1139</f>
        <v>124.75027361199105</v>
      </c>
      <c r="J1140">
        <f t="shared" si="140"/>
        <v>473.41631255371863</v>
      </c>
      <c r="K1140" s="27">
        <f t="shared" si="141"/>
        <v>4162.6992095375172</v>
      </c>
    </row>
    <row r="1141" spans="1:11" x14ac:dyDescent="0.25">
      <c r="A1141" s="26">
        <v>1091</v>
      </c>
      <c r="B1141" s="82">
        <f t="shared" si="142"/>
        <v>0</v>
      </c>
      <c r="C1141" s="58">
        <f t="shared" si="138"/>
        <v>104.50616427295054</v>
      </c>
      <c r="D1141" s="83">
        <f t="shared" si="143"/>
        <v>445.77777777777789</v>
      </c>
      <c r="E1141">
        <f t="shared" si="139"/>
        <v>0</v>
      </c>
      <c r="G1141">
        <v>1091</v>
      </c>
      <c r="H1141" s="13">
        <f t="shared" si="144"/>
        <v>1.8572577375266519E-2</v>
      </c>
      <c r="I1141">
        <f t="shared" si="145"/>
        <v>124.76884618936631</v>
      </c>
      <c r="J1141">
        <f t="shared" si="140"/>
        <v>473.43420901898634</v>
      </c>
      <c r="K1141" s="27">
        <f t="shared" si="141"/>
        <v>4163.0138520049313</v>
      </c>
    </row>
    <row r="1142" spans="1:11" x14ac:dyDescent="0.25">
      <c r="A1142" s="26">
        <v>1092</v>
      </c>
      <c r="B1142" s="82">
        <f t="shared" si="142"/>
        <v>0</v>
      </c>
      <c r="C1142" s="58">
        <f t="shared" si="138"/>
        <v>104.50616427295054</v>
      </c>
      <c r="D1142" s="83">
        <f t="shared" si="143"/>
        <v>445.77777777777789</v>
      </c>
      <c r="E1142">
        <f t="shared" si="139"/>
        <v>0</v>
      </c>
      <c r="G1142">
        <v>1092</v>
      </c>
      <c r="H1142" s="13">
        <f t="shared" si="144"/>
        <v>1.8572577375266519E-2</v>
      </c>
      <c r="I1142">
        <f t="shared" si="145"/>
        <v>124.78741876674158</v>
      </c>
      <c r="J1142">
        <f t="shared" si="140"/>
        <v>473.4520962772678</v>
      </c>
      <c r="K1142" s="27">
        <f t="shared" si="141"/>
        <v>4163.3283445020452</v>
      </c>
    </row>
    <row r="1143" spans="1:11" x14ac:dyDescent="0.25">
      <c r="A1143" s="26">
        <v>1093</v>
      </c>
      <c r="B1143" s="82">
        <f t="shared" si="142"/>
        <v>0</v>
      </c>
      <c r="C1143" s="58">
        <f t="shared" si="138"/>
        <v>104.50616427295054</v>
      </c>
      <c r="D1143" s="83">
        <f t="shared" si="143"/>
        <v>445.77777777777789</v>
      </c>
      <c r="E1143">
        <f t="shared" si="139"/>
        <v>0</v>
      </c>
      <c r="G1143">
        <v>1093</v>
      </c>
      <c r="H1143" s="13">
        <f t="shared" si="144"/>
        <v>1.8572577375266519E-2</v>
      </c>
      <c r="I1143">
        <f t="shared" si="145"/>
        <v>124.80599134411685</v>
      </c>
      <c r="J1143">
        <f t="shared" si="140"/>
        <v>473.4699743353994</v>
      </c>
      <c r="K1143" s="27">
        <f t="shared" si="141"/>
        <v>4163.642687130663</v>
      </c>
    </row>
    <row r="1144" spans="1:11" x14ac:dyDescent="0.25">
      <c r="A1144" s="26">
        <v>1094</v>
      </c>
      <c r="B1144" s="82">
        <f t="shared" si="142"/>
        <v>0</v>
      </c>
      <c r="C1144" s="58">
        <f t="shared" si="138"/>
        <v>104.50616427295054</v>
      </c>
      <c r="D1144" s="83">
        <f t="shared" si="143"/>
        <v>445.77777777777789</v>
      </c>
      <c r="E1144">
        <f t="shared" si="139"/>
        <v>0</v>
      </c>
      <c r="G1144">
        <v>1094</v>
      </c>
      <c r="H1144" s="13">
        <f t="shared" si="144"/>
        <v>1.8572577375266519E-2</v>
      </c>
      <c r="I1144">
        <f t="shared" si="145"/>
        <v>124.82456392149211</v>
      </c>
      <c r="J1144">
        <f t="shared" si="140"/>
        <v>473.48784320020718</v>
      </c>
      <c r="K1144" s="27">
        <f t="shared" si="141"/>
        <v>4163.9568799924336</v>
      </c>
    </row>
    <row r="1145" spans="1:11" x14ac:dyDescent="0.25">
      <c r="A1145" s="26">
        <v>1095</v>
      </c>
      <c r="B1145" s="82">
        <f t="shared" si="142"/>
        <v>0</v>
      </c>
      <c r="C1145" s="58">
        <f t="shared" si="138"/>
        <v>104.50616427295054</v>
      </c>
      <c r="D1145" s="83">
        <f t="shared" si="143"/>
        <v>445.77777777777789</v>
      </c>
      <c r="E1145">
        <f t="shared" si="139"/>
        <v>0</v>
      </c>
      <c r="G1145">
        <v>1095</v>
      </c>
      <c r="H1145" s="13">
        <f t="shared" si="144"/>
        <v>1.8572577375266519E-2</v>
      </c>
      <c r="I1145">
        <f t="shared" si="145"/>
        <v>124.84313649886738</v>
      </c>
      <c r="J1145">
        <f t="shared" si="140"/>
        <v>473.50570287850695</v>
      </c>
      <c r="K1145" s="27">
        <f t="shared" si="141"/>
        <v>4164.2709231888539</v>
      </c>
    </row>
    <row r="1146" spans="1:11" x14ac:dyDescent="0.25">
      <c r="A1146" s="26">
        <v>1096</v>
      </c>
      <c r="B1146" s="82">
        <f t="shared" si="142"/>
        <v>0</v>
      </c>
      <c r="C1146" s="58">
        <f t="shared" si="138"/>
        <v>104.50616427295054</v>
      </c>
      <c r="D1146" s="83">
        <f t="shared" si="143"/>
        <v>445.77777777777789</v>
      </c>
      <c r="E1146">
        <f t="shared" si="139"/>
        <v>0</v>
      </c>
      <c r="G1146">
        <v>1096</v>
      </c>
      <c r="H1146" s="13">
        <f t="shared" si="144"/>
        <v>1.8572577375266519E-2</v>
      </c>
      <c r="I1146">
        <f t="shared" si="145"/>
        <v>124.86170907624265</v>
      </c>
      <c r="J1146">
        <f t="shared" si="140"/>
        <v>473.52355337710435</v>
      </c>
      <c r="K1146" s="27">
        <f t="shared" si="141"/>
        <v>4164.5848168212715</v>
      </c>
    </row>
    <row r="1147" spans="1:11" x14ac:dyDescent="0.25">
      <c r="A1147" s="26">
        <v>1097</v>
      </c>
      <c r="B1147" s="82">
        <f t="shared" si="142"/>
        <v>0</v>
      </c>
      <c r="C1147" s="58">
        <f t="shared" si="138"/>
        <v>104.50616427295054</v>
      </c>
      <c r="D1147" s="83">
        <f t="shared" si="143"/>
        <v>445.77777777777789</v>
      </c>
      <c r="E1147">
        <f t="shared" si="139"/>
        <v>0</v>
      </c>
      <c r="G1147">
        <v>1097</v>
      </c>
      <c r="H1147" s="13">
        <f t="shared" si="144"/>
        <v>1.8572577375266519E-2</v>
      </c>
      <c r="I1147">
        <f t="shared" si="145"/>
        <v>124.88028165361791</v>
      </c>
      <c r="J1147">
        <f t="shared" si="140"/>
        <v>473.54139470279466</v>
      </c>
      <c r="K1147" s="27">
        <f t="shared" si="141"/>
        <v>4164.8985609908777</v>
      </c>
    </row>
    <row r="1148" spans="1:11" x14ac:dyDescent="0.25">
      <c r="A1148" s="26">
        <v>1098</v>
      </c>
      <c r="B1148" s="82">
        <f t="shared" si="142"/>
        <v>0</v>
      </c>
      <c r="C1148" s="58">
        <f t="shared" si="138"/>
        <v>104.50616427295054</v>
      </c>
      <c r="D1148" s="83">
        <f t="shared" si="143"/>
        <v>445.77777777777789</v>
      </c>
      <c r="E1148">
        <f t="shared" si="139"/>
        <v>0</v>
      </c>
      <c r="G1148">
        <v>1098</v>
      </c>
      <c r="H1148" s="13">
        <f t="shared" si="144"/>
        <v>1.8572577375266519E-2</v>
      </c>
      <c r="I1148">
        <f t="shared" si="145"/>
        <v>124.89885423099318</v>
      </c>
      <c r="J1148">
        <f t="shared" si="140"/>
        <v>473.55922686236312</v>
      </c>
      <c r="K1148" s="27">
        <f t="shared" si="141"/>
        <v>4165.212155798713</v>
      </c>
    </row>
    <row r="1149" spans="1:11" x14ac:dyDescent="0.25">
      <c r="A1149" s="26">
        <v>1099</v>
      </c>
      <c r="B1149" s="82">
        <f t="shared" si="142"/>
        <v>0</v>
      </c>
      <c r="C1149" s="58">
        <f t="shared" si="138"/>
        <v>104.50616427295054</v>
      </c>
      <c r="D1149" s="83">
        <f t="shared" si="143"/>
        <v>445.77777777777789</v>
      </c>
      <c r="E1149">
        <f t="shared" si="139"/>
        <v>0</v>
      </c>
      <c r="G1149">
        <v>1099</v>
      </c>
      <c r="H1149" s="13">
        <f t="shared" si="144"/>
        <v>1.8572577375266519E-2</v>
      </c>
      <c r="I1149">
        <f t="shared" si="145"/>
        <v>124.91742680836845</v>
      </c>
      <c r="J1149">
        <f t="shared" si="140"/>
        <v>473.57704986258477</v>
      </c>
      <c r="K1149" s="27">
        <f t="shared" si="141"/>
        <v>4165.5256013456683</v>
      </c>
    </row>
    <row r="1150" spans="1:11" x14ac:dyDescent="0.25">
      <c r="A1150" s="26">
        <v>1100</v>
      </c>
      <c r="B1150" s="82">
        <f t="shared" si="142"/>
        <v>0</v>
      </c>
      <c r="C1150" s="58">
        <f t="shared" si="138"/>
        <v>104.50616427295054</v>
      </c>
      <c r="D1150" s="83">
        <f t="shared" si="143"/>
        <v>445.77777777777789</v>
      </c>
      <c r="E1150">
        <f t="shared" si="139"/>
        <v>0</v>
      </c>
      <c r="G1150">
        <v>1100</v>
      </c>
      <c r="H1150" s="13">
        <f t="shared" si="144"/>
        <v>1.8572577375266519E-2</v>
      </c>
      <c r="I1150">
        <f t="shared" si="145"/>
        <v>124.93599938574371</v>
      </c>
      <c r="J1150">
        <f t="shared" si="140"/>
        <v>473.59486371022439</v>
      </c>
      <c r="K1150" s="27">
        <f t="shared" si="141"/>
        <v>4165.838897732483</v>
      </c>
    </row>
    <row r="1151" spans="1:11" x14ac:dyDescent="0.25">
      <c r="A1151" s="26">
        <v>1101</v>
      </c>
      <c r="B1151" s="82">
        <f t="shared" si="142"/>
        <v>0</v>
      </c>
      <c r="C1151" s="58">
        <f t="shared" si="138"/>
        <v>104.50616427295054</v>
      </c>
      <c r="D1151" s="83">
        <f t="shared" si="143"/>
        <v>445.77777777777789</v>
      </c>
      <c r="E1151">
        <f t="shared" si="139"/>
        <v>0</v>
      </c>
      <c r="G1151">
        <v>1101</v>
      </c>
      <c r="H1151" s="13">
        <f t="shared" si="144"/>
        <v>1.8572577375266519E-2</v>
      </c>
      <c r="I1151">
        <f t="shared" si="145"/>
        <v>124.95457196311898</v>
      </c>
      <c r="J1151">
        <f t="shared" si="140"/>
        <v>473.61266841203678</v>
      </c>
      <c r="K1151" s="27">
        <f t="shared" si="141"/>
        <v>4166.1520450597445</v>
      </c>
    </row>
    <row r="1152" spans="1:11" x14ac:dyDescent="0.25">
      <c r="A1152" s="26">
        <v>1102</v>
      </c>
      <c r="B1152" s="82">
        <f t="shared" si="142"/>
        <v>0</v>
      </c>
      <c r="C1152" s="58">
        <f t="shared" si="138"/>
        <v>104.50616427295054</v>
      </c>
      <c r="D1152" s="83">
        <f t="shared" si="143"/>
        <v>445.77777777777789</v>
      </c>
      <c r="E1152">
        <f t="shared" si="139"/>
        <v>0</v>
      </c>
      <c r="G1152">
        <v>1102</v>
      </c>
      <c r="H1152" s="13">
        <f t="shared" si="144"/>
        <v>1.8572577375266519E-2</v>
      </c>
      <c r="I1152">
        <f t="shared" si="145"/>
        <v>124.97314454049425</v>
      </c>
      <c r="J1152">
        <f t="shared" si="140"/>
        <v>473.63046397476654</v>
      </c>
      <c r="K1152" s="27">
        <f t="shared" si="141"/>
        <v>4166.4650434278892</v>
      </c>
    </row>
    <row r="1153" spans="1:11" x14ac:dyDescent="0.25">
      <c r="A1153" s="26">
        <v>1103</v>
      </c>
      <c r="B1153" s="82">
        <f t="shared" si="142"/>
        <v>0</v>
      </c>
      <c r="C1153" s="58">
        <f t="shared" si="138"/>
        <v>104.50616427295054</v>
      </c>
      <c r="D1153" s="83">
        <f t="shared" si="143"/>
        <v>445.77777777777789</v>
      </c>
      <c r="E1153">
        <f t="shared" si="139"/>
        <v>0</v>
      </c>
      <c r="G1153">
        <v>1103</v>
      </c>
      <c r="H1153" s="13">
        <f t="shared" si="144"/>
        <v>1.8572577375266519E-2</v>
      </c>
      <c r="I1153">
        <f t="shared" si="145"/>
        <v>124.99171711786951</v>
      </c>
      <c r="J1153">
        <f t="shared" si="140"/>
        <v>473.64825040514825</v>
      </c>
      <c r="K1153" s="27">
        <f t="shared" si="141"/>
        <v>4166.7778929372062</v>
      </c>
    </row>
    <row r="1154" spans="1:11" x14ac:dyDescent="0.25">
      <c r="A1154" s="26">
        <v>1104</v>
      </c>
      <c r="B1154" s="82">
        <f t="shared" si="142"/>
        <v>0</v>
      </c>
      <c r="C1154" s="58">
        <f t="shared" si="138"/>
        <v>104.50616427295054</v>
      </c>
      <c r="D1154" s="83">
        <f t="shared" si="143"/>
        <v>445.77777777777789</v>
      </c>
      <c r="E1154">
        <f t="shared" si="139"/>
        <v>0</v>
      </c>
      <c r="G1154">
        <v>1104</v>
      </c>
      <c r="H1154" s="13">
        <f t="shared" si="144"/>
        <v>1.8572577375266519E-2</v>
      </c>
      <c r="I1154">
        <f t="shared" si="145"/>
        <v>125.01028969524478</v>
      </c>
      <c r="J1154">
        <f t="shared" si="140"/>
        <v>473.66602770990625</v>
      </c>
      <c r="K1154" s="27">
        <f t="shared" si="141"/>
        <v>4167.0905936878326</v>
      </c>
    </row>
    <row r="1155" spans="1:11" x14ac:dyDescent="0.25">
      <c r="A1155" s="26">
        <v>1105</v>
      </c>
      <c r="B1155" s="82">
        <f t="shared" si="142"/>
        <v>0</v>
      </c>
      <c r="C1155" s="58">
        <f t="shared" si="138"/>
        <v>104.50616427295054</v>
      </c>
      <c r="D1155" s="83">
        <f t="shared" si="143"/>
        <v>445.77777777777789</v>
      </c>
      <c r="E1155">
        <f t="shared" si="139"/>
        <v>0</v>
      </c>
      <c r="G1155">
        <v>1105</v>
      </c>
      <c r="H1155" s="13">
        <f t="shared" si="144"/>
        <v>1.8572577375266519E-2</v>
      </c>
      <c r="I1155">
        <f t="shared" si="145"/>
        <v>125.02886227262005</v>
      </c>
      <c r="J1155">
        <f t="shared" si="140"/>
        <v>473.68379589575511</v>
      </c>
      <c r="K1155" s="27">
        <f t="shared" si="141"/>
        <v>4167.4031457797555</v>
      </c>
    </row>
    <row r="1156" spans="1:11" x14ac:dyDescent="0.25">
      <c r="A1156" s="26">
        <v>1106</v>
      </c>
      <c r="B1156" s="82">
        <f t="shared" si="142"/>
        <v>0</v>
      </c>
      <c r="C1156" s="58">
        <f t="shared" si="138"/>
        <v>104.50616427295054</v>
      </c>
      <c r="D1156" s="83">
        <f t="shared" si="143"/>
        <v>445.77777777777789</v>
      </c>
      <c r="E1156">
        <f t="shared" si="139"/>
        <v>0</v>
      </c>
      <c r="G1156">
        <v>1106</v>
      </c>
      <c r="H1156" s="13">
        <f t="shared" si="144"/>
        <v>1.8572577375266519E-2</v>
      </c>
      <c r="I1156">
        <f t="shared" si="145"/>
        <v>125.04743484999531</v>
      </c>
      <c r="J1156">
        <f t="shared" si="140"/>
        <v>473.70155496939913</v>
      </c>
      <c r="K1156" s="27">
        <f t="shared" si="141"/>
        <v>4167.7155493128148</v>
      </c>
    </row>
    <row r="1157" spans="1:11" x14ac:dyDescent="0.25">
      <c r="A1157" s="26">
        <v>1107</v>
      </c>
      <c r="B1157" s="82">
        <f t="shared" si="142"/>
        <v>0</v>
      </c>
      <c r="C1157" s="58">
        <f t="shared" si="138"/>
        <v>104.50616427295054</v>
      </c>
      <c r="D1157" s="83">
        <f t="shared" si="143"/>
        <v>445.77777777777789</v>
      </c>
      <c r="E1157">
        <f t="shared" si="139"/>
        <v>0</v>
      </c>
      <c r="G1157">
        <v>1107</v>
      </c>
      <c r="H1157" s="13">
        <f t="shared" si="144"/>
        <v>1.8572577375266519E-2</v>
      </c>
      <c r="I1157">
        <f t="shared" si="145"/>
        <v>125.06600742737058</v>
      </c>
      <c r="J1157">
        <f t="shared" si="140"/>
        <v>473.7193049375328</v>
      </c>
      <c r="K1157" s="27">
        <f t="shared" si="141"/>
        <v>4168.0278043866992</v>
      </c>
    </row>
    <row r="1158" spans="1:11" x14ac:dyDescent="0.25">
      <c r="A1158" s="26">
        <v>1108</v>
      </c>
      <c r="B1158" s="82">
        <f t="shared" si="142"/>
        <v>0</v>
      </c>
      <c r="C1158" s="58">
        <f t="shared" si="138"/>
        <v>104.50616427295054</v>
      </c>
      <c r="D1158" s="83">
        <f t="shared" si="143"/>
        <v>445.77777777777789</v>
      </c>
      <c r="E1158">
        <f t="shared" si="139"/>
        <v>0</v>
      </c>
      <c r="G1158">
        <v>1108</v>
      </c>
      <c r="H1158" s="13">
        <f t="shared" si="144"/>
        <v>1.8572577375266519E-2</v>
      </c>
      <c r="I1158">
        <f t="shared" si="145"/>
        <v>125.08458000474585</v>
      </c>
      <c r="J1158">
        <f t="shared" si="140"/>
        <v>473.73704580684046</v>
      </c>
      <c r="K1158" s="27">
        <f t="shared" si="141"/>
        <v>4168.3399111009485</v>
      </c>
    </row>
    <row r="1159" spans="1:11" x14ac:dyDescent="0.25">
      <c r="A1159" s="26">
        <v>1109</v>
      </c>
      <c r="B1159" s="82">
        <f t="shared" si="142"/>
        <v>0</v>
      </c>
      <c r="C1159" s="58">
        <f t="shared" si="138"/>
        <v>104.50616427295054</v>
      </c>
      <c r="D1159" s="83">
        <f t="shared" si="143"/>
        <v>445.77777777777789</v>
      </c>
      <c r="E1159">
        <f t="shared" si="139"/>
        <v>0</v>
      </c>
      <c r="G1159">
        <v>1109</v>
      </c>
      <c r="H1159" s="13">
        <f t="shared" si="144"/>
        <v>1.8572577375266519E-2</v>
      </c>
      <c r="I1159">
        <f t="shared" si="145"/>
        <v>125.10315258212111</v>
      </c>
      <c r="J1159">
        <f t="shared" si="140"/>
        <v>473.75477758399654</v>
      </c>
      <c r="K1159" s="27">
        <f t="shared" si="141"/>
        <v>4168.6518695549585</v>
      </c>
    </row>
    <row r="1160" spans="1:11" x14ac:dyDescent="0.25">
      <c r="A1160" s="26">
        <v>1110</v>
      </c>
      <c r="B1160" s="82">
        <f t="shared" si="142"/>
        <v>0</v>
      </c>
      <c r="C1160" s="58">
        <f t="shared" si="138"/>
        <v>104.50616427295054</v>
      </c>
      <c r="D1160" s="83">
        <f t="shared" si="143"/>
        <v>445.77777777777789</v>
      </c>
      <c r="E1160">
        <f t="shared" si="139"/>
        <v>0</v>
      </c>
      <c r="G1160">
        <v>1110</v>
      </c>
      <c r="H1160" s="13">
        <f t="shared" si="144"/>
        <v>1.8572577375266519E-2</v>
      </c>
      <c r="I1160">
        <f t="shared" si="145"/>
        <v>125.12172515949638</v>
      </c>
      <c r="J1160">
        <f t="shared" si="140"/>
        <v>473.77250027566561</v>
      </c>
      <c r="K1160" s="27">
        <f t="shared" si="141"/>
        <v>4168.9636798479723</v>
      </c>
    </row>
    <row r="1161" spans="1:11" x14ac:dyDescent="0.25">
      <c r="A1161" s="26">
        <v>1111</v>
      </c>
      <c r="B1161" s="82">
        <f t="shared" si="142"/>
        <v>0</v>
      </c>
      <c r="C1161" s="58">
        <f t="shared" si="138"/>
        <v>104.50616427295054</v>
      </c>
      <c r="D1161" s="83">
        <f t="shared" si="143"/>
        <v>445.77777777777789</v>
      </c>
      <c r="E1161">
        <f t="shared" si="139"/>
        <v>0</v>
      </c>
      <c r="G1161">
        <v>1111</v>
      </c>
      <c r="H1161" s="13">
        <f t="shared" si="144"/>
        <v>1.8572577375266519E-2</v>
      </c>
      <c r="I1161">
        <f t="shared" si="145"/>
        <v>125.14029773687164</v>
      </c>
      <c r="J1161">
        <f t="shared" si="140"/>
        <v>473.79021388850225</v>
      </c>
      <c r="K1161" s="27">
        <f t="shared" si="141"/>
        <v>4169.2753420790887</v>
      </c>
    </row>
    <row r="1162" spans="1:11" x14ac:dyDescent="0.25">
      <c r="A1162" s="26">
        <v>1112</v>
      </c>
      <c r="B1162" s="82">
        <f t="shared" si="142"/>
        <v>0</v>
      </c>
      <c r="C1162" s="58">
        <f t="shared" si="138"/>
        <v>104.50616427295054</v>
      </c>
      <c r="D1162" s="83">
        <f t="shared" si="143"/>
        <v>445.77777777777789</v>
      </c>
      <c r="E1162">
        <f t="shared" si="139"/>
        <v>0</v>
      </c>
      <c r="G1162">
        <v>1112</v>
      </c>
      <c r="H1162" s="13">
        <f t="shared" si="144"/>
        <v>1.8572577375266519E-2</v>
      </c>
      <c r="I1162">
        <f t="shared" si="145"/>
        <v>125.15887031424691</v>
      </c>
      <c r="J1162">
        <f t="shared" si="140"/>
        <v>473.80791842915113</v>
      </c>
      <c r="K1162" s="27">
        <f t="shared" si="141"/>
        <v>4169.586856347255</v>
      </c>
    </row>
    <row r="1163" spans="1:11" x14ac:dyDescent="0.25">
      <c r="A1163" s="26">
        <v>1113</v>
      </c>
      <c r="B1163" s="82">
        <f t="shared" si="142"/>
        <v>0</v>
      </c>
      <c r="C1163" s="58">
        <f t="shared" si="138"/>
        <v>104.50616427295054</v>
      </c>
      <c r="D1163" s="83">
        <f t="shared" si="143"/>
        <v>445.77777777777789</v>
      </c>
      <c r="E1163">
        <f t="shared" si="139"/>
        <v>0</v>
      </c>
      <c r="G1163">
        <v>1113</v>
      </c>
      <c r="H1163" s="13">
        <f t="shared" si="144"/>
        <v>1.8572577375266519E-2</v>
      </c>
      <c r="I1163">
        <f t="shared" si="145"/>
        <v>125.17744289162218</v>
      </c>
      <c r="J1163">
        <f t="shared" si="140"/>
        <v>473.82561390424701</v>
      </c>
      <c r="K1163" s="27">
        <f t="shared" si="141"/>
        <v>4169.8982227512743</v>
      </c>
    </row>
    <row r="1164" spans="1:11" x14ac:dyDescent="0.25">
      <c r="A1164" s="26">
        <v>1114</v>
      </c>
      <c r="B1164" s="82">
        <f t="shared" si="142"/>
        <v>0</v>
      </c>
      <c r="C1164" s="58">
        <f t="shared" si="138"/>
        <v>104.50616427295054</v>
      </c>
      <c r="D1164" s="83">
        <f t="shared" si="143"/>
        <v>445.77777777777789</v>
      </c>
      <c r="E1164">
        <f t="shared" si="139"/>
        <v>0</v>
      </c>
      <c r="G1164">
        <v>1114</v>
      </c>
      <c r="H1164" s="13">
        <f t="shared" si="144"/>
        <v>1.8572577375266519E-2</v>
      </c>
      <c r="I1164">
        <f t="shared" si="145"/>
        <v>125.19601546899744</v>
      </c>
      <c r="J1164">
        <f t="shared" si="140"/>
        <v>473.84330032041493</v>
      </c>
      <c r="K1164" s="27">
        <f t="shared" si="141"/>
        <v>4170.2094413898039</v>
      </c>
    </row>
    <row r="1165" spans="1:11" x14ac:dyDescent="0.25">
      <c r="A1165" s="26">
        <v>1115</v>
      </c>
      <c r="B1165" s="82">
        <f t="shared" si="142"/>
        <v>0</v>
      </c>
      <c r="C1165" s="58">
        <f t="shared" si="138"/>
        <v>104.50616427295054</v>
      </c>
      <c r="D1165" s="83">
        <f t="shared" si="143"/>
        <v>445.77777777777789</v>
      </c>
      <c r="E1165">
        <f t="shared" si="139"/>
        <v>0</v>
      </c>
      <c r="G1165">
        <v>1115</v>
      </c>
      <c r="H1165" s="13">
        <f t="shared" si="144"/>
        <v>1.8572577375266519E-2</v>
      </c>
      <c r="I1165">
        <f t="shared" si="145"/>
        <v>125.21458804637271</v>
      </c>
      <c r="J1165">
        <f t="shared" si="140"/>
        <v>473.86097768426987</v>
      </c>
      <c r="K1165" s="27">
        <f t="shared" si="141"/>
        <v>4170.5205123613523</v>
      </c>
    </row>
    <row r="1166" spans="1:11" x14ac:dyDescent="0.25">
      <c r="A1166" s="26">
        <v>1116</v>
      </c>
      <c r="B1166" s="82">
        <f t="shared" si="142"/>
        <v>0</v>
      </c>
      <c r="C1166" s="58">
        <f t="shared" si="138"/>
        <v>104.50616427295054</v>
      </c>
      <c r="D1166" s="83">
        <f t="shared" si="143"/>
        <v>445.77777777777789</v>
      </c>
      <c r="E1166">
        <f t="shared" si="139"/>
        <v>0</v>
      </c>
      <c r="G1166">
        <v>1116</v>
      </c>
      <c r="H1166" s="13">
        <f t="shared" si="144"/>
        <v>1.8572577375266519E-2</v>
      </c>
      <c r="I1166">
        <f t="shared" si="145"/>
        <v>125.23316062374798</v>
      </c>
      <c r="J1166">
        <f t="shared" si="140"/>
        <v>473.87864600241727</v>
      </c>
      <c r="K1166" s="27">
        <f t="shared" si="141"/>
        <v>4170.8314357642821</v>
      </c>
    </row>
    <row r="1167" spans="1:11" x14ac:dyDescent="0.25">
      <c r="A1167" s="26">
        <v>1117</v>
      </c>
      <c r="B1167" s="82">
        <f t="shared" si="142"/>
        <v>0</v>
      </c>
      <c r="C1167" s="58">
        <f t="shared" si="138"/>
        <v>104.50616427295054</v>
      </c>
      <c r="D1167" s="83">
        <f t="shared" si="143"/>
        <v>445.77777777777789</v>
      </c>
      <c r="E1167">
        <f t="shared" si="139"/>
        <v>0</v>
      </c>
      <c r="G1167">
        <v>1117</v>
      </c>
      <c r="H1167" s="13">
        <f t="shared" si="144"/>
        <v>1.8572577375266519E-2</v>
      </c>
      <c r="I1167">
        <f t="shared" si="145"/>
        <v>125.25173320112324</v>
      </c>
      <c r="J1167">
        <f t="shared" si="140"/>
        <v>473.8963052814525</v>
      </c>
      <c r="K1167" s="27">
        <f t="shared" si="141"/>
        <v>4171.1422116968115</v>
      </c>
    </row>
    <row r="1168" spans="1:11" x14ac:dyDescent="0.25">
      <c r="A1168" s="26">
        <v>1118</v>
      </c>
      <c r="B1168" s="82">
        <f t="shared" si="142"/>
        <v>0</v>
      </c>
      <c r="C1168" s="58">
        <f t="shared" ref="C1168:C1231" si="146">($C$37-$C$36)/2000+C1167</f>
        <v>104.50616427295054</v>
      </c>
      <c r="D1168" s="83">
        <f t="shared" si="143"/>
        <v>445.77777777777789</v>
      </c>
      <c r="E1168">
        <f t="shared" si="139"/>
        <v>0</v>
      </c>
      <c r="G1168">
        <v>1118</v>
      </c>
      <c r="H1168" s="13">
        <f t="shared" si="144"/>
        <v>1.8572577375266519E-2</v>
      </c>
      <c r="I1168">
        <f t="shared" si="145"/>
        <v>125.27030577849851</v>
      </c>
      <c r="J1168">
        <f t="shared" si="140"/>
        <v>473.91395552796126</v>
      </c>
      <c r="K1168" s="27">
        <f t="shared" si="141"/>
        <v>4171.4528402570113</v>
      </c>
    </row>
    <row r="1169" spans="1:11" x14ac:dyDescent="0.25">
      <c r="A1169" s="26">
        <v>1119</v>
      </c>
      <c r="B1169" s="82">
        <f t="shared" si="142"/>
        <v>0</v>
      </c>
      <c r="C1169" s="58">
        <f t="shared" si="146"/>
        <v>104.50616427295054</v>
      </c>
      <c r="D1169" s="83">
        <f t="shared" si="143"/>
        <v>445.77777777777789</v>
      </c>
      <c r="E1169">
        <f t="shared" si="139"/>
        <v>0</v>
      </c>
      <c r="G1169">
        <v>1119</v>
      </c>
      <c r="H1169" s="13">
        <f t="shared" si="144"/>
        <v>1.8572577375266519E-2</v>
      </c>
      <c r="I1169">
        <f t="shared" si="145"/>
        <v>125.28887835587378</v>
      </c>
      <c r="J1169">
        <f t="shared" si="140"/>
        <v>473.93159674851955</v>
      </c>
      <c r="K1169" s="27">
        <f t="shared" si="141"/>
        <v>4171.7633215428077</v>
      </c>
    </row>
    <row r="1170" spans="1:11" x14ac:dyDescent="0.25">
      <c r="A1170" s="26">
        <v>1120</v>
      </c>
      <c r="B1170" s="82">
        <f t="shared" si="142"/>
        <v>0</v>
      </c>
      <c r="C1170" s="58">
        <f t="shared" si="146"/>
        <v>104.50616427295054</v>
      </c>
      <c r="D1170" s="83">
        <f t="shared" si="143"/>
        <v>445.77777777777789</v>
      </c>
      <c r="E1170">
        <f t="shared" si="139"/>
        <v>0</v>
      </c>
      <c r="G1170">
        <v>1120</v>
      </c>
      <c r="H1170" s="13">
        <f t="shared" si="144"/>
        <v>1.8572577375266519E-2</v>
      </c>
      <c r="I1170">
        <f t="shared" si="145"/>
        <v>125.30745093324904</v>
      </c>
      <c r="J1170">
        <f t="shared" si="140"/>
        <v>473.94922894969358</v>
      </c>
      <c r="K1170" s="27">
        <f t="shared" si="141"/>
        <v>4172.0736556519832</v>
      </c>
    </row>
    <row r="1171" spans="1:11" x14ac:dyDescent="0.25">
      <c r="A1171" s="26">
        <v>1121</v>
      </c>
      <c r="B1171" s="82">
        <f t="shared" si="142"/>
        <v>0</v>
      </c>
      <c r="C1171" s="58">
        <f t="shared" si="146"/>
        <v>104.50616427295054</v>
      </c>
      <c r="D1171" s="83">
        <f t="shared" si="143"/>
        <v>445.77777777777789</v>
      </c>
      <c r="E1171">
        <f t="shared" si="139"/>
        <v>0</v>
      </c>
      <c r="G1171">
        <v>1121</v>
      </c>
      <c r="H1171" s="13">
        <f t="shared" si="144"/>
        <v>1.8572577375266519E-2</v>
      </c>
      <c r="I1171">
        <f t="shared" si="145"/>
        <v>125.32602351062431</v>
      </c>
      <c r="J1171">
        <f t="shared" si="140"/>
        <v>473.96685213803977</v>
      </c>
      <c r="K1171" s="27">
        <f t="shared" si="141"/>
        <v>4172.383842682174</v>
      </c>
    </row>
    <row r="1172" spans="1:11" x14ac:dyDescent="0.25">
      <c r="A1172" s="26">
        <v>1122</v>
      </c>
      <c r="B1172" s="82">
        <f t="shared" si="142"/>
        <v>0</v>
      </c>
      <c r="C1172" s="58">
        <f t="shared" si="146"/>
        <v>104.50616427295054</v>
      </c>
      <c r="D1172" s="83">
        <f t="shared" si="143"/>
        <v>445.77777777777789</v>
      </c>
      <c r="E1172">
        <f t="shared" si="139"/>
        <v>0</v>
      </c>
      <c r="G1172">
        <v>1122</v>
      </c>
      <c r="H1172" s="13">
        <f t="shared" si="144"/>
        <v>1.8572577375266519E-2</v>
      </c>
      <c r="I1172">
        <f t="shared" si="145"/>
        <v>125.34459608799958</v>
      </c>
      <c r="J1172">
        <f t="shared" si="140"/>
        <v>473.98446632010496</v>
      </c>
      <c r="K1172" s="27">
        <f t="shared" si="141"/>
        <v>4172.6938827308713</v>
      </c>
    </row>
    <row r="1173" spans="1:11" x14ac:dyDescent="0.25">
      <c r="A1173" s="26">
        <v>1123</v>
      </c>
      <c r="B1173" s="82">
        <f t="shared" si="142"/>
        <v>0</v>
      </c>
      <c r="C1173" s="58">
        <f t="shared" si="146"/>
        <v>104.50616427295054</v>
      </c>
      <c r="D1173" s="83">
        <f t="shared" si="143"/>
        <v>445.77777777777789</v>
      </c>
      <c r="E1173">
        <f t="shared" si="139"/>
        <v>0</v>
      </c>
      <c r="G1173">
        <v>1123</v>
      </c>
      <c r="H1173" s="13">
        <f t="shared" si="144"/>
        <v>1.8572577375266519E-2</v>
      </c>
      <c r="I1173">
        <f t="shared" si="145"/>
        <v>125.36316866537484</v>
      </c>
      <c r="J1173">
        <f t="shared" si="140"/>
        <v>474.00207150242625</v>
      </c>
      <c r="K1173" s="27">
        <f t="shared" si="141"/>
        <v>4173.003775895424</v>
      </c>
    </row>
    <row r="1174" spans="1:11" x14ac:dyDescent="0.25">
      <c r="A1174" s="26">
        <v>1124</v>
      </c>
      <c r="B1174" s="82">
        <f t="shared" si="142"/>
        <v>0</v>
      </c>
      <c r="C1174" s="58">
        <f t="shared" si="146"/>
        <v>104.50616427295054</v>
      </c>
      <c r="D1174" s="83">
        <f t="shared" si="143"/>
        <v>445.77777777777789</v>
      </c>
      <c r="E1174">
        <f t="shared" si="139"/>
        <v>0</v>
      </c>
      <c r="G1174">
        <v>1124</v>
      </c>
      <c r="H1174" s="13">
        <f t="shared" si="144"/>
        <v>1.8572577375266519E-2</v>
      </c>
      <c r="I1174">
        <f t="shared" si="145"/>
        <v>125.38174124275011</v>
      </c>
      <c r="J1174">
        <f t="shared" si="140"/>
        <v>474.01966769153103</v>
      </c>
      <c r="K1174" s="27">
        <f t="shared" si="141"/>
        <v>4173.3135222730371</v>
      </c>
    </row>
    <row r="1175" spans="1:11" x14ac:dyDescent="0.25">
      <c r="A1175" s="26">
        <v>1125</v>
      </c>
      <c r="B1175" s="82">
        <f t="shared" si="142"/>
        <v>0</v>
      </c>
      <c r="C1175" s="58">
        <f t="shared" si="146"/>
        <v>104.50616427295054</v>
      </c>
      <c r="D1175" s="83">
        <f t="shared" si="143"/>
        <v>445.77777777777789</v>
      </c>
      <c r="E1175">
        <f t="shared" si="139"/>
        <v>0</v>
      </c>
      <c r="G1175">
        <v>1125</v>
      </c>
      <c r="H1175" s="13">
        <f t="shared" si="144"/>
        <v>1.8572577375266519E-2</v>
      </c>
      <c r="I1175">
        <f t="shared" si="145"/>
        <v>125.40031382012538</v>
      </c>
      <c r="J1175">
        <f t="shared" si="140"/>
        <v>474.03725489393719</v>
      </c>
      <c r="K1175" s="27">
        <f t="shared" si="141"/>
        <v>4173.6231219607698</v>
      </c>
    </row>
    <row r="1176" spans="1:11" x14ac:dyDescent="0.25">
      <c r="A1176" s="26">
        <v>1126</v>
      </c>
      <c r="B1176" s="82">
        <f t="shared" si="142"/>
        <v>0</v>
      </c>
      <c r="C1176" s="58">
        <f t="shared" si="146"/>
        <v>104.50616427295054</v>
      </c>
      <c r="D1176" s="83">
        <f t="shared" si="143"/>
        <v>445.77777777777789</v>
      </c>
      <c r="E1176">
        <f t="shared" si="139"/>
        <v>0</v>
      </c>
      <c r="G1176">
        <v>1126</v>
      </c>
      <c r="H1176" s="13">
        <f t="shared" si="144"/>
        <v>1.8572577375266519E-2</v>
      </c>
      <c r="I1176">
        <f t="shared" si="145"/>
        <v>125.41888639750064</v>
      </c>
      <c r="J1176">
        <f t="shared" si="140"/>
        <v>474.05483311615285</v>
      </c>
      <c r="K1176" s="27">
        <f t="shared" si="141"/>
        <v>4173.9325750555408</v>
      </c>
    </row>
    <row r="1177" spans="1:11" x14ac:dyDescent="0.25">
      <c r="A1177" s="26">
        <v>1127</v>
      </c>
      <c r="B1177" s="82">
        <f t="shared" si="142"/>
        <v>0</v>
      </c>
      <c r="C1177" s="58">
        <f t="shared" si="146"/>
        <v>104.50616427295054</v>
      </c>
      <c r="D1177" s="83">
        <f t="shared" si="143"/>
        <v>445.77777777777789</v>
      </c>
      <c r="E1177">
        <f t="shared" si="139"/>
        <v>0</v>
      </c>
      <c r="G1177">
        <v>1127</v>
      </c>
      <c r="H1177" s="13">
        <f t="shared" si="144"/>
        <v>1.8572577375266519E-2</v>
      </c>
      <c r="I1177">
        <f t="shared" si="145"/>
        <v>125.43745897487591</v>
      </c>
      <c r="J1177">
        <f t="shared" si="140"/>
        <v>474.07240236467669</v>
      </c>
      <c r="K1177" s="27">
        <f t="shared" si="141"/>
        <v>4174.2418816541258</v>
      </c>
    </row>
    <row r="1178" spans="1:11" x14ac:dyDescent="0.25">
      <c r="A1178" s="26">
        <v>1128</v>
      </c>
      <c r="B1178" s="82">
        <f t="shared" si="142"/>
        <v>0</v>
      </c>
      <c r="C1178" s="58">
        <f t="shared" si="146"/>
        <v>104.50616427295054</v>
      </c>
      <c r="D1178" s="83">
        <f t="shared" si="143"/>
        <v>445.77777777777789</v>
      </c>
      <c r="E1178">
        <f t="shared" si="139"/>
        <v>0</v>
      </c>
      <c r="G1178">
        <v>1128</v>
      </c>
      <c r="H1178" s="13">
        <f t="shared" si="144"/>
        <v>1.8572577375266519E-2</v>
      </c>
      <c r="I1178">
        <f t="shared" si="145"/>
        <v>125.45603155225118</v>
      </c>
      <c r="J1178">
        <f t="shared" si="140"/>
        <v>474.08996264599756</v>
      </c>
      <c r="K1178" s="27">
        <f t="shared" si="141"/>
        <v>4174.5510418531539</v>
      </c>
    </row>
    <row r="1179" spans="1:11" x14ac:dyDescent="0.25">
      <c r="A1179" s="26">
        <v>1129</v>
      </c>
      <c r="B1179" s="82">
        <f t="shared" si="142"/>
        <v>0</v>
      </c>
      <c r="C1179" s="58">
        <f t="shared" si="146"/>
        <v>104.50616427295054</v>
      </c>
      <c r="D1179" s="83">
        <f t="shared" si="143"/>
        <v>445.77777777777789</v>
      </c>
      <c r="E1179">
        <f t="shared" si="139"/>
        <v>0</v>
      </c>
      <c r="G1179">
        <v>1129</v>
      </c>
      <c r="H1179" s="13">
        <f t="shared" si="144"/>
        <v>1.8572577375266519E-2</v>
      </c>
      <c r="I1179">
        <f t="shared" si="145"/>
        <v>125.47460412962644</v>
      </c>
      <c r="J1179">
        <f t="shared" si="140"/>
        <v>474.10751396659498</v>
      </c>
      <c r="K1179" s="27">
        <f t="shared" si="141"/>
        <v>4174.8600557491163</v>
      </c>
    </row>
    <row r="1180" spans="1:11" x14ac:dyDescent="0.25">
      <c r="A1180" s="26">
        <v>1130</v>
      </c>
      <c r="B1180" s="82">
        <f t="shared" si="142"/>
        <v>0</v>
      </c>
      <c r="C1180" s="58">
        <f t="shared" si="146"/>
        <v>104.50616427295054</v>
      </c>
      <c r="D1180" s="83">
        <f t="shared" si="143"/>
        <v>445.77777777777789</v>
      </c>
      <c r="E1180">
        <f t="shared" si="139"/>
        <v>0</v>
      </c>
      <c r="G1180">
        <v>1130</v>
      </c>
      <c r="H1180" s="13">
        <f t="shared" si="144"/>
        <v>1.8572577375266519E-2</v>
      </c>
      <c r="I1180">
        <f t="shared" si="145"/>
        <v>125.49317670700171</v>
      </c>
      <c r="J1180">
        <f t="shared" si="140"/>
        <v>474.12505633293887</v>
      </c>
      <c r="K1180" s="27">
        <f t="shared" si="141"/>
        <v>4175.1689234383612</v>
      </c>
    </row>
    <row r="1181" spans="1:11" x14ac:dyDescent="0.25">
      <c r="A1181" s="26">
        <v>1131</v>
      </c>
      <c r="B1181" s="82">
        <f t="shared" si="142"/>
        <v>0</v>
      </c>
      <c r="C1181" s="58">
        <f t="shared" si="146"/>
        <v>104.50616427295054</v>
      </c>
      <c r="D1181" s="83">
        <f t="shared" si="143"/>
        <v>445.77777777777789</v>
      </c>
      <c r="E1181">
        <f t="shared" si="139"/>
        <v>0</v>
      </c>
      <c r="G1181">
        <v>1131</v>
      </c>
      <c r="H1181" s="13">
        <f t="shared" si="144"/>
        <v>1.8572577375266519E-2</v>
      </c>
      <c r="I1181">
        <f t="shared" si="145"/>
        <v>125.51174928437698</v>
      </c>
      <c r="J1181">
        <f t="shared" si="140"/>
        <v>474.1425897514896</v>
      </c>
      <c r="K1181" s="27">
        <f t="shared" si="141"/>
        <v>4175.4776450170948</v>
      </c>
    </row>
    <row r="1182" spans="1:11" x14ac:dyDescent="0.25">
      <c r="A1182" s="26">
        <v>1132</v>
      </c>
      <c r="B1182" s="82">
        <f t="shared" si="142"/>
        <v>0</v>
      </c>
      <c r="C1182" s="58">
        <f t="shared" si="146"/>
        <v>104.50616427295054</v>
      </c>
      <c r="D1182" s="83">
        <f t="shared" si="143"/>
        <v>445.77777777777789</v>
      </c>
      <c r="E1182">
        <f t="shared" si="139"/>
        <v>0</v>
      </c>
      <c r="G1182">
        <v>1132</v>
      </c>
      <c r="H1182" s="13">
        <f t="shared" si="144"/>
        <v>1.8572577375266519E-2</v>
      </c>
      <c r="I1182">
        <f t="shared" si="145"/>
        <v>125.53032186175224</v>
      </c>
      <c r="J1182">
        <f t="shared" si="140"/>
        <v>474.16011422869798</v>
      </c>
      <c r="K1182" s="27">
        <f t="shared" si="141"/>
        <v>4175.786220581379</v>
      </c>
    </row>
    <row r="1183" spans="1:11" x14ac:dyDescent="0.25">
      <c r="A1183" s="26">
        <v>1133</v>
      </c>
      <c r="B1183" s="82">
        <f t="shared" si="142"/>
        <v>0</v>
      </c>
      <c r="C1183" s="58">
        <f t="shared" si="146"/>
        <v>104.50616427295054</v>
      </c>
      <c r="D1183" s="83">
        <f t="shared" si="143"/>
        <v>445.77777777777789</v>
      </c>
      <c r="E1183">
        <f t="shared" si="139"/>
        <v>0</v>
      </c>
      <c r="G1183">
        <v>1133</v>
      </c>
      <c r="H1183" s="13">
        <f t="shared" si="144"/>
        <v>1.8572577375266519E-2</v>
      </c>
      <c r="I1183">
        <f t="shared" si="145"/>
        <v>125.54889443912751</v>
      </c>
      <c r="J1183">
        <f t="shared" si="140"/>
        <v>474.1776297710054</v>
      </c>
      <c r="K1183" s="27">
        <f t="shared" si="141"/>
        <v>4176.0946502271372</v>
      </c>
    </row>
    <row r="1184" spans="1:11" x14ac:dyDescent="0.25">
      <c r="A1184" s="26">
        <v>1134</v>
      </c>
      <c r="B1184" s="82">
        <f t="shared" si="142"/>
        <v>0</v>
      </c>
      <c r="C1184" s="58">
        <f t="shared" si="146"/>
        <v>104.50616427295054</v>
      </c>
      <c r="D1184" s="83">
        <f t="shared" si="143"/>
        <v>445.77777777777789</v>
      </c>
      <c r="E1184">
        <f t="shared" si="139"/>
        <v>0</v>
      </c>
      <c r="G1184">
        <v>1134</v>
      </c>
      <c r="H1184" s="13">
        <f t="shared" si="144"/>
        <v>1.8572577375266519E-2</v>
      </c>
      <c r="I1184">
        <f t="shared" si="145"/>
        <v>125.56746701650277</v>
      </c>
      <c r="J1184">
        <f t="shared" si="140"/>
        <v>474.19513638484386</v>
      </c>
      <c r="K1184" s="27">
        <f t="shared" si="141"/>
        <v>4176.4029340501538</v>
      </c>
    </row>
    <row r="1185" spans="1:11" x14ac:dyDescent="0.25">
      <c r="A1185" s="26">
        <v>1135</v>
      </c>
      <c r="B1185" s="82">
        <f t="shared" si="142"/>
        <v>0</v>
      </c>
      <c r="C1185" s="58">
        <f t="shared" si="146"/>
        <v>104.50616427295054</v>
      </c>
      <c r="D1185" s="83">
        <f t="shared" si="143"/>
        <v>445.77777777777789</v>
      </c>
      <c r="E1185">
        <f t="shared" si="139"/>
        <v>0</v>
      </c>
      <c r="G1185">
        <v>1135</v>
      </c>
      <c r="H1185" s="13">
        <f t="shared" si="144"/>
        <v>1.8572577375266519E-2</v>
      </c>
      <c r="I1185">
        <f t="shared" si="145"/>
        <v>125.58603959387804</v>
      </c>
      <c r="J1185">
        <f t="shared" si="140"/>
        <v>474.21263407663582</v>
      </c>
      <c r="K1185" s="27">
        <f t="shared" si="141"/>
        <v>4176.7110721460695</v>
      </c>
    </row>
    <row r="1186" spans="1:11" x14ac:dyDescent="0.25">
      <c r="A1186" s="26">
        <v>1136</v>
      </c>
      <c r="B1186" s="82">
        <f t="shared" si="142"/>
        <v>0</v>
      </c>
      <c r="C1186" s="58">
        <f t="shared" si="146"/>
        <v>104.50616427295054</v>
      </c>
      <c r="D1186" s="83">
        <f t="shared" si="143"/>
        <v>445.77777777777789</v>
      </c>
      <c r="E1186">
        <f t="shared" si="139"/>
        <v>0</v>
      </c>
      <c r="G1186">
        <v>1136</v>
      </c>
      <c r="H1186" s="13">
        <f t="shared" si="144"/>
        <v>1.8572577375266519E-2</v>
      </c>
      <c r="I1186">
        <f t="shared" si="145"/>
        <v>125.60461217125331</v>
      </c>
      <c r="J1186">
        <f t="shared" si="140"/>
        <v>474.23012285279424</v>
      </c>
      <c r="K1186" s="27">
        <f t="shared" si="141"/>
        <v>4177.0190646103847</v>
      </c>
    </row>
    <row r="1187" spans="1:11" x14ac:dyDescent="0.25">
      <c r="A1187" s="26">
        <v>1137</v>
      </c>
      <c r="B1187" s="82">
        <f t="shared" si="142"/>
        <v>0</v>
      </c>
      <c r="C1187" s="58">
        <f t="shared" si="146"/>
        <v>104.50616427295054</v>
      </c>
      <c r="D1187" s="83">
        <f t="shared" si="143"/>
        <v>445.77777777777789</v>
      </c>
      <c r="E1187">
        <f t="shared" si="139"/>
        <v>0</v>
      </c>
      <c r="G1187">
        <v>1137</v>
      </c>
      <c r="H1187" s="13">
        <f t="shared" si="144"/>
        <v>1.8572577375266519E-2</v>
      </c>
      <c r="I1187">
        <f t="shared" si="145"/>
        <v>125.62318474862857</v>
      </c>
      <c r="J1187">
        <f t="shared" si="140"/>
        <v>474.24760271972286</v>
      </c>
      <c r="K1187" s="27">
        <f t="shared" si="141"/>
        <v>4177.326911538461</v>
      </c>
    </row>
    <row r="1188" spans="1:11" x14ac:dyDescent="0.25">
      <c r="A1188" s="26">
        <v>1138</v>
      </c>
      <c r="B1188" s="82">
        <f t="shared" si="142"/>
        <v>0</v>
      </c>
      <c r="C1188" s="58">
        <f t="shared" si="146"/>
        <v>104.50616427295054</v>
      </c>
      <c r="D1188" s="83">
        <f t="shared" si="143"/>
        <v>445.77777777777789</v>
      </c>
      <c r="E1188">
        <f t="shared" si="139"/>
        <v>0</v>
      </c>
      <c r="G1188">
        <v>1138</v>
      </c>
      <c r="H1188" s="13">
        <f t="shared" si="144"/>
        <v>1.8572577375266519E-2</v>
      </c>
      <c r="I1188">
        <f t="shared" si="145"/>
        <v>125.64175732600384</v>
      </c>
      <c r="J1188">
        <f t="shared" si="140"/>
        <v>474.26507368381584</v>
      </c>
      <c r="K1188" s="27">
        <f t="shared" si="141"/>
        <v>4177.6346130255197</v>
      </c>
    </row>
    <row r="1189" spans="1:11" x14ac:dyDescent="0.25">
      <c r="A1189" s="26">
        <v>1139</v>
      </c>
      <c r="B1189" s="82">
        <f t="shared" si="142"/>
        <v>0</v>
      </c>
      <c r="C1189" s="58">
        <f t="shared" si="146"/>
        <v>104.50616427295054</v>
      </c>
      <c r="D1189" s="83">
        <f t="shared" si="143"/>
        <v>445.77777777777789</v>
      </c>
      <c r="E1189">
        <f t="shared" si="139"/>
        <v>0</v>
      </c>
      <c r="G1189">
        <v>1139</v>
      </c>
      <c r="H1189" s="13">
        <f t="shared" si="144"/>
        <v>1.8572577375266519E-2</v>
      </c>
      <c r="I1189">
        <f t="shared" si="145"/>
        <v>125.66032990337911</v>
      </c>
      <c r="J1189">
        <f t="shared" si="140"/>
        <v>474.28253575145811</v>
      </c>
      <c r="K1189" s="27">
        <f t="shared" si="141"/>
        <v>4177.942169166643</v>
      </c>
    </row>
    <row r="1190" spans="1:11" x14ac:dyDescent="0.25">
      <c r="A1190" s="26">
        <v>1140</v>
      </c>
      <c r="B1190" s="82">
        <f t="shared" si="142"/>
        <v>0</v>
      </c>
      <c r="C1190" s="58">
        <f t="shared" si="146"/>
        <v>104.50616427295054</v>
      </c>
      <c r="D1190" s="83">
        <f t="shared" si="143"/>
        <v>445.77777777777789</v>
      </c>
      <c r="E1190">
        <f t="shared" si="139"/>
        <v>0</v>
      </c>
      <c r="G1190">
        <v>1140</v>
      </c>
      <c r="H1190" s="13">
        <f t="shared" si="144"/>
        <v>1.8572577375266519E-2</v>
      </c>
      <c r="I1190">
        <f t="shared" si="145"/>
        <v>125.67890248075437</v>
      </c>
      <c r="J1190">
        <f t="shared" si="140"/>
        <v>474.29998892902523</v>
      </c>
      <c r="K1190" s="27">
        <f t="shared" si="141"/>
        <v>4178.249580056774</v>
      </c>
    </row>
    <row r="1191" spans="1:11" x14ac:dyDescent="0.25">
      <c r="A1191" s="26">
        <v>1141</v>
      </c>
      <c r="B1191" s="82">
        <f t="shared" si="142"/>
        <v>0</v>
      </c>
      <c r="C1191" s="58">
        <f t="shared" si="146"/>
        <v>104.50616427295054</v>
      </c>
      <c r="D1191" s="83">
        <f t="shared" si="143"/>
        <v>445.77777777777789</v>
      </c>
      <c r="E1191">
        <f t="shared" si="139"/>
        <v>0</v>
      </c>
      <c r="G1191">
        <v>1141</v>
      </c>
      <c r="H1191" s="13">
        <f t="shared" si="144"/>
        <v>1.8572577375266519E-2</v>
      </c>
      <c r="I1191">
        <f t="shared" si="145"/>
        <v>125.69747505812964</v>
      </c>
      <c r="J1191">
        <f t="shared" si="140"/>
        <v>474.31743322288338</v>
      </c>
      <c r="K1191" s="27">
        <f t="shared" si="141"/>
        <v>4178.5568457907148</v>
      </c>
    </row>
    <row r="1192" spans="1:11" x14ac:dyDescent="0.25">
      <c r="A1192" s="26">
        <v>1142</v>
      </c>
      <c r="B1192" s="82">
        <f t="shared" si="142"/>
        <v>0</v>
      </c>
      <c r="C1192" s="58">
        <f t="shared" si="146"/>
        <v>104.50616427295054</v>
      </c>
      <c r="D1192" s="83">
        <f t="shared" si="143"/>
        <v>445.77777777777789</v>
      </c>
      <c r="E1192">
        <f t="shared" si="139"/>
        <v>0</v>
      </c>
      <c r="G1192">
        <v>1142</v>
      </c>
      <c r="H1192" s="13">
        <f t="shared" si="144"/>
        <v>1.8572577375266519E-2</v>
      </c>
      <c r="I1192">
        <f t="shared" si="145"/>
        <v>125.71604763550491</v>
      </c>
      <c r="J1192">
        <f t="shared" si="140"/>
        <v>474.33486863938941</v>
      </c>
      <c r="K1192" s="27">
        <f t="shared" si="141"/>
        <v>4178.8639664631328</v>
      </c>
    </row>
    <row r="1193" spans="1:11" x14ac:dyDescent="0.25">
      <c r="A1193" s="26">
        <v>1143</v>
      </c>
      <c r="B1193" s="82">
        <f t="shared" si="142"/>
        <v>0</v>
      </c>
      <c r="C1193" s="58">
        <f t="shared" si="146"/>
        <v>104.50616427295054</v>
      </c>
      <c r="D1193" s="83">
        <f t="shared" si="143"/>
        <v>445.77777777777789</v>
      </c>
      <c r="E1193">
        <f t="shared" si="139"/>
        <v>0</v>
      </c>
      <c r="G1193">
        <v>1143</v>
      </c>
      <c r="H1193" s="13">
        <f t="shared" si="144"/>
        <v>1.8572577375266519E-2</v>
      </c>
      <c r="I1193">
        <f t="shared" si="145"/>
        <v>125.73462021288017</v>
      </c>
      <c r="J1193">
        <f t="shared" si="140"/>
        <v>474.35229518489092</v>
      </c>
      <c r="K1193" s="27">
        <f t="shared" si="141"/>
        <v>4179.1709421685518</v>
      </c>
    </row>
    <row r="1194" spans="1:11" x14ac:dyDescent="0.25">
      <c r="A1194" s="26">
        <v>1144</v>
      </c>
      <c r="B1194" s="82">
        <f t="shared" si="142"/>
        <v>0</v>
      </c>
      <c r="C1194" s="58">
        <f t="shared" si="146"/>
        <v>104.50616427295054</v>
      </c>
      <c r="D1194" s="83">
        <f t="shared" si="143"/>
        <v>445.77777777777789</v>
      </c>
      <c r="E1194">
        <f t="shared" si="139"/>
        <v>0</v>
      </c>
      <c r="G1194">
        <v>1144</v>
      </c>
      <c r="H1194" s="13">
        <f t="shared" si="144"/>
        <v>1.8572577375266519E-2</v>
      </c>
      <c r="I1194">
        <f t="shared" si="145"/>
        <v>125.75319279025544</v>
      </c>
      <c r="J1194">
        <f t="shared" si="140"/>
        <v>474.36971286572629</v>
      </c>
      <c r="K1194" s="27">
        <f t="shared" si="141"/>
        <v>4179.4777730013639</v>
      </c>
    </row>
    <row r="1195" spans="1:11" x14ac:dyDescent="0.25">
      <c r="A1195" s="26">
        <v>1145</v>
      </c>
      <c r="B1195" s="82">
        <f t="shared" si="142"/>
        <v>0</v>
      </c>
      <c r="C1195" s="58">
        <f t="shared" si="146"/>
        <v>104.50616427295054</v>
      </c>
      <c r="D1195" s="83">
        <f t="shared" si="143"/>
        <v>445.77777777777789</v>
      </c>
      <c r="E1195">
        <f t="shared" si="139"/>
        <v>0</v>
      </c>
      <c r="G1195">
        <v>1145</v>
      </c>
      <c r="H1195" s="13">
        <f t="shared" si="144"/>
        <v>1.8572577375266519E-2</v>
      </c>
      <c r="I1195">
        <f t="shared" si="145"/>
        <v>125.77176536763071</v>
      </c>
      <c r="J1195">
        <f t="shared" si="140"/>
        <v>474.38712168822451</v>
      </c>
      <c r="K1195" s="27">
        <f t="shared" si="141"/>
        <v>4179.7844590558188</v>
      </c>
    </row>
    <row r="1196" spans="1:11" x14ac:dyDescent="0.25">
      <c r="A1196" s="26">
        <v>1146</v>
      </c>
      <c r="B1196" s="82">
        <f t="shared" si="142"/>
        <v>0</v>
      </c>
      <c r="C1196" s="58">
        <f t="shared" si="146"/>
        <v>104.50616427295054</v>
      </c>
      <c r="D1196" s="83">
        <f t="shared" si="143"/>
        <v>445.77777777777789</v>
      </c>
      <c r="E1196">
        <f t="shared" si="139"/>
        <v>0</v>
      </c>
      <c r="G1196">
        <v>1146</v>
      </c>
      <c r="H1196" s="13">
        <f t="shared" si="144"/>
        <v>1.8572577375266519E-2</v>
      </c>
      <c r="I1196">
        <f t="shared" si="145"/>
        <v>125.79033794500597</v>
      </c>
      <c r="J1196">
        <f t="shared" si="140"/>
        <v>474.40452165870545</v>
      </c>
      <c r="K1196" s="27">
        <f t="shared" si="141"/>
        <v>4180.0910004260286</v>
      </c>
    </row>
    <row r="1197" spans="1:11" x14ac:dyDescent="0.25">
      <c r="A1197" s="26">
        <v>1147</v>
      </c>
      <c r="B1197" s="82">
        <f t="shared" si="142"/>
        <v>0</v>
      </c>
      <c r="C1197" s="58">
        <f t="shared" si="146"/>
        <v>104.50616427295054</v>
      </c>
      <c r="D1197" s="83">
        <f t="shared" si="143"/>
        <v>445.77777777777789</v>
      </c>
      <c r="E1197">
        <f t="shared" si="139"/>
        <v>0</v>
      </c>
      <c r="G1197">
        <v>1147</v>
      </c>
      <c r="H1197" s="13">
        <f t="shared" si="144"/>
        <v>1.8572577375266519E-2</v>
      </c>
      <c r="I1197">
        <f t="shared" si="145"/>
        <v>125.80891052238124</v>
      </c>
      <c r="J1197">
        <f t="shared" si="140"/>
        <v>474.42191278347974</v>
      </c>
      <c r="K1197" s="27">
        <f t="shared" si="141"/>
        <v>4180.3973972059694</v>
      </c>
    </row>
    <row r="1198" spans="1:11" x14ac:dyDescent="0.25">
      <c r="A1198" s="26">
        <v>1148</v>
      </c>
      <c r="B1198" s="82">
        <f t="shared" si="142"/>
        <v>0</v>
      </c>
      <c r="C1198" s="58">
        <f t="shared" si="146"/>
        <v>104.50616427295054</v>
      </c>
      <c r="D1198" s="83">
        <f t="shared" si="143"/>
        <v>445.77777777777789</v>
      </c>
      <c r="E1198">
        <f t="shared" si="139"/>
        <v>0</v>
      </c>
      <c r="G1198">
        <v>1148</v>
      </c>
      <c r="H1198" s="13">
        <f t="shared" si="144"/>
        <v>1.8572577375266519E-2</v>
      </c>
      <c r="I1198">
        <f t="shared" si="145"/>
        <v>125.82748309975651</v>
      </c>
      <c r="J1198">
        <f t="shared" si="140"/>
        <v>474.43929506884865</v>
      </c>
      <c r="K1198" s="27">
        <f t="shared" si="141"/>
        <v>4180.703649489481</v>
      </c>
    </row>
    <row r="1199" spans="1:11" x14ac:dyDescent="0.25">
      <c r="A1199" s="26">
        <v>1149</v>
      </c>
      <c r="B1199" s="82">
        <f t="shared" si="142"/>
        <v>0</v>
      </c>
      <c r="C1199" s="58">
        <f t="shared" si="146"/>
        <v>104.50616427295054</v>
      </c>
      <c r="D1199" s="83">
        <f t="shared" si="143"/>
        <v>445.77777777777789</v>
      </c>
      <c r="E1199">
        <f t="shared" si="139"/>
        <v>0</v>
      </c>
      <c r="G1199">
        <v>1149</v>
      </c>
      <c r="H1199" s="13">
        <f t="shared" si="144"/>
        <v>1.8572577375266519E-2</v>
      </c>
      <c r="I1199">
        <f t="shared" si="145"/>
        <v>125.84605567713177</v>
      </c>
      <c r="J1199">
        <f t="shared" si="140"/>
        <v>474.45666852110458</v>
      </c>
      <c r="K1199" s="27">
        <f t="shared" si="141"/>
        <v>4181.0097573702678</v>
      </c>
    </row>
    <row r="1200" spans="1:11" x14ac:dyDescent="0.25">
      <c r="A1200" s="26">
        <v>1150</v>
      </c>
      <c r="B1200" s="82">
        <f t="shared" si="142"/>
        <v>0</v>
      </c>
      <c r="C1200" s="58">
        <f t="shared" si="146"/>
        <v>104.50616427295054</v>
      </c>
      <c r="D1200" s="83">
        <f t="shared" si="143"/>
        <v>445.77777777777789</v>
      </c>
      <c r="E1200">
        <f t="shared" si="139"/>
        <v>0</v>
      </c>
      <c r="G1200">
        <v>1150</v>
      </c>
      <c r="H1200" s="13">
        <f t="shared" si="144"/>
        <v>1.8572577375266519E-2</v>
      </c>
      <c r="I1200">
        <f t="shared" si="145"/>
        <v>125.86462825450704</v>
      </c>
      <c r="J1200">
        <f t="shared" si="140"/>
        <v>474.47403314653047</v>
      </c>
      <c r="K1200" s="27">
        <f t="shared" si="141"/>
        <v>4181.3157209418923</v>
      </c>
    </row>
    <row r="1201" spans="1:11" x14ac:dyDescent="0.25">
      <c r="A1201" s="26">
        <v>1151</v>
      </c>
      <c r="B1201" s="82">
        <f t="shared" si="142"/>
        <v>0</v>
      </c>
      <c r="C1201" s="58">
        <f t="shared" si="146"/>
        <v>104.50616427295054</v>
      </c>
      <c r="D1201" s="83">
        <f t="shared" si="143"/>
        <v>445.77777777777789</v>
      </c>
      <c r="E1201">
        <f t="shared" si="139"/>
        <v>0</v>
      </c>
      <c r="G1201">
        <v>1151</v>
      </c>
      <c r="H1201" s="13">
        <f t="shared" si="144"/>
        <v>1.8572577375266519E-2</v>
      </c>
      <c r="I1201">
        <f t="shared" si="145"/>
        <v>125.88320083188231</v>
      </c>
      <c r="J1201">
        <f t="shared" si="140"/>
        <v>474.49138895140027</v>
      </c>
      <c r="K1201" s="27">
        <f t="shared" si="141"/>
        <v>4181.6215402977859</v>
      </c>
    </row>
    <row r="1202" spans="1:11" x14ac:dyDescent="0.25">
      <c r="A1202" s="26">
        <v>1152</v>
      </c>
      <c r="B1202" s="82">
        <f t="shared" si="142"/>
        <v>0</v>
      </c>
      <c r="C1202" s="58">
        <f t="shared" si="146"/>
        <v>104.50616427295054</v>
      </c>
      <c r="D1202" s="83">
        <f t="shared" si="143"/>
        <v>445.77777777777789</v>
      </c>
      <c r="E1202">
        <f t="shared" si="139"/>
        <v>0</v>
      </c>
      <c r="G1202">
        <v>1152</v>
      </c>
      <c r="H1202" s="13">
        <f t="shared" si="144"/>
        <v>1.8572577375266519E-2</v>
      </c>
      <c r="I1202">
        <f t="shared" si="145"/>
        <v>125.90177340925757</v>
      </c>
      <c r="J1202">
        <f t="shared" si="140"/>
        <v>474.50873594197867</v>
      </c>
      <c r="K1202" s="27">
        <f t="shared" si="141"/>
        <v>4181.9272155312419</v>
      </c>
    </row>
    <row r="1203" spans="1:11" x14ac:dyDescent="0.25">
      <c r="A1203" s="26">
        <v>1153</v>
      </c>
      <c r="B1203" s="82">
        <f t="shared" si="142"/>
        <v>0</v>
      </c>
      <c r="C1203" s="58">
        <f t="shared" si="146"/>
        <v>104.50616427295054</v>
      </c>
      <c r="D1203" s="83">
        <f t="shared" si="143"/>
        <v>445.77777777777789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1.8572577375266519E-2</v>
      </c>
      <c r="I1203">
        <f t="shared" si="145"/>
        <v>125.92034598663284</v>
      </c>
      <c r="J1203">
        <f t="shared" ref="J1203:J1266" si="148">IF($G$28&lt;$C$14,0,((($C$11^2)-((I1203-$C$13)^2))^0.5)+$C$16)</f>
        <v>474.52607412452153</v>
      </c>
      <c r="K1203" s="27">
        <f t="shared" ref="K1203:K1266" si="149">((J1203^2)+(J1203*J1204)+(J1204^2))*H1204/3</f>
        <v>4182.2327467354216</v>
      </c>
    </row>
    <row r="1204" spans="1:11" x14ac:dyDescent="0.25">
      <c r="A1204" s="26">
        <v>1154</v>
      </c>
      <c r="B1204" s="82">
        <f t="shared" ref="B1204:B1267" si="150">C1204-C1203</f>
        <v>0</v>
      </c>
      <c r="C1204" s="58">
        <f t="shared" si="146"/>
        <v>104.50616427295054</v>
      </c>
      <c r="D1204" s="83">
        <f t="shared" ref="D1204:D1267" si="151">IF($G$28&lt;$C$14,0,((($C$11^2)-((C1204-$C$13)^2))^0.5)+$C$16)</f>
        <v>445.77777777777789</v>
      </c>
      <c r="E1204">
        <f t="shared" si="147"/>
        <v>0</v>
      </c>
      <c r="G1204">
        <v>1154</v>
      </c>
      <c r="H1204" s="13">
        <f t="shared" ref="H1204:H1267" si="152">I1204-I1203</f>
        <v>1.8572577375266519E-2</v>
      </c>
      <c r="I1204">
        <f t="shared" ref="I1204:I1267" si="153">($G$27-$C$14)/2000+I1203</f>
        <v>125.93891856400811</v>
      </c>
      <c r="J1204">
        <f t="shared" si="148"/>
        <v>474.54340350527536</v>
      </c>
      <c r="K1204" s="27">
        <f t="shared" si="149"/>
        <v>4182.5381340033437</v>
      </c>
    </row>
    <row r="1205" spans="1:11" x14ac:dyDescent="0.25">
      <c r="A1205" s="26">
        <v>1155</v>
      </c>
      <c r="B1205" s="82">
        <f t="shared" si="150"/>
        <v>0</v>
      </c>
      <c r="C1205" s="58">
        <f t="shared" si="146"/>
        <v>104.50616427295054</v>
      </c>
      <c r="D1205" s="83">
        <f t="shared" si="151"/>
        <v>445.77777777777789</v>
      </c>
      <c r="E1205">
        <f t="shared" si="147"/>
        <v>0</v>
      </c>
      <c r="G1205">
        <v>1155</v>
      </c>
      <c r="H1205" s="13">
        <f t="shared" si="152"/>
        <v>1.8572577375266519E-2</v>
      </c>
      <c r="I1205">
        <f t="shared" si="153"/>
        <v>125.95749114138337</v>
      </c>
      <c r="J1205">
        <f t="shared" si="148"/>
        <v>474.56072409047761</v>
      </c>
      <c r="K1205" s="27">
        <f t="shared" si="149"/>
        <v>4182.8433774278992</v>
      </c>
    </row>
    <row r="1206" spans="1:11" x14ac:dyDescent="0.25">
      <c r="A1206" s="26">
        <v>1156</v>
      </c>
      <c r="B1206" s="82">
        <f t="shared" si="150"/>
        <v>0</v>
      </c>
      <c r="C1206" s="58">
        <f t="shared" si="146"/>
        <v>104.50616427295054</v>
      </c>
      <c r="D1206" s="83">
        <f t="shared" si="151"/>
        <v>445.77777777777789</v>
      </c>
      <c r="E1206">
        <f t="shared" si="147"/>
        <v>0</v>
      </c>
      <c r="G1206">
        <v>1156</v>
      </c>
      <c r="H1206" s="13">
        <f t="shared" si="152"/>
        <v>1.8572577375266519E-2</v>
      </c>
      <c r="I1206">
        <f t="shared" si="153"/>
        <v>125.97606371875864</v>
      </c>
      <c r="J1206">
        <f t="shared" si="148"/>
        <v>474.57803588635682</v>
      </c>
      <c r="K1206" s="27">
        <f t="shared" si="149"/>
        <v>4183.1484771018395</v>
      </c>
    </row>
    <row r="1207" spans="1:11" x14ac:dyDescent="0.25">
      <c r="A1207" s="26">
        <v>1157</v>
      </c>
      <c r="B1207" s="82">
        <f t="shared" si="150"/>
        <v>0</v>
      </c>
      <c r="C1207" s="58">
        <f t="shared" si="146"/>
        <v>104.50616427295054</v>
      </c>
      <c r="D1207" s="83">
        <f t="shared" si="151"/>
        <v>445.77777777777789</v>
      </c>
      <c r="E1207">
        <f t="shared" si="147"/>
        <v>0</v>
      </c>
      <c r="G1207">
        <v>1157</v>
      </c>
      <c r="H1207" s="13">
        <f t="shared" si="152"/>
        <v>1.8572577375266519E-2</v>
      </c>
      <c r="I1207">
        <f t="shared" si="153"/>
        <v>125.9946362961339</v>
      </c>
      <c r="J1207">
        <f t="shared" si="148"/>
        <v>474.59533889913234</v>
      </c>
      <c r="K1207" s="27">
        <f t="shared" si="149"/>
        <v>4183.4534331177847</v>
      </c>
    </row>
    <row r="1208" spans="1:11" x14ac:dyDescent="0.25">
      <c r="A1208" s="26">
        <v>1158</v>
      </c>
      <c r="B1208" s="82">
        <f t="shared" si="150"/>
        <v>0</v>
      </c>
      <c r="C1208" s="58">
        <f t="shared" si="146"/>
        <v>104.50616427295054</v>
      </c>
      <c r="D1208" s="83">
        <f t="shared" si="151"/>
        <v>445.77777777777789</v>
      </c>
      <c r="E1208">
        <f t="shared" si="147"/>
        <v>0</v>
      </c>
      <c r="G1208">
        <v>1158</v>
      </c>
      <c r="H1208" s="13">
        <f t="shared" si="152"/>
        <v>1.8572577375266519E-2</v>
      </c>
      <c r="I1208">
        <f t="shared" si="153"/>
        <v>126.01320887350917</v>
      </c>
      <c r="J1208">
        <f t="shared" si="148"/>
        <v>474.61263313501468</v>
      </c>
      <c r="K1208" s="27">
        <f t="shared" si="149"/>
        <v>4183.7582455682177</v>
      </c>
    </row>
    <row r="1209" spans="1:11" x14ac:dyDescent="0.25">
      <c r="A1209" s="26">
        <v>1159</v>
      </c>
      <c r="B1209" s="82">
        <f t="shared" si="150"/>
        <v>0</v>
      </c>
      <c r="C1209" s="58">
        <f t="shared" si="146"/>
        <v>104.50616427295054</v>
      </c>
      <c r="D1209" s="83">
        <f t="shared" si="151"/>
        <v>445.77777777777789</v>
      </c>
      <c r="E1209">
        <f t="shared" si="147"/>
        <v>0</v>
      </c>
      <c r="G1209">
        <v>1159</v>
      </c>
      <c r="H1209" s="13">
        <f t="shared" si="152"/>
        <v>1.8572577375266519E-2</v>
      </c>
      <c r="I1209">
        <f t="shared" si="153"/>
        <v>126.03178145088444</v>
      </c>
      <c r="J1209">
        <f t="shared" si="148"/>
        <v>474.6299186002052</v>
      </c>
      <c r="K1209" s="27">
        <f t="shared" si="149"/>
        <v>4184.0629145454905</v>
      </c>
    </row>
    <row r="1210" spans="1:11" x14ac:dyDescent="0.25">
      <c r="A1210" s="26">
        <v>1160</v>
      </c>
      <c r="B1210" s="82">
        <f t="shared" si="150"/>
        <v>0</v>
      </c>
      <c r="C1210" s="58">
        <f t="shared" si="146"/>
        <v>104.50616427295054</v>
      </c>
      <c r="D1210" s="83">
        <f t="shared" si="151"/>
        <v>445.77777777777789</v>
      </c>
      <c r="E1210">
        <f t="shared" si="147"/>
        <v>0</v>
      </c>
      <c r="G1210">
        <v>1160</v>
      </c>
      <c r="H1210" s="13">
        <f t="shared" si="152"/>
        <v>1.8572577375266519E-2</v>
      </c>
      <c r="I1210">
        <f t="shared" si="153"/>
        <v>126.0503540282597</v>
      </c>
      <c r="J1210">
        <f t="shared" si="148"/>
        <v>474.64719530089627</v>
      </c>
      <c r="K1210" s="27">
        <f t="shared" si="149"/>
        <v>4184.3674401418184</v>
      </c>
    </row>
    <row r="1211" spans="1:11" x14ac:dyDescent="0.25">
      <c r="A1211" s="26">
        <v>1161</v>
      </c>
      <c r="B1211" s="82">
        <f t="shared" si="150"/>
        <v>0</v>
      </c>
      <c r="C1211" s="58">
        <f t="shared" si="146"/>
        <v>104.50616427295054</v>
      </c>
      <c r="D1211" s="83">
        <f t="shared" si="151"/>
        <v>445.77777777777789</v>
      </c>
      <c r="E1211">
        <f t="shared" si="147"/>
        <v>0</v>
      </c>
      <c r="G1211">
        <v>1161</v>
      </c>
      <c r="H1211" s="13">
        <f t="shared" si="152"/>
        <v>1.8572577375266519E-2</v>
      </c>
      <c r="I1211">
        <f t="shared" si="153"/>
        <v>126.06892660563497</v>
      </c>
      <c r="J1211">
        <f t="shared" si="148"/>
        <v>474.66446324327148</v>
      </c>
      <c r="K1211" s="27">
        <f t="shared" si="149"/>
        <v>4184.6718224492861</v>
      </c>
    </row>
    <row r="1212" spans="1:11" x14ac:dyDescent="0.25">
      <c r="A1212" s="26">
        <v>1162</v>
      </c>
      <c r="B1212" s="82">
        <f t="shared" si="150"/>
        <v>0</v>
      </c>
      <c r="C1212" s="58">
        <f t="shared" si="146"/>
        <v>104.50616427295054</v>
      </c>
      <c r="D1212" s="83">
        <f t="shared" si="151"/>
        <v>445.77777777777789</v>
      </c>
      <c r="E1212">
        <f t="shared" si="147"/>
        <v>0</v>
      </c>
      <c r="G1212">
        <v>1162</v>
      </c>
      <c r="H1212" s="13">
        <f t="shared" si="152"/>
        <v>1.8572577375266519E-2</v>
      </c>
      <c r="I1212">
        <f t="shared" si="153"/>
        <v>126.08749918301024</v>
      </c>
      <c r="J1212">
        <f t="shared" si="148"/>
        <v>474.68172243350523</v>
      </c>
      <c r="K1212" s="27">
        <f t="shared" si="149"/>
        <v>4184.9760615598416</v>
      </c>
    </row>
    <row r="1213" spans="1:11" x14ac:dyDescent="0.25">
      <c r="A1213" s="26">
        <v>1163</v>
      </c>
      <c r="B1213" s="82">
        <f t="shared" si="150"/>
        <v>0</v>
      </c>
      <c r="C1213" s="58">
        <f t="shared" si="146"/>
        <v>104.50616427295054</v>
      </c>
      <c r="D1213" s="83">
        <f t="shared" si="151"/>
        <v>445.77777777777789</v>
      </c>
      <c r="E1213">
        <f t="shared" si="147"/>
        <v>0</v>
      </c>
      <c r="G1213">
        <v>1163</v>
      </c>
      <c r="H1213" s="13">
        <f t="shared" si="152"/>
        <v>1.8572577375266519E-2</v>
      </c>
      <c r="I1213">
        <f t="shared" si="153"/>
        <v>126.1060717603855</v>
      </c>
      <c r="J1213">
        <f t="shared" si="148"/>
        <v>474.69897287776314</v>
      </c>
      <c r="K1213" s="27">
        <f t="shared" si="149"/>
        <v>4185.2801575653057</v>
      </c>
    </row>
    <row r="1214" spans="1:11" x14ac:dyDescent="0.25">
      <c r="A1214" s="26">
        <v>1164</v>
      </c>
      <c r="B1214" s="82">
        <f t="shared" si="150"/>
        <v>0</v>
      </c>
      <c r="C1214" s="58">
        <f t="shared" si="146"/>
        <v>104.50616427295054</v>
      </c>
      <c r="D1214" s="83">
        <f t="shared" si="151"/>
        <v>445.77777777777789</v>
      </c>
      <c r="E1214">
        <f t="shared" si="147"/>
        <v>0</v>
      </c>
      <c r="G1214">
        <v>1164</v>
      </c>
      <c r="H1214" s="13">
        <f t="shared" si="152"/>
        <v>1.8572577375266519E-2</v>
      </c>
      <c r="I1214">
        <f t="shared" si="153"/>
        <v>126.12464433776077</v>
      </c>
      <c r="J1214">
        <f t="shared" si="148"/>
        <v>474.71621458220199</v>
      </c>
      <c r="K1214" s="27">
        <f t="shared" si="149"/>
        <v>4185.5841105573591</v>
      </c>
    </row>
    <row r="1215" spans="1:11" x14ac:dyDescent="0.25">
      <c r="A1215" s="26">
        <v>1165</v>
      </c>
      <c r="B1215" s="82">
        <f t="shared" si="150"/>
        <v>0</v>
      </c>
      <c r="C1215" s="58">
        <f t="shared" si="146"/>
        <v>104.50616427295054</v>
      </c>
      <c r="D1215" s="83">
        <f t="shared" si="151"/>
        <v>445.77777777777789</v>
      </c>
      <c r="E1215">
        <f t="shared" si="147"/>
        <v>0</v>
      </c>
      <c r="G1215">
        <v>1165</v>
      </c>
      <c r="H1215" s="13">
        <f t="shared" si="152"/>
        <v>1.8572577375266519E-2</v>
      </c>
      <c r="I1215">
        <f t="shared" si="153"/>
        <v>126.14321691513604</v>
      </c>
      <c r="J1215">
        <f t="shared" si="148"/>
        <v>474.73344755296944</v>
      </c>
      <c r="K1215" s="27">
        <f t="shared" si="149"/>
        <v>4185.8879206275551</v>
      </c>
    </row>
    <row r="1216" spans="1:11" x14ac:dyDescent="0.25">
      <c r="A1216" s="26">
        <v>1166</v>
      </c>
      <c r="B1216" s="82">
        <f t="shared" si="150"/>
        <v>0</v>
      </c>
      <c r="C1216" s="58">
        <f t="shared" si="146"/>
        <v>104.50616427295054</v>
      </c>
      <c r="D1216" s="83">
        <f t="shared" si="151"/>
        <v>445.77777777777789</v>
      </c>
      <c r="E1216">
        <f t="shared" si="147"/>
        <v>0</v>
      </c>
      <c r="G1216">
        <v>1166</v>
      </c>
      <c r="H1216" s="13">
        <f t="shared" si="152"/>
        <v>1.8572577375266519E-2</v>
      </c>
      <c r="I1216">
        <f t="shared" si="153"/>
        <v>126.1617894925113</v>
      </c>
      <c r="J1216">
        <f t="shared" si="148"/>
        <v>474.75067179620441</v>
      </c>
      <c r="K1216" s="27">
        <f t="shared" si="149"/>
        <v>4186.1915878673144</v>
      </c>
    </row>
    <row r="1217" spans="1:11" x14ac:dyDescent="0.25">
      <c r="A1217" s="26">
        <v>1167</v>
      </c>
      <c r="B1217" s="82">
        <f t="shared" si="150"/>
        <v>0</v>
      </c>
      <c r="C1217" s="58">
        <f t="shared" si="146"/>
        <v>104.50616427295054</v>
      </c>
      <c r="D1217" s="83">
        <f t="shared" si="151"/>
        <v>445.77777777777789</v>
      </c>
      <c r="E1217">
        <f t="shared" si="147"/>
        <v>0</v>
      </c>
      <c r="G1217">
        <v>1167</v>
      </c>
      <c r="H1217" s="13">
        <f t="shared" si="152"/>
        <v>1.8572577375266519E-2</v>
      </c>
      <c r="I1217">
        <f t="shared" si="153"/>
        <v>126.18036206988657</v>
      </c>
      <c r="J1217">
        <f t="shared" si="148"/>
        <v>474.76788731803708</v>
      </c>
      <c r="K1217" s="27">
        <f t="shared" si="149"/>
        <v>4186.4951123679257</v>
      </c>
    </row>
    <row r="1218" spans="1:11" x14ac:dyDescent="0.25">
      <c r="A1218" s="26">
        <v>1168</v>
      </c>
      <c r="B1218" s="82">
        <f t="shared" si="150"/>
        <v>0</v>
      </c>
      <c r="C1218" s="58">
        <f t="shared" si="146"/>
        <v>104.50616427295054</v>
      </c>
      <c r="D1218" s="83">
        <f t="shared" si="151"/>
        <v>445.77777777777789</v>
      </c>
      <c r="E1218">
        <f t="shared" si="147"/>
        <v>0</v>
      </c>
      <c r="G1218">
        <v>1168</v>
      </c>
      <c r="H1218" s="13">
        <f t="shared" si="152"/>
        <v>1.8572577375266519E-2</v>
      </c>
      <c r="I1218">
        <f t="shared" si="153"/>
        <v>126.19893464726184</v>
      </c>
      <c r="J1218">
        <f t="shared" si="148"/>
        <v>474.78509412458857</v>
      </c>
      <c r="K1218" s="27">
        <f t="shared" si="149"/>
        <v>4186.7984942205439</v>
      </c>
    </row>
    <row r="1219" spans="1:11" x14ac:dyDescent="0.25">
      <c r="A1219" s="26">
        <v>1169</v>
      </c>
      <c r="B1219" s="82">
        <f t="shared" si="150"/>
        <v>0</v>
      </c>
      <c r="C1219" s="58">
        <f t="shared" si="146"/>
        <v>104.50616427295054</v>
      </c>
      <c r="D1219" s="83">
        <f t="shared" si="151"/>
        <v>445.77777777777789</v>
      </c>
      <c r="E1219">
        <f t="shared" si="147"/>
        <v>0</v>
      </c>
      <c r="G1219">
        <v>1169</v>
      </c>
      <c r="H1219" s="13">
        <f t="shared" si="152"/>
        <v>1.8572577375266519E-2</v>
      </c>
      <c r="I1219">
        <f t="shared" si="153"/>
        <v>126.2175072246371</v>
      </c>
      <c r="J1219">
        <f t="shared" si="148"/>
        <v>474.8022922219713</v>
      </c>
      <c r="K1219" s="27">
        <f t="shared" si="149"/>
        <v>4187.1017335161951</v>
      </c>
    </row>
    <row r="1220" spans="1:11" x14ac:dyDescent="0.25">
      <c r="A1220" s="26">
        <v>1170</v>
      </c>
      <c r="B1220" s="82">
        <f t="shared" si="150"/>
        <v>0</v>
      </c>
      <c r="C1220" s="58">
        <f t="shared" si="146"/>
        <v>104.50616427295054</v>
      </c>
      <c r="D1220" s="83">
        <f t="shared" si="151"/>
        <v>445.77777777777789</v>
      </c>
      <c r="E1220">
        <f t="shared" si="147"/>
        <v>0</v>
      </c>
      <c r="G1220">
        <v>1170</v>
      </c>
      <c r="H1220" s="13">
        <f t="shared" si="152"/>
        <v>1.8572577375266519E-2</v>
      </c>
      <c r="I1220">
        <f t="shared" si="153"/>
        <v>126.23607980201237</v>
      </c>
      <c r="J1220">
        <f t="shared" si="148"/>
        <v>474.81948161628884</v>
      </c>
      <c r="K1220" s="27">
        <f t="shared" si="149"/>
        <v>4187.404830345773</v>
      </c>
    </row>
    <row r="1221" spans="1:11" x14ac:dyDescent="0.25">
      <c r="A1221" s="26">
        <v>1171</v>
      </c>
      <c r="B1221" s="82">
        <f t="shared" si="150"/>
        <v>0</v>
      </c>
      <c r="C1221" s="58">
        <f t="shared" si="146"/>
        <v>104.50616427295054</v>
      </c>
      <c r="D1221" s="83">
        <f t="shared" si="151"/>
        <v>445.77777777777789</v>
      </c>
      <c r="E1221">
        <f t="shared" si="147"/>
        <v>0</v>
      </c>
      <c r="G1221">
        <v>1171</v>
      </c>
      <c r="H1221" s="13">
        <f t="shared" si="152"/>
        <v>1.8572577375266519E-2</v>
      </c>
      <c r="I1221">
        <f t="shared" si="153"/>
        <v>126.25465237938764</v>
      </c>
      <c r="J1221">
        <f t="shared" si="148"/>
        <v>474.836662313636</v>
      </c>
      <c r="K1221" s="27">
        <f t="shared" si="149"/>
        <v>4187.7077848000417</v>
      </c>
    </row>
    <row r="1222" spans="1:11" x14ac:dyDescent="0.25">
      <c r="A1222" s="26">
        <v>1172</v>
      </c>
      <c r="B1222" s="82">
        <f t="shared" si="150"/>
        <v>0</v>
      </c>
      <c r="C1222" s="58">
        <f t="shared" si="146"/>
        <v>104.50616427295054</v>
      </c>
      <c r="D1222" s="83">
        <f t="shared" si="151"/>
        <v>445.77777777777789</v>
      </c>
      <c r="E1222">
        <f t="shared" si="147"/>
        <v>0</v>
      </c>
      <c r="G1222">
        <v>1172</v>
      </c>
      <c r="H1222" s="13">
        <f t="shared" si="152"/>
        <v>1.8572577375266519E-2</v>
      </c>
      <c r="I1222">
        <f t="shared" si="153"/>
        <v>126.2732249567629</v>
      </c>
      <c r="J1222">
        <f t="shared" si="148"/>
        <v>474.85383432009888</v>
      </c>
      <c r="K1222" s="27">
        <f t="shared" si="149"/>
        <v>4188.0105969696351</v>
      </c>
    </row>
    <row r="1223" spans="1:11" x14ac:dyDescent="0.25">
      <c r="A1223" s="26">
        <v>1173</v>
      </c>
      <c r="B1223" s="82">
        <f t="shared" si="150"/>
        <v>0</v>
      </c>
      <c r="C1223" s="58">
        <f t="shared" si="146"/>
        <v>104.50616427295054</v>
      </c>
      <c r="D1223" s="83">
        <f t="shared" si="151"/>
        <v>445.77777777777789</v>
      </c>
      <c r="E1223">
        <f t="shared" si="147"/>
        <v>0</v>
      </c>
      <c r="G1223">
        <v>1173</v>
      </c>
      <c r="H1223" s="13">
        <f t="shared" si="152"/>
        <v>1.8572577375266519E-2</v>
      </c>
      <c r="I1223">
        <f t="shared" si="153"/>
        <v>126.29179753413817</v>
      </c>
      <c r="J1223">
        <f t="shared" si="148"/>
        <v>474.87099764175474</v>
      </c>
      <c r="K1223" s="27">
        <f t="shared" si="149"/>
        <v>4188.3132669450524</v>
      </c>
    </row>
    <row r="1224" spans="1:11" x14ac:dyDescent="0.25">
      <c r="A1224" s="26">
        <v>1174</v>
      </c>
      <c r="B1224" s="82">
        <f t="shared" si="150"/>
        <v>0</v>
      </c>
      <c r="C1224" s="58">
        <f t="shared" si="146"/>
        <v>104.50616427295054</v>
      </c>
      <c r="D1224" s="83">
        <f t="shared" si="151"/>
        <v>445.77777777777789</v>
      </c>
      <c r="E1224">
        <f t="shared" si="147"/>
        <v>0</v>
      </c>
      <c r="G1224">
        <v>1174</v>
      </c>
      <c r="H1224" s="13">
        <f t="shared" si="152"/>
        <v>1.8572577375266519E-2</v>
      </c>
      <c r="I1224">
        <f t="shared" si="153"/>
        <v>126.31037011151344</v>
      </c>
      <c r="J1224">
        <f t="shared" si="148"/>
        <v>474.88815228467206</v>
      </c>
      <c r="K1224" s="27">
        <f t="shared" si="149"/>
        <v>4188.6157948166692</v>
      </c>
    </row>
    <row r="1225" spans="1:11" x14ac:dyDescent="0.25">
      <c r="A1225" s="26">
        <v>1175</v>
      </c>
      <c r="B1225" s="82">
        <f t="shared" si="150"/>
        <v>0</v>
      </c>
      <c r="C1225" s="58">
        <f t="shared" si="146"/>
        <v>104.50616427295054</v>
      </c>
      <c r="D1225" s="83">
        <f t="shared" si="151"/>
        <v>445.77777777777789</v>
      </c>
      <c r="E1225">
        <f t="shared" si="147"/>
        <v>0</v>
      </c>
      <c r="G1225">
        <v>1175</v>
      </c>
      <c r="H1225" s="13">
        <f t="shared" si="152"/>
        <v>1.8572577375266519E-2</v>
      </c>
      <c r="I1225">
        <f t="shared" si="153"/>
        <v>126.3289426888887</v>
      </c>
      <c r="J1225">
        <f t="shared" si="148"/>
        <v>474.9052982549108</v>
      </c>
      <c r="K1225" s="27">
        <f t="shared" si="149"/>
        <v>4188.9181806747265</v>
      </c>
    </row>
    <row r="1226" spans="1:11" x14ac:dyDescent="0.25">
      <c r="A1226" s="26">
        <v>1176</v>
      </c>
      <c r="B1226" s="82">
        <f t="shared" si="150"/>
        <v>0</v>
      </c>
      <c r="C1226" s="58">
        <f t="shared" si="146"/>
        <v>104.50616427295054</v>
      </c>
      <c r="D1226" s="83">
        <f t="shared" si="151"/>
        <v>445.77777777777789</v>
      </c>
      <c r="E1226">
        <f t="shared" si="147"/>
        <v>0</v>
      </c>
      <c r="G1226">
        <v>1176</v>
      </c>
      <c r="H1226" s="13">
        <f t="shared" si="152"/>
        <v>1.8572577375266519E-2</v>
      </c>
      <c r="I1226">
        <f t="shared" si="153"/>
        <v>126.34751526626397</v>
      </c>
      <c r="J1226">
        <f t="shared" si="148"/>
        <v>474.92243555852201</v>
      </c>
      <c r="K1226" s="27">
        <f t="shared" si="149"/>
        <v>4189.2204246093379</v>
      </c>
    </row>
    <row r="1227" spans="1:11" x14ac:dyDescent="0.25">
      <c r="A1227" s="26">
        <v>1177</v>
      </c>
      <c r="B1227" s="82">
        <f t="shared" si="150"/>
        <v>0</v>
      </c>
      <c r="C1227" s="58">
        <f t="shared" si="146"/>
        <v>104.50616427295054</v>
      </c>
      <c r="D1227" s="83">
        <f t="shared" si="151"/>
        <v>445.77777777777789</v>
      </c>
      <c r="E1227">
        <f t="shared" si="147"/>
        <v>0</v>
      </c>
      <c r="G1227">
        <v>1177</v>
      </c>
      <c r="H1227" s="13">
        <f t="shared" si="152"/>
        <v>1.8572577375266519E-2</v>
      </c>
      <c r="I1227">
        <f t="shared" si="153"/>
        <v>126.36608784363924</v>
      </c>
      <c r="J1227">
        <f t="shared" si="148"/>
        <v>474.93956420154814</v>
      </c>
      <c r="K1227" s="27">
        <f t="shared" si="149"/>
        <v>4189.522526710487</v>
      </c>
    </row>
    <row r="1228" spans="1:11" x14ac:dyDescent="0.25">
      <c r="A1228" s="26">
        <v>1178</v>
      </c>
      <c r="B1228" s="82">
        <f t="shared" si="150"/>
        <v>0</v>
      </c>
      <c r="C1228" s="58">
        <f t="shared" si="146"/>
        <v>104.50616427295054</v>
      </c>
      <c r="D1228" s="83">
        <f t="shared" si="151"/>
        <v>445.77777777777789</v>
      </c>
      <c r="E1228">
        <f t="shared" si="147"/>
        <v>0</v>
      </c>
      <c r="G1228">
        <v>1178</v>
      </c>
      <c r="H1228" s="13">
        <f t="shared" si="152"/>
        <v>1.8572577375266519E-2</v>
      </c>
      <c r="I1228">
        <f t="shared" si="153"/>
        <v>126.3846604210145</v>
      </c>
      <c r="J1228">
        <f t="shared" si="148"/>
        <v>474.956684190023</v>
      </c>
      <c r="K1228" s="27">
        <f t="shared" si="149"/>
        <v>4189.8244870680292</v>
      </c>
    </row>
    <row r="1229" spans="1:11" x14ac:dyDescent="0.25">
      <c r="A1229" s="26">
        <v>1179</v>
      </c>
      <c r="B1229" s="82">
        <f t="shared" si="150"/>
        <v>0</v>
      </c>
      <c r="C1229" s="58">
        <f t="shared" si="146"/>
        <v>104.50616427295054</v>
      </c>
      <c r="D1229" s="83">
        <f t="shared" si="151"/>
        <v>445.77777777777789</v>
      </c>
      <c r="E1229">
        <f t="shared" si="147"/>
        <v>0</v>
      </c>
      <c r="G1229">
        <v>1179</v>
      </c>
      <c r="H1229" s="13">
        <f t="shared" si="152"/>
        <v>1.8572577375266519E-2</v>
      </c>
      <c r="I1229">
        <f t="shared" si="153"/>
        <v>126.40323299838977</v>
      </c>
      <c r="J1229">
        <f t="shared" si="148"/>
        <v>474.97379552997171</v>
      </c>
      <c r="K1229" s="27">
        <f t="shared" si="149"/>
        <v>4190.1263057716906</v>
      </c>
    </row>
    <row r="1230" spans="1:11" x14ac:dyDescent="0.25">
      <c r="A1230" s="26">
        <v>1180</v>
      </c>
      <c r="B1230" s="82">
        <f t="shared" si="150"/>
        <v>0</v>
      </c>
      <c r="C1230" s="58">
        <f t="shared" si="146"/>
        <v>104.50616427295054</v>
      </c>
      <c r="D1230" s="83">
        <f t="shared" si="151"/>
        <v>445.77777777777789</v>
      </c>
      <c r="E1230">
        <f t="shared" si="147"/>
        <v>0</v>
      </c>
      <c r="G1230">
        <v>1180</v>
      </c>
      <c r="H1230" s="13">
        <f t="shared" si="152"/>
        <v>1.8572577375266519E-2</v>
      </c>
      <c r="I1230">
        <f t="shared" si="153"/>
        <v>126.42180557576503</v>
      </c>
      <c r="J1230">
        <f t="shared" si="148"/>
        <v>474.99089822741087</v>
      </c>
      <c r="K1230" s="27">
        <f t="shared" si="149"/>
        <v>4190.4279829110692</v>
      </c>
    </row>
    <row r="1231" spans="1:11" x14ac:dyDescent="0.25">
      <c r="A1231" s="26">
        <v>1181</v>
      </c>
      <c r="B1231" s="82">
        <f t="shared" si="150"/>
        <v>0</v>
      </c>
      <c r="C1231" s="58">
        <f t="shared" si="146"/>
        <v>104.50616427295054</v>
      </c>
      <c r="D1231" s="83">
        <f t="shared" si="151"/>
        <v>445.77777777777789</v>
      </c>
      <c r="E1231">
        <f t="shared" si="147"/>
        <v>0</v>
      </c>
      <c r="G1231">
        <v>1181</v>
      </c>
      <c r="H1231" s="13">
        <f t="shared" si="152"/>
        <v>1.8572577375266519E-2</v>
      </c>
      <c r="I1231">
        <f t="shared" si="153"/>
        <v>126.4403781531403</v>
      </c>
      <c r="J1231">
        <f t="shared" si="148"/>
        <v>475.00799228834825</v>
      </c>
      <c r="K1231" s="27">
        <f t="shared" si="149"/>
        <v>4190.7295185756338</v>
      </c>
    </row>
    <row r="1232" spans="1:11" x14ac:dyDescent="0.25">
      <c r="A1232" s="26">
        <v>1182</v>
      </c>
      <c r="B1232" s="82">
        <f t="shared" si="150"/>
        <v>0</v>
      </c>
      <c r="C1232" s="58">
        <f t="shared" ref="C1232:C1295" si="154">($C$37-$C$36)/2000+C1231</f>
        <v>104.50616427295054</v>
      </c>
      <c r="D1232" s="83">
        <f t="shared" si="151"/>
        <v>445.77777777777789</v>
      </c>
      <c r="E1232">
        <f t="shared" si="147"/>
        <v>0</v>
      </c>
      <c r="G1232">
        <v>1182</v>
      </c>
      <c r="H1232" s="13">
        <f t="shared" si="152"/>
        <v>1.8572577375266519E-2</v>
      </c>
      <c r="I1232">
        <f t="shared" si="153"/>
        <v>126.45895073051557</v>
      </c>
      <c r="J1232">
        <f t="shared" si="148"/>
        <v>475.02507771878322</v>
      </c>
      <c r="K1232" s="27">
        <f t="shared" si="149"/>
        <v>4191.030912854726</v>
      </c>
    </row>
    <row r="1233" spans="1:11" x14ac:dyDescent="0.25">
      <c r="A1233" s="26">
        <v>1183</v>
      </c>
      <c r="B1233" s="82">
        <f t="shared" si="150"/>
        <v>0</v>
      </c>
      <c r="C1233" s="58">
        <f t="shared" si="154"/>
        <v>104.50616427295054</v>
      </c>
      <c r="D1233" s="83">
        <f t="shared" si="151"/>
        <v>445.77777777777789</v>
      </c>
      <c r="E1233">
        <f t="shared" si="147"/>
        <v>0</v>
      </c>
      <c r="G1233">
        <v>1183</v>
      </c>
      <c r="H1233" s="13">
        <f t="shared" si="152"/>
        <v>1.8572577375266519E-2</v>
      </c>
      <c r="I1233">
        <f t="shared" si="153"/>
        <v>126.47752330789083</v>
      </c>
      <c r="J1233">
        <f t="shared" si="148"/>
        <v>475.04215452470646</v>
      </c>
      <c r="K1233" s="27">
        <f t="shared" si="149"/>
        <v>4191.3321658375598</v>
      </c>
    </row>
    <row r="1234" spans="1:11" x14ac:dyDescent="0.25">
      <c r="A1234" s="26">
        <v>1184</v>
      </c>
      <c r="B1234" s="82">
        <f t="shared" si="150"/>
        <v>0</v>
      </c>
      <c r="C1234" s="58">
        <f t="shared" si="154"/>
        <v>104.50616427295054</v>
      </c>
      <c r="D1234" s="83">
        <f t="shared" si="151"/>
        <v>445.77777777777789</v>
      </c>
      <c r="E1234">
        <f t="shared" si="147"/>
        <v>0</v>
      </c>
      <c r="G1234">
        <v>1184</v>
      </c>
      <c r="H1234" s="13">
        <f t="shared" si="152"/>
        <v>1.8572577375266519E-2</v>
      </c>
      <c r="I1234">
        <f t="shared" si="153"/>
        <v>126.4960958852661</v>
      </c>
      <c r="J1234">
        <f t="shared" si="148"/>
        <v>475.05922271210017</v>
      </c>
      <c r="K1234" s="27">
        <f t="shared" si="149"/>
        <v>4191.6332776132203</v>
      </c>
    </row>
    <row r="1235" spans="1:11" x14ac:dyDescent="0.25">
      <c r="A1235" s="26">
        <v>1185</v>
      </c>
      <c r="B1235" s="82">
        <f t="shared" si="150"/>
        <v>0</v>
      </c>
      <c r="C1235" s="58">
        <f t="shared" si="154"/>
        <v>104.50616427295054</v>
      </c>
      <c r="D1235" s="83">
        <f t="shared" si="151"/>
        <v>445.77777777777789</v>
      </c>
      <c r="E1235">
        <f t="shared" si="147"/>
        <v>0</v>
      </c>
      <c r="G1235">
        <v>1185</v>
      </c>
      <c r="H1235" s="13">
        <f t="shared" si="152"/>
        <v>1.8572577375266519E-2</v>
      </c>
      <c r="I1235">
        <f t="shared" si="153"/>
        <v>126.51466846264137</v>
      </c>
      <c r="J1235">
        <f t="shared" si="148"/>
        <v>475.0762822869379</v>
      </c>
      <c r="K1235" s="27">
        <f t="shared" si="149"/>
        <v>4191.9342482706679</v>
      </c>
    </row>
    <row r="1236" spans="1:11" x14ac:dyDescent="0.25">
      <c r="A1236" s="26">
        <v>1186</v>
      </c>
      <c r="B1236" s="82">
        <f t="shared" si="150"/>
        <v>0</v>
      </c>
      <c r="C1236" s="58">
        <f t="shared" si="154"/>
        <v>104.50616427295054</v>
      </c>
      <c r="D1236" s="83">
        <f t="shared" si="151"/>
        <v>445.77777777777789</v>
      </c>
      <c r="E1236">
        <f t="shared" si="147"/>
        <v>0</v>
      </c>
      <c r="G1236">
        <v>1186</v>
      </c>
      <c r="H1236" s="13">
        <f t="shared" si="152"/>
        <v>1.8572577375266519E-2</v>
      </c>
      <c r="I1236">
        <f t="shared" si="153"/>
        <v>126.53324104001663</v>
      </c>
      <c r="J1236">
        <f t="shared" si="148"/>
        <v>475.0933332551848</v>
      </c>
      <c r="K1236" s="27">
        <f t="shared" si="149"/>
        <v>4192.2350778987338</v>
      </c>
    </row>
    <row r="1237" spans="1:11" x14ac:dyDescent="0.25">
      <c r="A1237" s="26">
        <v>1187</v>
      </c>
      <c r="B1237" s="82">
        <f t="shared" si="150"/>
        <v>0</v>
      </c>
      <c r="C1237" s="58">
        <f t="shared" si="154"/>
        <v>104.50616427295054</v>
      </c>
      <c r="D1237" s="83">
        <f t="shared" si="151"/>
        <v>445.77777777777789</v>
      </c>
      <c r="E1237">
        <f t="shared" si="147"/>
        <v>0</v>
      </c>
      <c r="G1237">
        <v>1187</v>
      </c>
      <c r="H1237" s="13">
        <f t="shared" si="152"/>
        <v>1.8572577375266519E-2</v>
      </c>
      <c r="I1237">
        <f t="shared" si="153"/>
        <v>126.5518136173919</v>
      </c>
      <c r="J1237">
        <f t="shared" si="148"/>
        <v>475.11037562279739</v>
      </c>
      <c r="K1237" s="27">
        <f t="shared" si="149"/>
        <v>4192.5357665861238</v>
      </c>
    </row>
    <row r="1238" spans="1:11" x14ac:dyDescent="0.25">
      <c r="A1238" s="26">
        <v>1188</v>
      </c>
      <c r="B1238" s="82">
        <f t="shared" si="150"/>
        <v>0</v>
      </c>
      <c r="C1238" s="58">
        <f t="shared" si="154"/>
        <v>104.50616427295054</v>
      </c>
      <c r="D1238" s="83">
        <f t="shared" si="151"/>
        <v>445.77777777777789</v>
      </c>
      <c r="E1238">
        <f t="shared" si="147"/>
        <v>0</v>
      </c>
      <c r="G1238">
        <v>1188</v>
      </c>
      <c r="H1238" s="13">
        <f t="shared" si="152"/>
        <v>1.8572577375266519E-2</v>
      </c>
      <c r="I1238">
        <f t="shared" si="153"/>
        <v>126.57038619476717</v>
      </c>
      <c r="J1238">
        <f t="shared" si="148"/>
        <v>475.12740939572376</v>
      </c>
      <c r="K1238" s="27">
        <f t="shared" si="149"/>
        <v>4192.8363144214163</v>
      </c>
    </row>
    <row r="1239" spans="1:11" x14ac:dyDescent="0.25">
      <c r="A1239" s="26">
        <v>1189</v>
      </c>
      <c r="B1239" s="82">
        <f t="shared" si="150"/>
        <v>0</v>
      </c>
      <c r="C1239" s="58">
        <f t="shared" si="154"/>
        <v>104.50616427295054</v>
      </c>
      <c r="D1239" s="83">
        <f t="shared" si="151"/>
        <v>445.77777777777789</v>
      </c>
      <c r="E1239">
        <f t="shared" si="147"/>
        <v>0</v>
      </c>
      <c r="G1239">
        <v>1189</v>
      </c>
      <c r="H1239" s="13">
        <f t="shared" si="152"/>
        <v>1.8572577375266519E-2</v>
      </c>
      <c r="I1239">
        <f t="shared" si="153"/>
        <v>126.58895877214243</v>
      </c>
      <c r="J1239">
        <f t="shared" si="148"/>
        <v>475.14443457990347</v>
      </c>
      <c r="K1239" s="27">
        <f t="shared" si="149"/>
        <v>4193.1367214930633</v>
      </c>
    </row>
    <row r="1240" spans="1:11" x14ac:dyDescent="0.25">
      <c r="A1240" s="26">
        <v>1190</v>
      </c>
      <c r="B1240" s="82">
        <f t="shared" si="150"/>
        <v>0</v>
      </c>
      <c r="C1240" s="58">
        <f t="shared" si="154"/>
        <v>104.50616427295054</v>
      </c>
      <c r="D1240" s="83">
        <f t="shared" si="151"/>
        <v>445.77777777777789</v>
      </c>
      <c r="E1240">
        <f t="shared" si="147"/>
        <v>0</v>
      </c>
      <c r="G1240">
        <v>1190</v>
      </c>
      <c r="H1240" s="13">
        <f t="shared" si="152"/>
        <v>1.8572577375266519E-2</v>
      </c>
      <c r="I1240">
        <f t="shared" si="153"/>
        <v>126.6075313495177</v>
      </c>
      <c r="J1240">
        <f t="shared" si="148"/>
        <v>475.16145118126769</v>
      </c>
      <c r="K1240" s="27">
        <f t="shared" si="149"/>
        <v>4193.4369878893931</v>
      </c>
    </row>
    <row r="1241" spans="1:11" x14ac:dyDescent="0.25">
      <c r="A1241" s="26">
        <v>1191</v>
      </c>
      <c r="B1241" s="82">
        <f t="shared" si="150"/>
        <v>0</v>
      </c>
      <c r="C1241" s="58">
        <f t="shared" si="154"/>
        <v>104.50616427295054</v>
      </c>
      <c r="D1241" s="83">
        <f t="shared" si="151"/>
        <v>445.77777777777789</v>
      </c>
      <c r="E1241">
        <f t="shared" si="147"/>
        <v>0</v>
      </c>
      <c r="G1241">
        <v>1191</v>
      </c>
      <c r="H1241" s="13">
        <f t="shared" si="152"/>
        <v>1.8572577375266519E-2</v>
      </c>
      <c r="I1241">
        <f t="shared" si="153"/>
        <v>126.62610392689297</v>
      </c>
      <c r="J1241">
        <f t="shared" si="148"/>
        <v>475.17845920573916</v>
      </c>
      <c r="K1241" s="27">
        <f t="shared" si="149"/>
        <v>4193.7371136986039</v>
      </c>
    </row>
    <row r="1242" spans="1:11" x14ac:dyDescent="0.25">
      <c r="A1242" s="26">
        <v>1192</v>
      </c>
      <c r="B1242" s="82">
        <f t="shared" si="150"/>
        <v>0</v>
      </c>
      <c r="C1242" s="58">
        <f t="shared" si="154"/>
        <v>104.50616427295054</v>
      </c>
      <c r="D1242" s="83">
        <f t="shared" si="151"/>
        <v>445.77777777777789</v>
      </c>
      <c r="E1242">
        <f t="shared" si="147"/>
        <v>0</v>
      </c>
      <c r="G1242">
        <v>1192</v>
      </c>
      <c r="H1242" s="13">
        <f t="shared" si="152"/>
        <v>1.8572577375266519E-2</v>
      </c>
      <c r="I1242">
        <f t="shared" si="153"/>
        <v>126.64467650426823</v>
      </c>
      <c r="J1242">
        <f t="shared" si="148"/>
        <v>475.19545865923197</v>
      </c>
      <c r="K1242" s="27">
        <f t="shared" si="149"/>
        <v>4194.0370990087722</v>
      </c>
    </row>
    <row r="1243" spans="1:11" x14ac:dyDescent="0.25">
      <c r="A1243" s="26">
        <v>1193</v>
      </c>
      <c r="B1243" s="82">
        <f t="shared" si="150"/>
        <v>0</v>
      </c>
      <c r="C1243" s="58">
        <f t="shared" si="154"/>
        <v>104.50616427295054</v>
      </c>
      <c r="D1243" s="83">
        <f t="shared" si="151"/>
        <v>445.77777777777789</v>
      </c>
      <c r="E1243">
        <f t="shared" si="147"/>
        <v>0</v>
      </c>
      <c r="G1243">
        <v>1193</v>
      </c>
      <c r="H1243" s="13">
        <f t="shared" si="152"/>
        <v>1.8572577375266519E-2</v>
      </c>
      <c r="I1243">
        <f t="shared" si="153"/>
        <v>126.6632490816435</v>
      </c>
      <c r="J1243">
        <f t="shared" si="148"/>
        <v>475.21244954765211</v>
      </c>
      <c r="K1243" s="27">
        <f t="shared" si="149"/>
        <v>4194.3369439078497</v>
      </c>
    </row>
    <row r="1244" spans="1:11" x14ac:dyDescent="0.25">
      <c r="A1244" s="26">
        <v>1194</v>
      </c>
      <c r="B1244" s="82">
        <f t="shared" si="150"/>
        <v>0</v>
      </c>
      <c r="C1244" s="58">
        <f t="shared" si="154"/>
        <v>104.50616427295054</v>
      </c>
      <c r="D1244" s="83">
        <f t="shared" si="151"/>
        <v>445.77777777777789</v>
      </c>
      <c r="E1244">
        <f t="shared" si="147"/>
        <v>0</v>
      </c>
      <c r="G1244">
        <v>1194</v>
      </c>
      <c r="H1244" s="13">
        <f t="shared" si="152"/>
        <v>1.8572577375266519E-2</v>
      </c>
      <c r="I1244">
        <f t="shared" si="153"/>
        <v>126.68182165901877</v>
      </c>
      <c r="J1244">
        <f t="shared" si="148"/>
        <v>475.22943187689691</v>
      </c>
      <c r="K1244" s="27">
        <f t="shared" si="149"/>
        <v>4194.636648483659</v>
      </c>
    </row>
    <row r="1245" spans="1:11" x14ac:dyDescent="0.25">
      <c r="A1245" s="26">
        <v>1195</v>
      </c>
      <c r="B1245" s="82">
        <f t="shared" si="150"/>
        <v>0</v>
      </c>
      <c r="C1245" s="58">
        <f t="shared" si="154"/>
        <v>104.50616427295054</v>
      </c>
      <c r="D1245" s="83">
        <f t="shared" si="151"/>
        <v>445.77777777777789</v>
      </c>
      <c r="E1245">
        <f t="shared" si="147"/>
        <v>0</v>
      </c>
      <c r="G1245">
        <v>1195</v>
      </c>
      <c r="H1245" s="13">
        <f t="shared" si="152"/>
        <v>1.8572577375266519E-2</v>
      </c>
      <c r="I1245">
        <f t="shared" si="153"/>
        <v>126.70039423639403</v>
      </c>
      <c r="J1245">
        <f t="shared" si="148"/>
        <v>475.24640565285557</v>
      </c>
      <c r="K1245" s="27">
        <f t="shared" si="149"/>
        <v>4194.9362128239018</v>
      </c>
    </row>
    <row r="1246" spans="1:11" x14ac:dyDescent="0.25">
      <c r="A1246" s="26">
        <v>1196</v>
      </c>
      <c r="B1246" s="82">
        <f t="shared" si="150"/>
        <v>0</v>
      </c>
      <c r="C1246" s="58">
        <f t="shared" si="154"/>
        <v>104.50616427295054</v>
      </c>
      <c r="D1246" s="83">
        <f t="shared" si="151"/>
        <v>445.77777777777789</v>
      </c>
      <c r="E1246">
        <f t="shared" si="147"/>
        <v>0</v>
      </c>
      <c r="G1246">
        <v>1196</v>
      </c>
      <c r="H1246" s="13">
        <f t="shared" si="152"/>
        <v>1.8572577375266519E-2</v>
      </c>
      <c r="I1246">
        <f t="shared" si="153"/>
        <v>126.7189668137693</v>
      </c>
      <c r="J1246">
        <f t="shared" si="148"/>
        <v>475.26337088140872</v>
      </c>
      <c r="K1246" s="27">
        <f t="shared" si="149"/>
        <v>4195.2356370161533</v>
      </c>
    </row>
    <row r="1247" spans="1:11" x14ac:dyDescent="0.25">
      <c r="A1247" s="26">
        <v>1197</v>
      </c>
      <c r="B1247" s="82">
        <f t="shared" si="150"/>
        <v>0</v>
      </c>
      <c r="C1247" s="58">
        <f t="shared" si="154"/>
        <v>104.50616427295054</v>
      </c>
      <c r="D1247" s="83">
        <f t="shared" si="151"/>
        <v>445.77777777777789</v>
      </c>
      <c r="E1247">
        <f t="shared" si="147"/>
        <v>0</v>
      </c>
      <c r="G1247">
        <v>1197</v>
      </c>
      <c r="H1247" s="13">
        <f t="shared" si="152"/>
        <v>1.8572577375266519E-2</v>
      </c>
      <c r="I1247">
        <f t="shared" si="153"/>
        <v>126.73753939114457</v>
      </c>
      <c r="J1247">
        <f t="shared" si="148"/>
        <v>475.28032756842867</v>
      </c>
      <c r="K1247" s="27">
        <f t="shared" si="149"/>
        <v>4195.5349211478651</v>
      </c>
    </row>
    <row r="1248" spans="1:11" x14ac:dyDescent="0.25">
      <c r="A1248" s="26">
        <v>1198</v>
      </c>
      <c r="B1248" s="82">
        <f t="shared" si="150"/>
        <v>0</v>
      </c>
      <c r="C1248" s="58">
        <f t="shared" si="154"/>
        <v>104.50616427295054</v>
      </c>
      <c r="D1248" s="83">
        <f t="shared" si="151"/>
        <v>445.77777777777789</v>
      </c>
      <c r="E1248">
        <f t="shared" si="147"/>
        <v>0</v>
      </c>
      <c r="G1248">
        <v>1198</v>
      </c>
      <c r="H1248" s="13">
        <f t="shared" si="152"/>
        <v>1.8572577375266519E-2</v>
      </c>
      <c r="I1248">
        <f t="shared" si="153"/>
        <v>126.75611196851983</v>
      </c>
      <c r="J1248">
        <f t="shared" si="148"/>
        <v>475.29727571977952</v>
      </c>
      <c r="K1248" s="27">
        <f t="shared" si="149"/>
        <v>4195.8340653063651</v>
      </c>
    </row>
    <row r="1249" spans="1:11" x14ac:dyDescent="0.25">
      <c r="A1249" s="26">
        <v>1199</v>
      </c>
      <c r="B1249" s="82">
        <f t="shared" si="150"/>
        <v>0</v>
      </c>
      <c r="C1249" s="58">
        <f t="shared" si="154"/>
        <v>104.50616427295054</v>
      </c>
      <c r="D1249" s="83">
        <f t="shared" si="151"/>
        <v>445.77777777777789</v>
      </c>
      <c r="E1249">
        <f t="shared" si="147"/>
        <v>0</v>
      </c>
      <c r="G1249">
        <v>1199</v>
      </c>
      <c r="H1249" s="13">
        <f t="shared" si="152"/>
        <v>1.8572577375266519E-2</v>
      </c>
      <c r="I1249">
        <f t="shared" si="153"/>
        <v>126.7746845458951</v>
      </c>
      <c r="J1249">
        <f t="shared" si="148"/>
        <v>475.31421534131698</v>
      </c>
      <c r="K1249" s="27">
        <f t="shared" si="149"/>
        <v>4196.1330695788565</v>
      </c>
    </row>
    <row r="1250" spans="1:11" x14ac:dyDescent="0.25">
      <c r="A1250" s="26">
        <v>1200</v>
      </c>
      <c r="B1250" s="82">
        <f t="shared" si="150"/>
        <v>0</v>
      </c>
      <c r="C1250" s="58">
        <f t="shared" si="154"/>
        <v>104.50616427295054</v>
      </c>
      <c r="D1250" s="83">
        <f t="shared" si="151"/>
        <v>445.77777777777789</v>
      </c>
      <c r="E1250">
        <f t="shared" si="147"/>
        <v>0</v>
      </c>
      <c r="G1250">
        <v>1200</v>
      </c>
      <c r="H1250" s="13">
        <f t="shared" si="152"/>
        <v>1.8572577375266519E-2</v>
      </c>
      <c r="I1250">
        <f t="shared" si="153"/>
        <v>126.79325712327037</v>
      </c>
      <c r="J1250">
        <f t="shared" si="148"/>
        <v>475.33114643888842</v>
      </c>
      <c r="K1250" s="27">
        <f t="shared" si="149"/>
        <v>4196.4319340524189</v>
      </c>
    </row>
    <row r="1251" spans="1:11" x14ac:dyDescent="0.25">
      <c r="A1251" s="26">
        <v>1201</v>
      </c>
      <c r="B1251" s="82">
        <f t="shared" si="150"/>
        <v>0</v>
      </c>
      <c r="C1251" s="58">
        <f t="shared" si="154"/>
        <v>104.50616427295054</v>
      </c>
      <c r="D1251" s="83">
        <f t="shared" si="151"/>
        <v>445.77777777777789</v>
      </c>
      <c r="E1251">
        <f t="shared" si="147"/>
        <v>0</v>
      </c>
      <c r="G1251">
        <v>1201</v>
      </c>
      <c r="H1251" s="13">
        <f t="shared" si="152"/>
        <v>1.8572577375266519E-2</v>
      </c>
      <c r="I1251">
        <f t="shared" si="153"/>
        <v>126.81182970064563</v>
      </c>
      <c r="J1251">
        <f t="shared" si="148"/>
        <v>475.34806901833298</v>
      </c>
      <c r="K1251" s="27">
        <f t="shared" si="149"/>
        <v>4196.7306588140118</v>
      </c>
    </row>
    <row r="1252" spans="1:11" x14ac:dyDescent="0.25">
      <c r="A1252" s="26">
        <v>1202</v>
      </c>
      <c r="B1252" s="82">
        <f t="shared" si="150"/>
        <v>0</v>
      </c>
      <c r="C1252" s="58">
        <f t="shared" si="154"/>
        <v>104.50616427295054</v>
      </c>
      <c r="D1252" s="83">
        <f t="shared" si="151"/>
        <v>445.77777777777789</v>
      </c>
      <c r="E1252">
        <f t="shared" si="147"/>
        <v>0</v>
      </c>
      <c r="G1252">
        <v>1202</v>
      </c>
      <c r="H1252" s="13">
        <f t="shared" si="152"/>
        <v>1.8572577375266519E-2</v>
      </c>
      <c r="I1252">
        <f t="shared" si="153"/>
        <v>126.8304022780209</v>
      </c>
      <c r="J1252">
        <f t="shared" si="148"/>
        <v>475.36498308548153</v>
      </c>
      <c r="K1252" s="27">
        <f t="shared" si="149"/>
        <v>4197.0292439504656</v>
      </c>
    </row>
    <row r="1253" spans="1:11" x14ac:dyDescent="0.25">
      <c r="A1253" s="26">
        <v>1203</v>
      </c>
      <c r="B1253" s="82">
        <f t="shared" si="150"/>
        <v>0</v>
      </c>
      <c r="C1253" s="58">
        <f t="shared" si="154"/>
        <v>104.50616427295054</v>
      </c>
      <c r="D1253" s="83">
        <f t="shared" si="151"/>
        <v>445.77777777777789</v>
      </c>
      <c r="E1253">
        <f t="shared" si="147"/>
        <v>0</v>
      </c>
      <c r="G1253">
        <v>1203</v>
      </c>
      <c r="H1253" s="13">
        <f t="shared" si="152"/>
        <v>1.8572577375266519E-2</v>
      </c>
      <c r="I1253">
        <f t="shared" si="153"/>
        <v>126.84897485539616</v>
      </c>
      <c r="J1253">
        <f t="shared" si="148"/>
        <v>475.38188864615671</v>
      </c>
      <c r="K1253" s="27">
        <f t="shared" si="149"/>
        <v>4197.3276895484923</v>
      </c>
    </row>
    <row r="1254" spans="1:11" x14ac:dyDescent="0.25">
      <c r="A1254" s="26">
        <v>1204</v>
      </c>
      <c r="B1254" s="82">
        <f t="shared" si="150"/>
        <v>0</v>
      </c>
      <c r="C1254" s="58">
        <f t="shared" si="154"/>
        <v>104.50616427295054</v>
      </c>
      <c r="D1254" s="83">
        <f t="shared" si="151"/>
        <v>445.77777777777789</v>
      </c>
      <c r="E1254">
        <f t="shared" si="147"/>
        <v>0</v>
      </c>
      <c r="G1254">
        <v>1204</v>
      </c>
      <c r="H1254" s="13">
        <f t="shared" si="152"/>
        <v>1.8572577375266519E-2</v>
      </c>
      <c r="I1254">
        <f t="shared" si="153"/>
        <v>126.86754743277143</v>
      </c>
      <c r="J1254">
        <f t="shared" si="148"/>
        <v>475.39878570617287</v>
      </c>
      <c r="K1254" s="27">
        <f t="shared" si="149"/>
        <v>4197.6259956946824</v>
      </c>
    </row>
    <row r="1255" spans="1:11" x14ac:dyDescent="0.25">
      <c r="A1255" s="26">
        <v>1205</v>
      </c>
      <c r="B1255" s="82">
        <f t="shared" si="150"/>
        <v>0</v>
      </c>
      <c r="C1255" s="58">
        <f t="shared" si="154"/>
        <v>104.50616427295054</v>
      </c>
      <c r="D1255" s="83">
        <f t="shared" si="151"/>
        <v>445.77777777777789</v>
      </c>
      <c r="E1255">
        <f t="shared" si="147"/>
        <v>0</v>
      </c>
      <c r="G1255">
        <v>1205</v>
      </c>
      <c r="H1255" s="13">
        <f t="shared" si="152"/>
        <v>1.8572577375266519E-2</v>
      </c>
      <c r="I1255">
        <f t="shared" si="153"/>
        <v>126.8861200101467</v>
      </c>
      <c r="J1255">
        <f t="shared" si="148"/>
        <v>475.41567427133623</v>
      </c>
      <c r="K1255" s="27">
        <f t="shared" si="149"/>
        <v>4197.9241624754995</v>
      </c>
    </row>
    <row r="1256" spans="1:11" x14ac:dyDescent="0.25">
      <c r="A1256" s="26">
        <v>1206</v>
      </c>
      <c r="B1256" s="82">
        <f t="shared" si="150"/>
        <v>0</v>
      </c>
      <c r="C1256" s="58">
        <f t="shared" si="154"/>
        <v>104.50616427295054</v>
      </c>
      <c r="D1256" s="83">
        <f t="shared" si="151"/>
        <v>445.77777777777789</v>
      </c>
      <c r="E1256">
        <f t="shared" si="147"/>
        <v>0</v>
      </c>
      <c r="G1256">
        <v>1206</v>
      </c>
      <c r="H1256" s="13">
        <f t="shared" si="152"/>
        <v>1.8572577375266519E-2</v>
      </c>
      <c r="I1256">
        <f t="shared" si="153"/>
        <v>126.90469258752196</v>
      </c>
      <c r="J1256">
        <f t="shared" si="148"/>
        <v>475.43255434744469</v>
      </c>
      <c r="K1256" s="27">
        <f t="shared" si="149"/>
        <v>4198.2221899772894</v>
      </c>
    </row>
    <row r="1257" spans="1:11" x14ac:dyDescent="0.25">
      <c r="A1257" s="26">
        <v>1207</v>
      </c>
      <c r="B1257" s="82">
        <f t="shared" si="150"/>
        <v>0</v>
      </c>
      <c r="C1257" s="58">
        <f t="shared" si="154"/>
        <v>104.50616427295054</v>
      </c>
      <c r="D1257" s="83">
        <f t="shared" si="151"/>
        <v>445.77777777777789</v>
      </c>
      <c r="E1257">
        <f t="shared" si="147"/>
        <v>0</v>
      </c>
      <c r="G1257">
        <v>1207</v>
      </c>
      <c r="H1257" s="13">
        <f t="shared" si="152"/>
        <v>1.8572577375266519E-2</v>
      </c>
      <c r="I1257">
        <f t="shared" si="153"/>
        <v>126.92326516489723</v>
      </c>
      <c r="J1257">
        <f t="shared" si="148"/>
        <v>475.44942594028805</v>
      </c>
      <c r="K1257" s="27">
        <f t="shared" si="149"/>
        <v>4198.5200782862712</v>
      </c>
    </row>
    <row r="1258" spans="1:11" x14ac:dyDescent="0.25">
      <c r="A1258" s="26">
        <v>1208</v>
      </c>
      <c r="B1258" s="82">
        <f t="shared" si="150"/>
        <v>0</v>
      </c>
      <c r="C1258" s="58">
        <f t="shared" si="154"/>
        <v>104.50616427295054</v>
      </c>
      <c r="D1258" s="83">
        <f t="shared" si="151"/>
        <v>445.77777777777789</v>
      </c>
      <c r="E1258">
        <f t="shared" si="147"/>
        <v>0</v>
      </c>
      <c r="G1258">
        <v>1208</v>
      </c>
      <c r="H1258" s="13">
        <f t="shared" si="152"/>
        <v>1.8572577375266519E-2</v>
      </c>
      <c r="I1258">
        <f t="shared" si="153"/>
        <v>126.9418377422725</v>
      </c>
      <c r="J1258">
        <f t="shared" si="148"/>
        <v>475.46628905564785</v>
      </c>
      <c r="K1258" s="27">
        <f t="shared" si="149"/>
        <v>4198.8178274885477</v>
      </c>
    </row>
    <row r="1259" spans="1:11" x14ac:dyDescent="0.25">
      <c r="A1259" s="26">
        <v>1209</v>
      </c>
      <c r="B1259" s="82">
        <f t="shared" si="150"/>
        <v>0</v>
      </c>
      <c r="C1259" s="58">
        <f t="shared" si="154"/>
        <v>104.50616427295054</v>
      </c>
      <c r="D1259" s="83">
        <f t="shared" si="151"/>
        <v>445.77777777777789</v>
      </c>
      <c r="E1259">
        <f t="shared" si="147"/>
        <v>0</v>
      </c>
      <c r="G1259">
        <v>1209</v>
      </c>
      <c r="H1259" s="13">
        <f t="shared" si="152"/>
        <v>1.8572577375266519E-2</v>
      </c>
      <c r="I1259">
        <f t="shared" si="153"/>
        <v>126.96041031964776</v>
      </c>
      <c r="J1259">
        <f t="shared" si="148"/>
        <v>475.48314369929767</v>
      </c>
      <c r="K1259" s="27">
        <f t="shared" si="149"/>
        <v>4199.1154376700979</v>
      </c>
    </row>
    <row r="1260" spans="1:11" x14ac:dyDescent="0.25">
      <c r="A1260" s="26">
        <v>1210</v>
      </c>
      <c r="B1260" s="82">
        <f t="shared" si="150"/>
        <v>0</v>
      </c>
      <c r="C1260" s="58">
        <f t="shared" si="154"/>
        <v>104.50616427295054</v>
      </c>
      <c r="D1260" s="83">
        <f t="shared" si="151"/>
        <v>445.77777777777789</v>
      </c>
      <c r="E1260">
        <f t="shared" si="147"/>
        <v>0</v>
      </c>
      <c r="G1260">
        <v>1210</v>
      </c>
      <c r="H1260" s="13">
        <f t="shared" si="152"/>
        <v>1.8572577375266519E-2</v>
      </c>
      <c r="I1260">
        <f t="shared" si="153"/>
        <v>126.97898289702303</v>
      </c>
      <c r="J1260">
        <f t="shared" si="148"/>
        <v>475.4999898770028</v>
      </c>
      <c r="K1260" s="27">
        <f t="shared" si="149"/>
        <v>4199.41290891678</v>
      </c>
    </row>
    <row r="1261" spans="1:11" x14ac:dyDescent="0.25">
      <c r="A1261" s="26">
        <v>1211</v>
      </c>
      <c r="B1261" s="82">
        <f t="shared" si="150"/>
        <v>0</v>
      </c>
      <c r="C1261" s="58">
        <f t="shared" si="154"/>
        <v>104.50616427295054</v>
      </c>
      <c r="D1261" s="83">
        <f t="shared" si="151"/>
        <v>445.77777777777789</v>
      </c>
      <c r="E1261">
        <f t="shared" si="147"/>
        <v>0</v>
      </c>
      <c r="G1261">
        <v>1211</v>
      </c>
      <c r="H1261" s="13">
        <f t="shared" si="152"/>
        <v>1.8572577375266519E-2</v>
      </c>
      <c r="I1261">
        <f t="shared" si="153"/>
        <v>126.9975554743983</v>
      </c>
      <c r="J1261">
        <f t="shared" si="148"/>
        <v>475.51682759452035</v>
      </c>
      <c r="K1261" s="27">
        <f t="shared" si="149"/>
        <v>4199.7102413143302</v>
      </c>
    </row>
    <row r="1262" spans="1:11" x14ac:dyDescent="0.25">
      <c r="A1262" s="26">
        <v>1212</v>
      </c>
      <c r="B1262" s="82">
        <f t="shared" si="150"/>
        <v>0</v>
      </c>
      <c r="C1262" s="58">
        <f t="shared" si="154"/>
        <v>104.50616427295054</v>
      </c>
      <c r="D1262" s="83">
        <f t="shared" si="151"/>
        <v>445.77777777777789</v>
      </c>
      <c r="E1262">
        <f t="shared" si="147"/>
        <v>0</v>
      </c>
      <c r="G1262">
        <v>1212</v>
      </c>
      <c r="H1262" s="13">
        <f t="shared" si="152"/>
        <v>1.8572577375266519E-2</v>
      </c>
      <c r="I1262">
        <f t="shared" si="153"/>
        <v>127.01612805177356</v>
      </c>
      <c r="J1262">
        <f t="shared" si="148"/>
        <v>475.53365685759951</v>
      </c>
      <c r="K1262" s="27">
        <f t="shared" si="149"/>
        <v>4200.0074349483648</v>
      </c>
    </row>
    <row r="1263" spans="1:11" x14ac:dyDescent="0.25">
      <c r="A1263" s="26">
        <v>1213</v>
      </c>
      <c r="B1263" s="82">
        <f t="shared" si="150"/>
        <v>0</v>
      </c>
      <c r="C1263" s="58">
        <f t="shared" si="154"/>
        <v>104.50616427295054</v>
      </c>
      <c r="D1263" s="83">
        <f t="shared" si="151"/>
        <v>445.77777777777789</v>
      </c>
      <c r="E1263">
        <f t="shared" si="147"/>
        <v>0</v>
      </c>
      <c r="G1263">
        <v>1213</v>
      </c>
      <c r="H1263" s="13">
        <f t="shared" si="152"/>
        <v>1.8572577375266519E-2</v>
      </c>
      <c r="I1263">
        <f t="shared" si="153"/>
        <v>127.03470062914883</v>
      </c>
      <c r="J1263">
        <f t="shared" si="148"/>
        <v>475.55047767198118</v>
      </c>
      <c r="K1263" s="27">
        <f t="shared" si="149"/>
        <v>4200.3044899043789</v>
      </c>
    </row>
    <row r="1264" spans="1:11" x14ac:dyDescent="0.25">
      <c r="A1264" s="26">
        <v>1214</v>
      </c>
      <c r="B1264" s="82">
        <f t="shared" si="150"/>
        <v>0</v>
      </c>
      <c r="C1264" s="58">
        <f t="shared" si="154"/>
        <v>104.50616427295054</v>
      </c>
      <c r="D1264" s="83">
        <f t="shared" si="151"/>
        <v>445.77777777777789</v>
      </c>
      <c r="E1264">
        <f t="shared" si="147"/>
        <v>0</v>
      </c>
      <c r="G1264">
        <v>1214</v>
      </c>
      <c r="H1264" s="13">
        <f t="shared" si="152"/>
        <v>1.8572577375266519E-2</v>
      </c>
      <c r="I1264">
        <f t="shared" si="153"/>
        <v>127.0532732065241</v>
      </c>
      <c r="J1264">
        <f t="shared" si="148"/>
        <v>475.56729004339837</v>
      </c>
      <c r="K1264" s="27">
        <f t="shared" si="149"/>
        <v>4200.6014062677496</v>
      </c>
    </row>
    <row r="1265" spans="1:11" x14ac:dyDescent="0.25">
      <c r="A1265" s="26">
        <v>1215</v>
      </c>
      <c r="B1265" s="82">
        <f t="shared" si="150"/>
        <v>0</v>
      </c>
      <c r="C1265" s="58">
        <f t="shared" si="154"/>
        <v>104.50616427295054</v>
      </c>
      <c r="D1265" s="83">
        <f t="shared" si="151"/>
        <v>445.77777777777789</v>
      </c>
      <c r="E1265">
        <f t="shared" si="147"/>
        <v>0</v>
      </c>
      <c r="G1265">
        <v>1215</v>
      </c>
      <c r="H1265" s="13">
        <f t="shared" si="152"/>
        <v>1.8572577375266519E-2</v>
      </c>
      <c r="I1265">
        <f t="shared" si="153"/>
        <v>127.07184578389936</v>
      </c>
      <c r="J1265">
        <f t="shared" si="148"/>
        <v>475.58409397757589</v>
      </c>
      <c r="K1265" s="27">
        <f t="shared" si="149"/>
        <v>4200.8981841237319</v>
      </c>
    </row>
    <row r="1266" spans="1:11" x14ac:dyDescent="0.25">
      <c r="A1266" s="26">
        <v>1216</v>
      </c>
      <c r="B1266" s="82">
        <f t="shared" si="150"/>
        <v>0</v>
      </c>
      <c r="C1266" s="58">
        <f t="shared" si="154"/>
        <v>104.50616427295054</v>
      </c>
      <c r="D1266" s="83">
        <f t="shared" si="151"/>
        <v>445.77777777777789</v>
      </c>
      <c r="E1266">
        <f t="shared" si="147"/>
        <v>0</v>
      </c>
      <c r="G1266">
        <v>1216</v>
      </c>
      <c r="H1266" s="13">
        <f t="shared" si="152"/>
        <v>1.8572577375266519E-2</v>
      </c>
      <c r="I1266">
        <f t="shared" si="153"/>
        <v>127.09041836127463</v>
      </c>
      <c r="J1266">
        <f t="shared" si="148"/>
        <v>475.60088948023053</v>
      </c>
      <c r="K1266" s="27">
        <f t="shared" si="149"/>
        <v>4201.1948235574609</v>
      </c>
    </row>
    <row r="1267" spans="1:11" x14ac:dyDescent="0.25">
      <c r="A1267" s="26">
        <v>1217</v>
      </c>
      <c r="B1267" s="82">
        <f t="shared" si="150"/>
        <v>0</v>
      </c>
      <c r="C1267" s="58">
        <f t="shared" si="154"/>
        <v>104.50616427295054</v>
      </c>
      <c r="D1267" s="83">
        <f t="shared" si="151"/>
        <v>445.77777777777789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1.8572577375266519E-2</v>
      </c>
      <c r="I1267">
        <f t="shared" si="153"/>
        <v>127.1089909386499</v>
      </c>
      <c r="J1267">
        <f t="shared" ref="J1267:J1330" si="156">IF($G$28&lt;$C$14,0,((($C$11^2)-((I1267-$C$13)^2))^0.5)+$C$16)</f>
        <v>475.61767655707121</v>
      </c>
      <c r="K1267" s="27">
        <f t="shared" ref="K1267:K1330" si="157">((J1267^2)+(J1267*J1268)+(J1268^2))*H1268/3</f>
        <v>4201.4913246539554</v>
      </c>
    </row>
    <row r="1268" spans="1:11" x14ac:dyDescent="0.25">
      <c r="A1268" s="26">
        <v>1218</v>
      </c>
      <c r="B1268" s="82">
        <f t="shared" ref="B1268:B1331" si="158">C1268-C1267</f>
        <v>0</v>
      </c>
      <c r="C1268" s="58">
        <f t="shared" si="154"/>
        <v>104.50616427295054</v>
      </c>
      <c r="D1268" s="83">
        <f t="shared" ref="D1268:D1331" si="159">IF($G$28&lt;$C$14,0,((($C$11^2)-((C1268-$C$13)^2))^0.5)+$C$16)</f>
        <v>445.77777777777789</v>
      </c>
      <c r="E1268">
        <f t="shared" si="155"/>
        <v>0</v>
      </c>
      <c r="G1268">
        <v>1218</v>
      </c>
      <c r="H1268" s="13">
        <f t="shared" ref="H1268:H1331" si="160">I1268-I1267</f>
        <v>1.8572577375266519E-2</v>
      </c>
      <c r="I1268">
        <f t="shared" ref="I1268:I1331" si="161">($G$27-$C$14)/2000+I1267</f>
        <v>127.12756351602516</v>
      </c>
      <c r="J1268">
        <f t="shared" si="156"/>
        <v>475.63445521379856</v>
      </c>
      <c r="K1268" s="27">
        <f t="shared" si="157"/>
        <v>4201.7876874981093</v>
      </c>
    </row>
    <row r="1269" spans="1:11" x14ac:dyDescent="0.25">
      <c r="A1269" s="26">
        <v>1219</v>
      </c>
      <c r="B1269" s="82">
        <f t="shared" si="158"/>
        <v>0</v>
      </c>
      <c r="C1269" s="58">
        <f t="shared" si="154"/>
        <v>104.50616427295054</v>
      </c>
      <c r="D1269" s="83">
        <f t="shared" si="159"/>
        <v>445.77777777777789</v>
      </c>
      <c r="E1269">
        <f t="shared" si="155"/>
        <v>0</v>
      </c>
      <c r="G1269">
        <v>1219</v>
      </c>
      <c r="H1269" s="13">
        <f t="shared" si="160"/>
        <v>1.8572577375266519E-2</v>
      </c>
      <c r="I1269">
        <f t="shared" si="161"/>
        <v>127.14613609340043</v>
      </c>
      <c r="J1269">
        <f t="shared" si="156"/>
        <v>475.65122545610546</v>
      </c>
      <c r="K1269" s="27">
        <f t="shared" si="157"/>
        <v>4202.0839121747022</v>
      </c>
    </row>
    <row r="1270" spans="1:11" x14ac:dyDescent="0.25">
      <c r="A1270" s="26">
        <v>1220</v>
      </c>
      <c r="B1270" s="82">
        <f t="shared" si="158"/>
        <v>0</v>
      </c>
      <c r="C1270" s="58">
        <f t="shared" si="154"/>
        <v>104.50616427295054</v>
      </c>
      <c r="D1270" s="83">
        <f t="shared" si="159"/>
        <v>445.77777777777789</v>
      </c>
      <c r="E1270">
        <f t="shared" si="155"/>
        <v>0</v>
      </c>
      <c r="G1270">
        <v>1220</v>
      </c>
      <c r="H1270" s="13">
        <f t="shared" si="160"/>
        <v>1.8572577375266519E-2</v>
      </c>
      <c r="I1270">
        <f t="shared" si="161"/>
        <v>127.1647086707757</v>
      </c>
      <c r="J1270">
        <f t="shared" si="156"/>
        <v>475.66798728967666</v>
      </c>
      <c r="K1270" s="27">
        <f t="shared" si="157"/>
        <v>4202.3799987683933</v>
      </c>
    </row>
    <row r="1271" spans="1:11" x14ac:dyDescent="0.25">
      <c r="A1271" s="26">
        <v>1221</v>
      </c>
      <c r="B1271" s="82">
        <f t="shared" si="158"/>
        <v>0</v>
      </c>
      <c r="C1271" s="58">
        <f t="shared" si="154"/>
        <v>104.50616427295054</v>
      </c>
      <c r="D1271" s="83">
        <f t="shared" si="159"/>
        <v>445.77777777777789</v>
      </c>
      <c r="E1271">
        <f t="shared" si="155"/>
        <v>0</v>
      </c>
      <c r="G1271">
        <v>1221</v>
      </c>
      <c r="H1271" s="13">
        <f t="shared" si="160"/>
        <v>1.8572577375266519E-2</v>
      </c>
      <c r="I1271">
        <f t="shared" si="161"/>
        <v>127.18328124815096</v>
      </c>
      <c r="J1271">
        <f t="shared" si="156"/>
        <v>475.68474072018898</v>
      </c>
      <c r="K1271" s="27">
        <f t="shared" si="157"/>
        <v>4202.6759473637221</v>
      </c>
    </row>
    <row r="1272" spans="1:11" x14ac:dyDescent="0.25">
      <c r="A1272" s="26">
        <v>1222</v>
      </c>
      <c r="B1272" s="82">
        <f t="shared" si="158"/>
        <v>0</v>
      </c>
      <c r="C1272" s="58">
        <f t="shared" si="154"/>
        <v>104.50616427295054</v>
      </c>
      <c r="D1272" s="83">
        <f t="shared" si="159"/>
        <v>445.77777777777789</v>
      </c>
      <c r="E1272">
        <f t="shared" si="155"/>
        <v>0</v>
      </c>
      <c r="G1272">
        <v>1222</v>
      </c>
      <c r="H1272" s="13">
        <f t="shared" si="160"/>
        <v>1.8572577375266519E-2</v>
      </c>
      <c r="I1272">
        <f t="shared" si="161"/>
        <v>127.20185382552623</v>
      </c>
      <c r="J1272">
        <f t="shared" si="156"/>
        <v>475.70148575331143</v>
      </c>
      <c r="K1272" s="27">
        <f t="shared" si="157"/>
        <v>4202.9717580451124</v>
      </c>
    </row>
    <row r="1273" spans="1:11" x14ac:dyDescent="0.25">
      <c r="A1273" s="26">
        <v>1223</v>
      </c>
      <c r="B1273" s="82">
        <f t="shared" si="158"/>
        <v>0</v>
      </c>
      <c r="C1273" s="58">
        <f t="shared" si="154"/>
        <v>104.50616427295054</v>
      </c>
      <c r="D1273" s="83">
        <f t="shared" si="159"/>
        <v>445.77777777777789</v>
      </c>
      <c r="E1273">
        <f t="shared" si="155"/>
        <v>0</v>
      </c>
      <c r="G1273">
        <v>1223</v>
      </c>
      <c r="H1273" s="13">
        <f t="shared" si="160"/>
        <v>1.8572577375266519E-2</v>
      </c>
      <c r="I1273">
        <f t="shared" si="161"/>
        <v>127.2204264029015</v>
      </c>
      <c r="J1273">
        <f t="shared" si="156"/>
        <v>475.71822239470475</v>
      </c>
      <c r="K1273" s="27">
        <f t="shared" si="157"/>
        <v>4203.2674308968672</v>
      </c>
    </row>
    <row r="1274" spans="1:11" x14ac:dyDescent="0.25">
      <c r="A1274" s="26">
        <v>1224</v>
      </c>
      <c r="B1274" s="82">
        <f t="shared" si="158"/>
        <v>0</v>
      </c>
      <c r="C1274" s="58">
        <f t="shared" si="154"/>
        <v>104.50616427295054</v>
      </c>
      <c r="D1274" s="83">
        <f t="shared" si="159"/>
        <v>445.77777777777789</v>
      </c>
      <c r="E1274">
        <f t="shared" si="155"/>
        <v>0</v>
      </c>
      <c r="G1274">
        <v>1224</v>
      </c>
      <c r="H1274" s="13">
        <f t="shared" si="160"/>
        <v>1.8572577375266519E-2</v>
      </c>
      <c r="I1274">
        <f t="shared" si="161"/>
        <v>127.23899898027676</v>
      </c>
      <c r="J1274">
        <f t="shared" si="156"/>
        <v>475.73495065002214</v>
      </c>
      <c r="K1274" s="27">
        <f t="shared" si="157"/>
        <v>4203.5629660031718</v>
      </c>
    </row>
    <row r="1275" spans="1:11" x14ac:dyDescent="0.25">
      <c r="A1275" s="26">
        <v>1225</v>
      </c>
      <c r="B1275" s="82">
        <f t="shared" si="158"/>
        <v>0</v>
      </c>
      <c r="C1275" s="58">
        <f t="shared" si="154"/>
        <v>104.50616427295054</v>
      </c>
      <c r="D1275" s="83">
        <f t="shared" si="159"/>
        <v>445.77777777777789</v>
      </c>
      <c r="E1275">
        <f t="shared" si="155"/>
        <v>0</v>
      </c>
      <c r="G1275">
        <v>1225</v>
      </c>
      <c r="H1275" s="13">
        <f t="shared" si="160"/>
        <v>1.8572577375266519E-2</v>
      </c>
      <c r="I1275">
        <f t="shared" si="161"/>
        <v>127.25757155765203</v>
      </c>
      <c r="J1275">
        <f t="shared" si="156"/>
        <v>475.7516705249086</v>
      </c>
      <c r="K1275" s="27">
        <f t="shared" si="157"/>
        <v>4203.8583634480965</v>
      </c>
    </row>
    <row r="1276" spans="1:11" x14ac:dyDescent="0.25">
      <c r="A1276" s="26">
        <v>1226</v>
      </c>
      <c r="B1276" s="82">
        <f t="shared" si="158"/>
        <v>0</v>
      </c>
      <c r="C1276" s="58">
        <f t="shared" si="154"/>
        <v>104.50616427295054</v>
      </c>
      <c r="D1276" s="83">
        <f t="shared" si="159"/>
        <v>445.77777777777789</v>
      </c>
      <c r="E1276">
        <f t="shared" si="155"/>
        <v>0</v>
      </c>
      <c r="G1276">
        <v>1226</v>
      </c>
      <c r="H1276" s="13">
        <f t="shared" si="160"/>
        <v>1.8572577375266519E-2</v>
      </c>
      <c r="I1276">
        <f t="shared" si="161"/>
        <v>127.27614413502729</v>
      </c>
      <c r="J1276">
        <f t="shared" si="156"/>
        <v>475.76838202500147</v>
      </c>
      <c r="K1276" s="27">
        <f t="shared" si="157"/>
        <v>4204.1536233155912</v>
      </c>
    </row>
    <row r="1277" spans="1:11" x14ac:dyDescent="0.25">
      <c r="A1277" s="26">
        <v>1227</v>
      </c>
      <c r="B1277" s="82">
        <f t="shared" si="158"/>
        <v>0</v>
      </c>
      <c r="C1277" s="58">
        <f t="shared" si="154"/>
        <v>104.50616427295054</v>
      </c>
      <c r="D1277" s="83">
        <f t="shared" si="159"/>
        <v>445.77777777777789</v>
      </c>
      <c r="E1277">
        <f t="shared" si="155"/>
        <v>0</v>
      </c>
      <c r="G1277">
        <v>1227</v>
      </c>
      <c r="H1277" s="13">
        <f t="shared" si="160"/>
        <v>1.8572577375266519E-2</v>
      </c>
      <c r="I1277">
        <f t="shared" si="161"/>
        <v>127.29471671240256</v>
      </c>
      <c r="J1277">
        <f t="shared" si="156"/>
        <v>475.78508515593006</v>
      </c>
      <c r="K1277" s="27">
        <f t="shared" si="157"/>
        <v>4204.4487456894904</v>
      </c>
    </row>
    <row r="1278" spans="1:11" x14ac:dyDescent="0.25">
      <c r="A1278" s="26">
        <v>1228</v>
      </c>
      <c r="B1278" s="82">
        <f t="shared" si="158"/>
        <v>0</v>
      </c>
      <c r="C1278" s="58">
        <f t="shared" si="154"/>
        <v>104.50616427295054</v>
      </c>
      <c r="D1278" s="83">
        <f t="shared" si="159"/>
        <v>445.77777777777789</v>
      </c>
      <c r="E1278">
        <f t="shared" si="155"/>
        <v>0</v>
      </c>
      <c r="G1278">
        <v>1228</v>
      </c>
      <c r="H1278" s="13">
        <f t="shared" si="160"/>
        <v>1.8572577375266519E-2</v>
      </c>
      <c r="I1278">
        <f t="shared" si="161"/>
        <v>127.31328928977783</v>
      </c>
      <c r="J1278">
        <f t="shared" si="156"/>
        <v>475.80177992331585</v>
      </c>
      <c r="K1278" s="27">
        <f t="shared" si="157"/>
        <v>4204.7437306535094</v>
      </c>
    </row>
    <row r="1279" spans="1:11" x14ac:dyDescent="0.25">
      <c r="A1279" s="26">
        <v>1229</v>
      </c>
      <c r="B1279" s="82">
        <f t="shared" si="158"/>
        <v>0</v>
      </c>
      <c r="C1279" s="58">
        <f t="shared" si="154"/>
        <v>104.50616427295054</v>
      </c>
      <c r="D1279" s="83">
        <f t="shared" si="159"/>
        <v>445.77777777777789</v>
      </c>
      <c r="E1279">
        <f t="shared" si="155"/>
        <v>0</v>
      </c>
      <c r="G1279">
        <v>1229</v>
      </c>
      <c r="H1279" s="13">
        <f t="shared" si="160"/>
        <v>1.8572577375266519E-2</v>
      </c>
      <c r="I1279">
        <f t="shared" si="161"/>
        <v>127.33186186715309</v>
      </c>
      <c r="J1279">
        <f t="shared" si="156"/>
        <v>475.81846633277252</v>
      </c>
      <c r="K1279" s="27">
        <f t="shared" si="157"/>
        <v>4205.038578291249</v>
      </c>
    </row>
    <row r="1280" spans="1:11" x14ac:dyDescent="0.25">
      <c r="A1280" s="26">
        <v>1230</v>
      </c>
      <c r="B1280" s="82">
        <f t="shared" si="158"/>
        <v>0</v>
      </c>
      <c r="C1280" s="58">
        <f t="shared" si="154"/>
        <v>104.50616427295054</v>
      </c>
      <c r="D1280" s="83">
        <f t="shared" si="159"/>
        <v>445.77777777777789</v>
      </c>
      <c r="E1280">
        <f t="shared" si="155"/>
        <v>0</v>
      </c>
      <c r="G1280">
        <v>1230</v>
      </c>
      <c r="H1280" s="13">
        <f t="shared" si="160"/>
        <v>1.8572577375266519E-2</v>
      </c>
      <c r="I1280">
        <f t="shared" si="161"/>
        <v>127.35043444452836</v>
      </c>
      <c r="J1280">
        <f t="shared" si="156"/>
        <v>475.83514438990585</v>
      </c>
      <c r="K1280" s="27">
        <f t="shared" si="157"/>
        <v>4205.3332886861917</v>
      </c>
    </row>
    <row r="1281" spans="1:11" x14ac:dyDescent="0.25">
      <c r="A1281" s="26">
        <v>1231</v>
      </c>
      <c r="B1281" s="82">
        <f t="shared" si="158"/>
        <v>0</v>
      </c>
      <c r="C1281" s="58">
        <f t="shared" si="154"/>
        <v>104.50616427295054</v>
      </c>
      <c r="D1281" s="83">
        <f t="shared" si="159"/>
        <v>445.77777777777789</v>
      </c>
      <c r="E1281">
        <f t="shared" si="155"/>
        <v>0</v>
      </c>
      <c r="G1281">
        <v>1231</v>
      </c>
      <c r="H1281" s="13">
        <f t="shared" si="160"/>
        <v>1.8572577375266519E-2</v>
      </c>
      <c r="I1281">
        <f t="shared" si="161"/>
        <v>127.36900702190363</v>
      </c>
      <c r="J1281">
        <f t="shared" si="156"/>
        <v>475.85181410031396</v>
      </c>
      <c r="K1281" s="27">
        <f t="shared" si="157"/>
        <v>4205.6278619217055</v>
      </c>
    </row>
    <row r="1282" spans="1:11" x14ac:dyDescent="0.25">
      <c r="A1282" s="26">
        <v>1232</v>
      </c>
      <c r="B1282" s="82">
        <f t="shared" si="158"/>
        <v>0</v>
      </c>
      <c r="C1282" s="58">
        <f t="shared" si="154"/>
        <v>104.50616427295054</v>
      </c>
      <c r="D1282" s="83">
        <f t="shared" si="159"/>
        <v>445.77777777777789</v>
      </c>
      <c r="E1282">
        <f t="shared" si="155"/>
        <v>0</v>
      </c>
      <c r="G1282">
        <v>1232</v>
      </c>
      <c r="H1282" s="13">
        <f t="shared" si="160"/>
        <v>1.8572577375266519E-2</v>
      </c>
      <c r="I1282">
        <f t="shared" si="161"/>
        <v>127.38757959927889</v>
      </c>
      <c r="J1282">
        <f t="shared" si="156"/>
        <v>475.86847546958688</v>
      </c>
      <c r="K1282" s="27">
        <f t="shared" si="157"/>
        <v>4205.92229808104</v>
      </c>
    </row>
    <row r="1283" spans="1:11" x14ac:dyDescent="0.25">
      <c r="A1283" s="26">
        <v>1233</v>
      </c>
      <c r="B1283" s="82">
        <f t="shared" si="158"/>
        <v>0</v>
      </c>
      <c r="C1283" s="58">
        <f t="shared" si="154"/>
        <v>104.50616427295054</v>
      </c>
      <c r="D1283" s="83">
        <f t="shared" si="159"/>
        <v>445.77777777777789</v>
      </c>
      <c r="E1283">
        <f t="shared" si="155"/>
        <v>0</v>
      </c>
      <c r="G1283">
        <v>1233</v>
      </c>
      <c r="H1283" s="13">
        <f t="shared" si="160"/>
        <v>1.8572577375266519E-2</v>
      </c>
      <c r="I1283">
        <f t="shared" si="161"/>
        <v>127.40615217665416</v>
      </c>
      <c r="J1283">
        <f t="shared" si="156"/>
        <v>475.88512850330721</v>
      </c>
      <c r="K1283" s="27">
        <f t="shared" si="157"/>
        <v>4206.2165972473331</v>
      </c>
    </row>
    <row r="1284" spans="1:11" x14ac:dyDescent="0.25">
      <c r="A1284" s="26">
        <v>1234</v>
      </c>
      <c r="B1284" s="82">
        <f t="shared" si="158"/>
        <v>0</v>
      </c>
      <c r="C1284" s="58">
        <f t="shared" si="154"/>
        <v>104.50616427295054</v>
      </c>
      <c r="D1284" s="83">
        <f t="shared" si="159"/>
        <v>445.77777777777789</v>
      </c>
      <c r="E1284">
        <f t="shared" si="155"/>
        <v>0</v>
      </c>
      <c r="G1284">
        <v>1234</v>
      </c>
      <c r="H1284" s="13">
        <f t="shared" si="160"/>
        <v>1.8572577375266519E-2</v>
      </c>
      <c r="I1284">
        <f t="shared" si="161"/>
        <v>127.42472475402943</v>
      </c>
      <c r="J1284">
        <f t="shared" si="156"/>
        <v>475.90177320704953</v>
      </c>
      <c r="K1284" s="27">
        <f t="shared" si="157"/>
        <v>4206.5107595036006</v>
      </c>
    </row>
    <row r="1285" spans="1:11" x14ac:dyDescent="0.25">
      <c r="A1285" s="26">
        <v>1235</v>
      </c>
      <c r="B1285" s="82">
        <f t="shared" si="158"/>
        <v>0</v>
      </c>
      <c r="C1285" s="58">
        <f t="shared" si="154"/>
        <v>104.50616427295054</v>
      </c>
      <c r="D1285" s="83">
        <f t="shared" si="159"/>
        <v>445.77777777777789</v>
      </c>
      <c r="E1285">
        <f t="shared" si="155"/>
        <v>0</v>
      </c>
      <c r="G1285">
        <v>1235</v>
      </c>
      <c r="H1285" s="13">
        <f t="shared" si="160"/>
        <v>1.8572577375266519E-2</v>
      </c>
      <c r="I1285">
        <f t="shared" si="161"/>
        <v>127.44329733140469</v>
      </c>
      <c r="J1285">
        <f t="shared" si="156"/>
        <v>475.91840958638073</v>
      </c>
      <c r="K1285" s="27">
        <f t="shared" si="157"/>
        <v>4206.8047849327486</v>
      </c>
    </row>
    <row r="1286" spans="1:11" x14ac:dyDescent="0.25">
      <c r="A1286" s="26">
        <v>1236</v>
      </c>
      <c r="B1286" s="82">
        <f t="shared" si="158"/>
        <v>0</v>
      </c>
      <c r="C1286" s="58">
        <f t="shared" si="154"/>
        <v>104.50616427295054</v>
      </c>
      <c r="D1286" s="83">
        <f t="shared" si="159"/>
        <v>445.77777777777789</v>
      </c>
      <c r="E1286">
        <f t="shared" si="155"/>
        <v>0</v>
      </c>
      <c r="G1286">
        <v>1236</v>
      </c>
      <c r="H1286" s="13">
        <f t="shared" si="160"/>
        <v>1.8572577375266519E-2</v>
      </c>
      <c r="I1286">
        <f t="shared" si="161"/>
        <v>127.46186990877996</v>
      </c>
      <c r="J1286">
        <f t="shared" si="156"/>
        <v>475.93503764686</v>
      </c>
      <c r="K1286" s="27">
        <f t="shared" si="157"/>
        <v>4207.0986736175637</v>
      </c>
    </row>
    <row r="1287" spans="1:11" x14ac:dyDescent="0.25">
      <c r="A1287" s="26">
        <v>1237</v>
      </c>
      <c r="B1287" s="82">
        <f t="shared" si="158"/>
        <v>0</v>
      </c>
      <c r="C1287" s="58">
        <f t="shared" si="154"/>
        <v>104.50616427295054</v>
      </c>
      <c r="D1287" s="83">
        <f t="shared" si="159"/>
        <v>445.77777777777789</v>
      </c>
      <c r="E1287">
        <f t="shared" si="155"/>
        <v>0</v>
      </c>
      <c r="G1287">
        <v>1237</v>
      </c>
      <c r="H1287" s="13">
        <f t="shared" si="160"/>
        <v>1.8572577375266519E-2</v>
      </c>
      <c r="I1287">
        <f t="shared" si="161"/>
        <v>127.48044248615523</v>
      </c>
      <c r="J1287">
        <f t="shared" si="156"/>
        <v>475.9516573940387</v>
      </c>
      <c r="K1287" s="27">
        <f t="shared" si="157"/>
        <v>4207.3924256407217</v>
      </c>
    </row>
    <row r="1288" spans="1:11" x14ac:dyDescent="0.25">
      <c r="A1288" s="26">
        <v>1238</v>
      </c>
      <c r="B1288" s="82">
        <f t="shared" si="158"/>
        <v>0</v>
      </c>
      <c r="C1288" s="58">
        <f t="shared" si="154"/>
        <v>104.50616427295054</v>
      </c>
      <c r="D1288" s="83">
        <f t="shared" si="159"/>
        <v>445.77777777777789</v>
      </c>
      <c r="E1288">
        <f t="shared" si="155"/>
        <v>0</v>
      </c>
      <c r="G1288">
        <v>1238</v>
      </c>
      <c r="H1288" s="13">
        <f t="shared" si="160"/>
        <v>1.8572577375266519E-2</v>
      </c>
      <c r="I1288">
        <f t="shared" si="161"/>
        <v>127.49901506353049</v>
      </c>
      <c r="J1288">
        <f t="shared" si="156"/>
        <v>475.96826883346068</v>
      </c>
      <c r="K1288" s="27">
        <f t="shared" si="157"/>
        <v>4207.6860410847794</v>
      </c>
    </row>
    <row r="1289" spans="1:11" x14ac:dyDescent="0.25">
      <c r="A1289" s="26">
        <v>1239</v>
      </c>
      <c r="B1289" s="82">
        <f t="shared" si="158"/>
        <v>0</v>
      </c>
      <c r="C1289" s="58">
        <f t="shared" si="154"/>
        <v>104.50616427295054</v>
      </c>
      <c r="D1289" s="83">
        <f t="shared" si="159"/>
        <v>445.77777777777789</v>
      </c>
      <c r="E1289">
        <f t="shared" si="155"/>
        <v>0</v>
      </c>
      <c r="G1289">
        <v>1239</v>
      </c>
      <c r="H1289" s="13">
        <f t="shared" si="160"/>
        <v>1.8572577375266519E-2</v>
      </c>
      <c r="I1289">
        <f t="shared" si="161"/>
        <v>127.51758764090576</v>
      </c>
      <c r="J1289">
        <f t="shared" si="156"/>
        <v>475.98487197066191</v>
      </c>
      <c r="K1289" s="27">
        <f t="shared" si="157"/>
        <v>4207.9795200321832</v>
      </c>
    </row>
    <row r="1290" spans="1:11" x14ac:dyDescent="0.25">
      <c r="A1290" s="26">
        <v>1240</v>
      </c>
      <c r="B1290" s="82">
        <f t="shared" si="158"/>
        <v>0</v>
      </c>
      <c r="C1290" s="58">
        <f t="shared" si="154"/>
        <v>104.50616427295054</v>
      </c>
      <c r="D1290" s="83">
        <f t="shared" si="159"/>
        <v>445.77777777777789</v>
      </c>
      <c r="E1290">
        <f t="shared" si="155"/>
        <v>0</v>
      </c>
      <c r="G1290">
        <v>1240</v>
      </c>
      <c r="H1290" s="13">
        <f t="shared" si="160"/>
        <v>1.8572577375266519E-2</v>
      </c>
      <c r="I1290">
        <f t="shared" si="161"/>
        <v>127.53616021828103</v>
      </c>
      <c r="J1290">
        <f t="shared" si="156"/>
        <v>476.00146681117076</v>
      </c>
      <c r="K1290" s="27">
        <f t="shared" si="157"/>
        <v>4208.2728625652626</v>
      </c>
    </row>
    <row r="1291" spans="1:11" x14ac:dyDescent="0.25">
      <c r="A1291" s="26">
        <v>1241</v>
      </c>
      <c r="B1291" s="82">
        <f t="shared" si="158"/>
        <v>0</v>
      </c>
      <c r="C1291" s="58">
        <f t="shared" si="154"/>
        <v>104.50616427295054</v>
      </c>
      <c r="D1291" s="83">
        <f t="shared" si="159"/>
        <v>445.77777777777789</v>
      </c>
      <c r="E1291">
        <f t="shared" si="155"/>
        <v>0</v>
      </c>
      <c r="G1291">
        <v>1241</v>
      </c>
      <c r="H1291" s="13">
        <f t="shared" si="160"/>
        <v>1.8572577375266519E-2</v>
      </c>
      <c r="I1291">
        <f t="shared" si="161"/>
        <v>127.55473279565629</v>
      </c>
      <c r="J1291">
        <f t="shared" si="156"/>
        <v>476.01805336050791</v>
      </c>
      <c r="K1291" s="27">
        <f t="shared" si="157"/>
        <v>4208.5660687662303</v>
      </c>
    </row>
    <row r="1292" spans="1:11" x14ac:dyDescent="0.25">
      <c r="A1292" s="26">
        <v>1242</v>
      </c>
      <c r="B1292" s="82">
        <f t="shared" si="158"/>
        <v>0</v>
      </c>
      <c r="C1292" s="58">
        <f t="shared" si="154"/>
        <v>104.50616427295054</v>
      </c>
      <c r="D1292" s="83">
        <f t="shared" si="159"/>
        <v>445.77777777777789</v>
      </c>
      <c r="E1292">
        <f t="shared" si="155"/>
        <v>0</v>
      </c>
      <c r="G1292">
        <v>1242</v>
      </c>
      <c r="H1292" s="13">
        <f t="shared" si="160"/>
        <v>1.8572577375266519E-2</v>
      </c>
      <c r="I1292">
        <f t="shared" si="161"/>
        <v>127.57330537303156</v>
      </c>
      <c r="J1292">
        <f t="shared" si="156"/>
        <v>476.03463162418632</v>
      </c>
      <c r="K1292" s="27">
        <f t="shared" si="157"/>
        <v>4208.8591387171909</v>
      </c>
    </row>
    <row r="1293" spans="1:11" x14ac:dyDescent="0.25">
      <c r="A1293" s="26">
        <v>1243</v>
      </c>
      <c r="B1293" s="82">
        <f t="shared" si="158"/>
        <v>0</v>
      </c>
      <c r="C1293" s="58">
        <f t="shared" si="154"/>
        <v>104.50616427295054</v>
      </c>
      <c r="D1293" s="83">
        <f t="shared" si="159"/>
        <v>445.77777777777789</v>
      </c>
      <c r="E1293">
        <f t="shared" si="155"/>
        <v>0</v>
      </c>
      <c r="G1293">
        <v>1243</v>
      </c>
      <c r="H1293" s="13">
        <f t="shared" si="160"/>
        <v>1.8572577375266519E-2</v>
      </c>
      <c r="I1293">
        <f t="shared" si="161"/>
        <v>127.59187795040683</v>
      </c>
      <c r="J1293">
        <f t="shared" si="156"/>
        <v>476.0512016077115</v>
      </c>
      <c r="K1293" s="27">
        <f t="shared" si="157"/>
        <v>4209.1520725001328</v>
      </c>
    </row>
    <row r="1294" spans="1:11" x14ac:dyDescent="0.25">
      <c r="A1294" s="26">
        <v>1244</v>
      </c>
      <c r="B1294" s="82">
        <f t="shared" si="158"/>
        <v>0</v>
      </c>
      <c r="C1294" s="58">
        <f t="shared" si="154"/>
        <v>104.50616427295054</v>
      </c>
      <c r="D1294" s="83">
        <f t="shared" si="159"/>
        <v>445.77777777777789</v>
      </c>
      <c r="E1294">
        <f t="shared" si="155"/>
        <v>0</v>
      </c>
      <c r="G1294">
        <v>1244</v>
      </c>
      <c r="H1294" s="13">
        <f t="shared" si="160"/>
        <v>1.8572577375266519E-2</v>
      </c>
      <c r="I1294">
        <f t="shared" si="161"/>
        <v>127.61045052778209</v>
      </c>
      <c r="J1294">
        <f t="shared" si="156"/>
        <v>476.06776331658114</v>
      </c>
      <c r="K1294" s="27">
        <f t="shared" si="157"/>
        <v>4209.4448701969295</v>
      </c>
    </row>
    <row r="1295" spans="1:11" x14ac:dyDescent="0.25">
      <c r="A1295" s="26">
        <v>1245</v>
      </c>
      <c r="B1295" s="82">
        <f t="shared" si="158"/>
        <v>0</v>
      </c>
      <c r="C1295" s="58">
        <f t="shared" si="154"/>
        <v>104.50616427295054</v>
      </c>
      <c r="D1295" s="83">
        <f t="shared" si="159"/>
        <v>445.77777777777789</v>
      </c>
      <c r="E1295">
        <f t="shared" si="155"/>
        <v>0</v>
      </c>
      <c r="G1295">
        <v>1245</v>
      </c>
      <c r="H1295" s="13">
        <f t="shared" si="160"/>
        <v>1.8572577375266519E-2</v>
      </c>
      <c r="I1295">
        <f t="shared" si="161"/>
        <v>127.62902310515736</v>
      </c>
      <c r="J1295">
        <f t="shared" si="156"/>
        <v>476.08431675628549</v>
      </c>
      <c r="K1295" s="27">
        <f t="shared" si="157"/>
        <v>4209.7375318893419</v>
      </c>
    </row>
    <row r="1296" spans="1:11" x14ac:dyDescent="0.25">
      <c r="A1296" s="26">
        <v>1246</v>
      </c>
      <c r="B1296" s="82">
        <f t="shared" si="158"/>
        <v>0</v>
      </c>
      <c r="C1296" s="58">
        <f t="shared" ref="C1296:C1359" si="162">($C$37-$C$36)/2000+C1295</f>
        <v>104.50616427295054</v>
      </c>
      <c r="D1296" s="83">
        <f t="shared" si="159"/>
        <v>445.77777777777789</v>
      </c>
      <c r="E1296">
        <f t="shared" si="155"/>
        <v>0</v>
      </c>
      <c r="G1296">
        <v>1246</v>
      </c>
      <c r="H1296" s="13">
        <f t="shared" si="160"/>
        <v>1.8572577375266519E-2</v>
      </c>
      <c r="I1296">
        <f t="shared" si="161"/>
        <v>127.64759568253263</v>
      </c>
      <c r="J1296">
        <f t="shared" si="156"/>
        <v>476.100861932307</v>
      </c>
      <c r="K1296" s="27">
        <f t="shared" si="157"/>
        <v>4210.0300576590198</v>
      </c>
    </row>
    <row r="1297" spans="1:11" x14ac:dyDescent="0.25">
      <c r="A1297" s="26">
        <v>1247</v>
      </c>
      <c r="B1297" s="82">
        <f t="shared" si="158"/>
        <v>0</v>
      </c>
      <c r="C1297" s="58">
        <f t="shared" si="162"/>
        <v>104.50616427295054</v>
      </c>
      <c r="D1297" s="83">
        <f t="shared" si="159"/>
        <v>445.77777777777789</v>
      </c>
      <c r="E1297">
        <f t="shared" si="155"/>
        <v>0</v>
      </c>
      <c r="G1297">
        <v>1247</v>
      </c>
      <c r="H1297" s="13">
        <f t="shared" si="160"/>
        <v>1.8572577375266519E-2</v>
      </c>
      <c r="I1297">
        <f t="shared" si="161"/>
        <v>127.66616825990789</v>
      </c>
      <c r="J1297">
        <f t="shared" si="156"/>
        <v>476.11739885012076</v>
      </c>
      <c r="K1297" s="27">
        <f t="shared" si="157"/>
        <v>4210.3224475874986</v>
      </c>
    </row>
    <row r="1298" spans="1:11" x14ac:dyDescent="0.25">
      <c r="A1298" s="26">
        <v>1248</v>
      </c>
      <c r="B1298" s="82">
        <f t="shared" si="158"/>
        <v>0</v>
      </c>
      <c r="C1298" s="58">
        <f t="shared" si="162"/>
        <v>104.50616427295054</v>
      </c>
      <c r="D1298" s="83">
        <f t="shared" si="159"/>
        <v>445.77777777777789</v>
      </c>
      <c r="E1298">
        <f t="shared" si="155"/>
        <v>0</v>
      </c>
      <c r="G1298">
        <v>1248</v>
      </c>
      <c r="H1298" s="13">
        <f t="shared" si="160"/>
        <v>1.8572577375266519E-2</v>
      </c>
      <c r="I1298">
        <f t="shared" si="161"/>
        <v>127.68474083728316</v>
      </c>
      <c r="J1298">
        <f t="shared" si="156"/>
        <v>476.13392751519416</v>
      </c>
      <c r="K1298" s="27">
        <f t="shared" si="157"/>
        <v>4210.6147017561998</v>
      </c>
    </row>
    <row r="1299" spans="1:11" x14ac:dyDescent="0.25">
      <c r="A1299" s="26">
        <v>1249</v>
      </c>
      <c r="B1299" s="82">
        <f t="shared" si="158"/>
        <v>0</v>
      </c>
      <c r="C1299" s="58">
        <f t="shared" si="162"/>
        <v>104.50616427295054</v>
      </c>
      <c r="D1299" s="83">
        <f t="shared" si="159"/>
        <v>445.77777777777789</v>
      </c>
      <c r="E1299">
        <f t="shared" si="155"/>
        <v>0</v>
      </c>
      <c r="G1299">
        <v>1249</v>
      </c>
      <c r="H1299" s="13">
        <f t="shared" si="160"/>
        <v>1.8572577375266519E-2</v>
      </c>
      <c r="I1299">
        <f t="shared" si="161"/>
        <v>127.70331341465842</v>
      </c>
      <c r="J1299">
        <f t="shared" si="156"/>
        <v>476.15044793298716</v>
      </c>
      <c r="K1299" s="27">
        <f t="shared" si="157"/>
        <v>4210.906820246435</v>
      </c>
    </row>
    <row r="1300" spans="1:11" x14ac:dyDescent="0.25">
      <c r="A1300" s="26">
        <v>1250</v>
      </c>
      <c r="B1300" s="82">
        <f t="shared" si="158"/>
        <v>0</v>
      </c>
      <c r="C1300" s="58">
        <f t="shared" si="162"/>
        <v>104.50616427295054</v>
      </c>
      <c r="D1300" s="83">
        <f t="shared" si="159"/>
        <v>445.77777777777789</v>
      </c>
      <c r="E1300">
        <f t="shared" si="155"/>
        <v>0</v>
      </c>
      <c r="G1300">
        <v>1250</v>
      </c>
      <c r="H1300" s="13">
        <f t="shared" si="160"/>
        <v>1.8572577375266519E-2</v>
      </c>
      <c r="I1300">
        <f t="shared" si="161"/>
        <v>127.72188599203369</v>
      </c>
      <c r="J1300">
        <f t="shared" si="156"/>
        <v>476.16696010895197</v>
      </c>
      <c r="K1300" s="27">
        <f t="shared" si="157"/>
        <v>4211.1988031394003</v>
      </c>
    </row>
    <row r="1301" spans="1:11" x14ac:dyDescent="0.25">
      <c r="A1301" s="26">
        <v>1251</v>
      </c>
      <c r="B1301" s="82">
        <f t="shared" si="158"/>
        <v>0</v>
      </c>
      <c r="C1301" s="58">
        <f t="shared" si="162"/>
        <v>104.50616427295054</v>
      </c>
      <c r="D1301" s="83">
        <f t="shared" si="159"/>
        <v>445.77777777777789</v>
      </c>
      <c r="E1301">
        <f t="shared" si="155"/>
        <v>0</v>
      </c>
      <c r="G1301">
        <v>1251</v>
      </c>
      <c r="H1301" s="13">
        <f t="shared" si="160"/>
        <v>1.8572577375266519E-2</v>
      </c>
      <c r="I1301">
        <f t="shared" si="161"/>
        <v>127.74045856940896</v>
      </c>
      <c r="J1301">
        <f t="shared" si="156"/>
        <v>476.18346404853344</v>
      </c>
      <c r="K1301" s="27">
        <f t="shared" si="157"/>
        <v>4211.4906505161853</v>
      </c>
    </row>
    <row r="1302" spans="1:11" x14ac:dyDescent="0.25">
      <c r="A1302" s="26">
        <v>1252</v>
      </c>
      <c r="B1302" s="82">
        <f t="shared" si="158"/>
        <v>0</v>
      </c>
      <c r="C1302" s="58">
        <f t="shared" si="162"/>
        <v>104.50616427295054</v>
      </c>
      <c r="D1302" s="83">
        <f t="shared" si="159"/>
        <v>445.77777777777789</v>
      </c>
      <c r="E1302">
        <f t="shared" si="155"/>
        <v>0</v>
      </c>
      <c r="G1302">
        <v>1252</v>
      </c>
      <c r="H1302" s="13">
        <f t="shared" si="160"/>
        <v>1.8572577375266519E-2</v>
      </c>
      <c r="I1302">
        <f t="shared" si="161"/>
        <v>127.75903114678422</v>
      </c>
      <c r="J1302">
        <f t="shared" si="156"/>
        <v>476.19995975716898</v>
      </c>
      <c r="K1302" s="27">
        <f t="shared" si="157"/>
        <v>4211.7823624577622</v>
      </c>
    </row>
    <row r="1303" spans="1:11" x14ac:dyDescent="0.25">
      <c r="A1303" s="26">
        <v>1253</v>
      </c>
      <c r="B1303" s="82">
        <f t="shared" si="158"/>
        <v>0</v>
      </c>
      <c r="C1303" s="58">
        <f t="shared" si="162"/>
        <v>104.50616427295054</v>
      </c>
      <c r="D1303" s="83">
        <f t="shared" si="159"/>
        <v>445.77777777777789</v>
      </c>
      <c r="E1303">
        <f t="shared" si="155"/>
        <v>0</v>
      </c>
      <c r="G1303">
        <v>1253</v>
      </c>
      <c r="H1303" s="13">
        <f t="shared" si="160"/>
        <v>1.8572577375266519E-2</v>
      </c>
      <c r="I1303">
        <f t="shared" si="161"/>
        <v>127.77760372415949</v>
      </c>
      <c r="J1303">
        <f t="shared" si="156"/>
        <v>476.21644724028835</v>
      </c>
      <c r="K1303" s="27">
        <f t="shared" si="157"/>
        <v>4212.0739390449944</v>
      </c>
    </row>
    <row r="1304" spans="1:11" x14ac:dyDescent="0.25">
      <c r="A1304" s="26">
        <v>1254</v>
      </c>
      <c r="B1304" s="82">
        <f t="shared" si="158"/>
        <v>0</v>
      </c>
      <c r="C1304" s="58">
        <f t="shared" si="162"/>
        <v>104.50616427295054</v>
      </c>
      <c r="D1304" s="83">
        <f t="shared" si="159"/>
        <v>445.77777777777789</v>
      </c>
      <c r="E1304">
        <f t="shared" si="155"/>
        <v>0</v>
      </c>
      <c r="G1304">
        <v>1254</v>
      </c>
      <c r="H1304" s="13">
        <f t="shared" si="160"/>
        <v>1.8572577375266519E-2</v>
      </c>
      <c r="I1304">
        <f t="shared" si="161"/>
        <v>127.79617630153476</v>
      </c>
      <c r="J1304">
        <f t="shared" si="156"/>
        <v>476.23292650331382</v>
      </c>
      <c r="K1304" s="27">
        <f t="shared" si="157"/>
        <v>4212.365380358634</v>
      </c>
    </row>
    <row r="1305" spans="1:11" x14ac:dyDescent="0.25">
      <c r="A1305" s="26">
        <v>1255</v>
      </c>
      <c r="B1305" s="82">
        <f t="shared" si="158"/>
        <v>0</v>
      </c>
      <c r="C1305" s="58">
        <f t="shared" si="162"/>
        <v>104.50616427295054</v>
      </c>
      <c r="D1305" s="83">
        <f t="shared" si="159"/>
        <v>445.77777777777789</v>
      </c>
      <c r="E1305">
        <f t="shared" si="155"/>
        <v>0</v>
      </c>
      <c r="G1305">
        <v>1255</v>
      </c>
      <c r="H1305" s="13">
        <f t="shared" si="160"/>
        <v>1.8572577375266519E-2</v>
      </c>
      <c r="I1305">
        <f t="shared" si="161"/>
        <v>127.81474887891002</v>
      </c>
      <c r="J1305">
        <f t="shared" si="156"/>
        <v>476.24939755166042</v>
      </c>
      <c r="K1305" s="27">
        <f t="shared" si="157"/>
        <v>4212.6566864793213</v>
      </c>
    </row>
    <row r="1306" spans="1:11" x14ac:dyDescent="0.25">
      <c r="A1306" s="26">
        <v>1256</v>
      </c>
      <c r="B1306" s="82">
        <f t="shared" si="158"/>
        <v>0</v>
      </c>
      <c r="C1306" s="58">
        <f t="shared" si="162"/>
        <v>104.50616427295054</v>
      </c>
      <c r="D1306" s="83">
        <f t="shared" si="159"/>
        <v>445.77777777777789</v>
      </c>
      <c r="E1306">
        <f t="shared" si="155"/>
        <v>0</v>
      </c>
      <c r="G1306">
        <v>1256</v>
      </c>
      <c r="H1306" s="13">
        <f t="shared" si="160"/>
        <v>1.8572577375266519E-2</v>
      </c>
      <c r="I1306">
        <f t="shared" si="161"/>
        <v>127.83332145628529</v>
      </c>
      <c r="J1306">
        <f t="shared" si="156"/>
        <v>476.26586039073544</v>
      </c>
      <c r="K1306" s="27">
        <f t="shared" si="157"/>
        <v>4212.9478574875839</v>
      </c>
    </row>
    <row r="1307" spans="1:11" x14ac:dyDescent="0.25">
      <c r="A1307" s="26">
        <v>1257</v>
      </c>
      <c r="B1307" s="82">
        <f t="shared" si="158"/>
        <v>0</v>
      </c>
      <c r="C1307" s="58">
        <f t="shared" si="162"/>
        <v>104.50616427295054</v>
      </c>
      <c r="D1307" s="83">
        <f t="shared" si="159"/>
        <v>445.77777777777789</v>
      </c>
      <c r="E1307">
        <f t="shared" si="155"/>
        <v>0</v>
      </c>
      <c r="G1307">
        <v>1257</v>
      </c>
      <c r="H1307" s="13">
        <f t="shared" si="160"/>
        <v>1.8572577375266519E-2</v>
      </c>
      <c r="I1307">
        <f t="shared" si="161"/>
        <v>127.85189403366056</v>
      </c>
      <c r="J1307">
        <f t="shared" si="156"/>
        <v>476.28231502593894</v>
      </c>
      <c r="K1307" s="27">
        <f t="shared" si="157"/>
        <v>4213.2388934638439</v>
      </c>
    </row>
    <row r="1308" spans="1:11" x14ac:dyDescent="0.25">
      <c r="A1308" s="26">
        <v>1258</v>
      </c>
      <c r="B1308" s="82">
        <f t="shared" si="158"/>
        <v>0</v>
      </c>
      <c r="C1308" s="58">
        <f t="shared" si="162"/>
        <v>104.50616427295054</v>
      </c>
      <c r="D1308" s="83">
        <f t="shared" si="159"/>
        <v>445.77777777777789</v>
      </c>
      <c r="E1308">
        <f t="shared" si="155"/>
        <v>0</v>
      </c>
      <c r="G1308">
        <v>1258</v>
      </c>
      <c r="H1308" s="13">
        <f t="shared" si="160"/>
        <v>1.8572577375266519E-2</v>
      </c>
      <c r="I1308">
        <f t="shared" si="161"/>
        <v>127.87046661103582</v>
      </c>
      <c r="J1308">
        <f t="shared" si="156"/>
        <v>476.29876146266349</v>
      </c>
      <c r="K1308" s="27">
        <f t="shared" si="157"/>
        <v>4213.5297944884069</v>
      </c>
    </row>
    <row r="1309" spans="1:11" x14ac:dyDescent="0.25">
      <c r="A1309" s="26">
        <v>1259</v>
      </c>
      <c r="B1309" s="82">
        <f t="shared" si="158"/>
        <v>0</v>
      </c>
      <c r="C1309" s="58">
        <f t="shared" si="162"/>
        <v>104.50616427295054</v>
      </c>
      <c r="D1309" s="83">
        <f t="shared" si="159"/>
        <v>445.77777777777789</v>
      </c>
      <c r="E1309">
        <f t="shared" si="155"/>
        <v>0</v>
      </c>
      <c r="G1309">
        <v>1259</v>
      </c>
      <c r="H1309" s="13">
        <f t="shared" si="160"/>
        <v>1.8572577375266519E-2</v>
      </c>
      <c r="I1309">
        <f t="shared" si="161"/>
        <v>127.88903918841109</v>
      </c>
      <c r="J1309">
        <f t="shared" si="156"/>
        <v>476.31519970629421</v>
      </c>
      <c r="K1309" s="27">
        <f t="shared" si="157"/>
        <v>4213.8205606414722</v>
      </c>
    </row>
    <row r="1310" spans="1:11" x14ac:dyDescent="0.25">
      <c r="A1310" s="26">
        <v>1260</v>
      </c>
      <c r="B1310" s="82">
        <f t="shared" si="158"/>
        <v>0</v>
      </c>
      <c r="C1310" s="58">
        <f t="shared" si="162"/>
        <v>104.50616427295054</v>
      </c>
      <c r="D1310" s="83">
        <f t="shared" si="159"/>
        <v>445.77777777777789</v>
      </c>
      <c r="E1310">
        <f t="shared" si="155"/>
        <v>0</v>
      </c>
      <c r="G1310">
        <v>1260</v>
      </c>
      <c r="H1310" s="13">
        <f t="shared" si="160"/>
        <v>1.8572577375266519E-2</v>
      </c>
      <c r="I1310">
        <f t="shared" si="161"/>
        <v>127.90761176578636</v>
      </c>
      <c r="J1310">
        <f t="shared" si="156"/>
        <v>476.33162976220888</v>
      </c>
      <c r="K1310" s="27">
        <f t="shared" si="157"/>
        <v>4214.1111920031262</v>
      </c>
    </row>
    <row r="1311" spans="1:11" x14ac:dyDescent="0.25">
      <c r="A1311" s="26">
        <v>1261</v>
      </c>
      <c r="B1311" s="82">
        <f t="shared" si="158"/>
        <v>0</v>
      </c>
      <c r="C1311" s="58">
        <f t="shared" si="162"/>
        <v>104.50616427295054</v>
      </c>
      <c r="D1311" s="83">
        <f t="shared" si="159"/>
        <v>445.77777777777789</v>
      </c>
      <c r="E1311">
        <f t="shared" si="155"/>
        <v>0</v>
      </c>
      <c r="G1311">
        <v>1261</v>
      </c>
      <c r="H1311" s="13">
        <f t="shared" si="160"/>
        <v>1.8572577375266519E-2</v>
      </c>
      <c r="I1311">
        <f t="shared" si="161"/>
        <v>127.92618434316162</v>
      </c>
      <c r="J1311">
        <f t="shared" si="156"/>
        <v>476.34805163577789</v>
      </c>
      <c r="K1311" s="27">
        <f t="shared" si="157"/>
        <v>4214.4016886533491</v>
      </c>
    </row>
    <row r="1312" spans="1:11" x14ac:dyDescent="0.25">
      <c r="A1312" s="26">
        <v>1262</v>
      </c>
      <c r="B1312" s="82">
        <f t="shared" si="158"/>
        <v>0</v>
      </c>
      <c r="C1312" s="58">
        <f t="shared" si="162"/>
        <v>104.50616427295054</v>
      </c>
      <c r="D1312" s="83">
        <f t="shared" si="159"/>
        <v>445.77777777777789</v>
      </c>
      <c r="E1312">
        <f t="shared" si="155"/>
        <v>0</v>
      </c>
      <c r="G1312">
        <v>1262</v>
      </c>
      <c r="H1312" s="13">
        <f t="shared" si="160"/>
        <v>1.8572577375266519E-2</v>
      </c>
      <c r="I1312">
        <f t="shared" si="161"/>
        <v>127.94475692053689</v>
      </c>
      <c r="J1312">
        <f t="shared" si="156"/>
        <v>476.36446533236426</v>
      </c>
      <c r="K1312" s="27">
        <f t="shared" si="157"/>
        <v>4214.692050672008</v>
      </c>
    </row>
    <row r="1313" spans="1:11" x14ac:dyDescent="0.25">
      <c r="A1313" s="26">
        <v>1263</v>
      </c>
      <c r="B1313" s="82">
        <f t="shared" si="158"/>
        <v>0</v>
      </c>
      <c r="C1313" s="58">
        <f t="shared" si="162"/>
        <v>104.50616427295054</v>
      </c>
      <c r="D1313" s="83">
        <f t="shared" si="159"/>
        <v>445.77777777777789</v>
      </c>
      <c r="E1313">
        <f t="shared" si="155"/>
        <v>0</v>
      </c>
      <c r="G1313">
        <v>1263</v>
      </c>
      <c r="H1313" s="13">
        <f t="shared" si="160"/>
        <v>1.8572577375266519E-2</v>
      </c>
      <c r="I1313">
        <f t="shared" si="161"/>
        <v>127.96332949791216</v>
      </c>
      <c r="J1313">
        <f t="shared" si="156"/>
        <v>476.38087085732366</v>
      </c>
      <c r="K1313" s="27">
        <f t="shared" si="157"/>
        <v>4214.9822781388621</v>
      </c>
    </row>
    <row r="1314" spans="1:11" x14ac:dyDescent="0.25">
      <c r="A1314" s="26">
        <v>1264</v>
      </c>
      <c r="B1314" s="82">
        <f t="shared" si="158"/>
        <v>0</v>
      </c>
      <c r="C1314" s="58">
        <f t="shared" si="162"/>
        <v>104.50616427295054</v>
      </c>
      <c r="D1314" s="83">
        <f t="shared" si="159"/>
        <v>445.77777777777789</v>
      </c>
      <c r="E1314">
        <f t="shared" si="155"/>
        <v>0</v>
      </c>
      <c r="G1314">
        <v>1264</v>
      </c>
      <c r="H1314" s="13">
        <f t="shared" si="160"/>
        <v>1.8572577375266519E-2</v>
      </c>
      <c r="I1314">
        <f t="shared" si="161"/>
        <v>127.98190207528742</v>
      </c>
      <c r="J1314">
        <f t="shared" si="156"/>
        <v>476.39726821600442</v>
      </c>
      <c r="K1314" s="27">
        <f t="shared" si="157"/>
        <v>4215.2723711335602</v>
      </c>
    </row>
    <row r="1315" spans="1:11" x14ac:dyDescent="0.25">
      <c r="A1315" s="26">
        <v>1265</v>
      </c>
      <c r="B1315" s="82">
        <f t="shared" si="158"/>
        <v>0</v>
      </c>
      <c r="C1315" s="58">
        <f t="shared" si="162"/>
        <v>104.50616427295054</v>
      </c>
      <c r="D1315" s="83">
        <f t="shared" si="159"/>
        <v>445.77777777777789</v>
      </c>
      <c r="E1315">
        <f t="shared" si="155"/>
        <v>0</v>
      </c>
      <c r="G1315">
        <v>1265</v>
      </c>
      <c r="H1315" s="13">
        <f t="shared" si="160"/>
        <v>1.8572577375266519E-2</v>
      </c>
      <c r="I1315">
        <f t="shared" si="161"/>
        <v>128.00047465266269</v>
      </c>
      <c r="J1315">
        <f t="shared" si="156"/>
        <v>476.4136574137475</v>
      </c>
      <c r="K1315" s="27">
        <f t="shared" si="157"/>
        <v>4215.5623297356433</v>
      </c>
    </row>
    <row r="1316" spans="1:11" x14ac:dyDescent="0.25">
      <c r="A1316" s="26">
        <v>1266</v>
      </c>
      <c r="B1316" s="82">
        <f t="shared" si="158"/>
        <v>0</v>
      </c>
      <c r="C1316" s="58">
        <f t="shared" si="162"/>
        <v>104.50616427295054</v>
      </c>
      <c r="D1316" s="83">
        <f t="shared" si="159"/>
        <v>445.77777777777789</v>
      </c>
      <c r="E1316">
        <f t="shared" si="155"/>
        <v>0</v>
      </c>
      <c r="G1316">
        <v>1266</v>
      </c>
      <c r="H1316" s="13">
        <f t="shared" si="160"/>
        <v>1.8572577375266519E-2</v>
      </c>
      <c r="I1316">
        <f t="shared" si="161"/>
        <v>128.01904723003796</v>
      </c>
      <c r="J1316">
        <f t="shared" si="156"/>
        <v>476.43003845588663</v>
      </c>
      <c r="K1316" s="27">
        <f t="shared" si="157"/>
        <v>4215.8521540245429</v>
      </c>
    </row>
    <row r="1317" spans="1:11" x14ac:dyDescent="0.25">
      <c r="A1317" s="26">
        <v>1267</v>
      </c>
      <c r="B1317" s="82">
        <f t="shared" si="158"/>
        <v>0</v>
      </c>
      <c r="C1317" s="58">
        <f t="shared" si="162"/>
        <v>104.50616427295054</v>
      </c>
      <c r="D1317" s="83">
        <f t="shared" si="159"/>
        <v>445.77777777777789</v>
      </c>
      <c r="E1317">
        <f t="shared" si="155"/>
        <v>0</v>
      </c>
      <c r="G1317">
        <v>1267</v>
      </c>
      <c r="H1317" s="13">
        <f t="shared" si="160"/>
        <v>1.8572577375266519E-2</v>
      </c>
      <c r="I1317">
        <f t="shared" si="161"/>
        <v>128.03761980741322</v>
      </c>
      <c r="J1317">
        <f t="shared" si="156"/>
        <v>476.44641134774815</v>
      </c>
      <c r="K1317" s="27">
        <f t="shared" si="157"/>
        <v>4216.1418440795833</v>
      </c>
    </row>
    <row r="1318" spans="1:11" x14ac:dyDescent="0.25">
      <c r="A1318" s="26">
        <v>1268</v>
      </c>
      <c r="B1318" s="82">
        <f t="shared" si="158"/>
        <v>0</v>
      </c>
      <c r="C1318" s="58">
        <f t="shared" si="162"/>
        <v>104.50616427295054</v>
      </c>
      <c r="D1318" s="83">
        <f t="shared" si="159"/>
        <v>445.77777777777789</v>
      </c>
      <c r="E1318">
        <f t="shared" si="155"/>
        <v>0</v>
      </c>
      <c r="G1318">
        <v>1268</v>
      </c>
      <c r="H1318" s="13">
        <f t="shared" si="160"/>
        <v>1.8572577375266519E-2</v>
      </c>
      <c r="I1318">
        <f t="shared" si="161"/>
        <v>128.05619238478849</v>
      </c>
      <c r="J1318">
        <f t="shared" si="156"/>
        <v>476.46277609465125</v>
      </c>
      <c r="K1318" s="27">
        <f t="shared" si="157"/>
        <v>4216.431399979976</v>
      </c>
    </row>
    <row r="1319" spans="1:11" x14ac:dyDescent="0.25">
      <c r="A1319" s="26">
        <v>1269</v>
      </c>
      <c r="B1319" s="82">
        <f t="shared" si="158"/>
        <v>0</v>
      </c>
      <c r="C1319" s="58">
        <f t="shared" si="162"/>
        <v>104.50616427295054</v>
      </c>
      <c r="D1319" s="83">
        <f t="shared" si="159"/>
        <v>445.77777777777789</v>
      </c>
      <c r="E1319">
        <f t="shared" si="155"/>
        <v>0</v>
      </c>
      <c r="G1319">
        <v>1269</v>
      </c>
      <c r="H1319" s="13">
        <f t="shared" si="160"/>
        <v>1.8572577375266519E-2</v>
      </c>
      <c r="I1319">
        <f t="shared" si="161"/>
        <v>128.07476496216375</v>
      </c>
      <c r="J1319">
        <f t="shared" si="156"/>
        <v>476.4791327019077</v>
      </c>
      <c r="K1319" s="27">
        <f t="shared" si="157"/>
        <v>4216.7208218048308</v>
      </c>
    </row>
    <row r="1320" spans="1:11" x14ac:dyDescent="0.25">
      <c r="A1320" s="26">
        <v>1270</v>
      </c>
      <c r="B1320" s="82">
        <f t="shared" si="158"/>
        <v>0</v>
      </c>
      <c r="C1320" s="58">
        <f t="shared" si="162"/>
        <v>104.50616427295054</v>
      </c>
      <c r="D1320" s="83">
        <f t="shared" si="159"/>
        <v>445.77777777777789</v>
      </c>
      <c r="E1320">
        <f t="shared" si="155"/>
        <v>0</v>
      </c>
      <c r="G1320">
        <v>1270</v>
      </c>
      <c r="H1320" s="13">
        <f t="shared" si="160"/>
        <v>1.8572577375266519E-2</v>
      </c>
      <c r="I1320">
        <f t="shared" si="161"/>
        <v>128.09333753953902</v>
      </c>
      <c r="J1320">
        <f t="shared" si="156"/>
        <v>476.49548117482215</v>
      </c>
      <c r="K1320" s="27">
        <f t="shared" si="157"/>
        <v>4217.0101096331446</v>
      </c>
    </row>
    <row r="1321" spans="1:11" x14ac:dyDescent="0.25">
      <c r="A1321" s="26">
        <v>1271</v>
      </c>
      <c r="B1321" s="82">
        <f t="shared" si="158"/>
        <v>0</v>
      </c>
      <c r="C1321" s="58">
        <f t="shared" si="162"/>
        <v>104.50616427295054</v>
      </c>
      <c r="D1321" s="83">
        <f t="shared" si="159"/>
        <v>445.77777777777789</v>
      </c>
      <c r="E1321">
        <f t="shared" si="155"/>
        <v>0</v>
      </c>
      <c r="G1321">
        <v>1271</v>
      </c>
      <c r="H1321" s="13">
        <f t="shared" si="160"/>
        <v>1.8572577375266519E-2</v>
      </c>
      <c r="I1321">
        <f t="shared" si="161"/>
        <v>128.11191011691429</v>
      </c>
      <c r="J1321">
        <f t="shared" si="156"/>
        <v>476.51182151869187</v>
      </c>
      <c r="K1321" s="27">
        <f t="shared" si="157"/>
        <v>4217.2992635438068</v>
      </c>
    </row>
    <row r="1322" spans="1:11" x14ac:dyDescent="0.25">
      <c r="A1322" s="26">
        <v>1272</v>
      </c>
      <c r="B1322" s="82">
        <f t="shared" si="158"/>
        <v>0</v>
      </c>
      <c r="C1322" s="58">
        <f t="shared" si="162"/>
        <v>104.50616427295054</v>
      </c>
      <c r="D1322" s="83">
        <f t="shared" si="159"/>
        <v>445.77777777777789</v>
      </c>
      <c r="E1322">
        <f t="shared" si="155"/>
        <v>0</v>
      </c>
      <c r="G1322">
        <v>1272</v>
      </c>
      <c r="H1322" s="13">
        <f t="shared" si="160"/>
        <v>1.8572577375266519E-2</v>
      </c>
      <c r="I1322">
        <f t="shared" si="161"/>
        <v>128.13048269428955</v>
      </c>
      <c r="J1322">
        <f t="shared" si="156"/>
        <v>476.52815373880696</v>
      </c>
      <c r="K1322" s="27">
        <f t="shared" si="157"/>
        <v>4217.5882836156006</v>
      </c>
    </row>
    <row r="1323" spans="1:11" x14ac:dyDescent="0.25">
      <c r="A1323" s="26">
        <v>1273</v>
      </c>
      <c r="B1323" s="82">
        <f t="shared" si="158"/>
        <v>0</v>
      </c>
      <c r="C1323" s="58">
        <f t="shared" si="162"/>
        <v>104.50616427295054</v>
      </c>
      <c r="D1323" s="83">
        <f t="shared" si="159"/>
        <v>445.77777777777789</v>
      </c>
      <c r="E1323">
        <f t="shared" si="155"/>
        <v>0</v>
      </c>
      <c r="G1323">
        <v>1273</v>
      </c>
      <c r="H1323" s="13">
        <f t="shared" si="160"/>
        <v>1.8572577375266519E-2</v>
      </c>
      <c r="I1323">
        <f t="shared" si="161"/>
        <v>128.14905527166482</v>
      </c>
      <c r="J1323">
        <f t="shared" si="156"/>
        <v>476.54447784045044</v>
      </c>
      <c r="K1323" s="27">
        <f t="shared" si="157"/>
        <v>4217.8771699272038</v>
      </c>
    </row>
    <row r="1324" spans="1:11" x14ac:dyDescent="0.25">
      <c r="A1324" s="26">
        <v>1274</v>
      </c>
      <c r="B1324" s="82">
        <f t="shared" si="158"/>
        <v>0</v>
      </c>
      <c r="C1324" s="58">
        <f t="shared" si="162"/>
        <v>104.50616427295054</v>
      </c>
      <c r="D1324" s="83">
        <f t="shared" si="159"/>
        <v>445.77777777777789</v>
      </c>
      <c r="E1324">
        <f t="shared" si="155"/>
        <v>0</v>
      </c>
      <c r="G1324">
        <v>1274</v>
      </c>
      <c r="H1324" s="13">
        <f t="shared" si="160"/>
        <v>1.8572577375266519E-2</v>
      </c>
      <c r="I1324">
        <f t="shared" si="161"/>
        <v>128.16762784904009</v>
      </c>
      <c r="J1324">
        <f t="shared" si="156"/>
        <v>476.56079382889783</v>
      </c>
      <c r="K1324" s="27">
        <f t="shared" si="157"/>
        <v>4218.1659225571811</v>
      </c>
    </row>
    <row r="1325" spans="1:11" x14ac:dyDescent="0.25">
      <c r="A1325" s="26">
        <v>1275</v>
      </c>
      <c r="B1325" s="82">
        <f t="shared" si="158"/>
        <v>0</v>
      </c>
      <c r="C1325" s="58">
        <f t="shared" si="162"/>
        <v>104.50616427295054</v>
      </c>
      <c r="D1325" s="83">
        <f t="shared" si="159"/>
        <v>445.77777777777789</v>
      </c>
      <c r="E1325">
        <f t="shared" si="155"/>
        <v>0</v>
      </c>
      <c r="G1325">
        <v>1275</v>
      </c>
      <c r="H1325" s="13">
        <f t="shared" si="160"/>
        <v>1.8572577375266519E-2</v>
      </c>
      <c r="I1325">
        <f t="shared" si="161"/>
        <v>128.18620042641535</v>
      </c>
      <c r="J1325">
        <f t="shared" si="156"/>
        <v>476.57710170941772</v>
      </c>
      <c r="K1325" s="27">
        <f t="shared" si="157"/>
        <v>4218.4545415839957</v>
      </c>
    </row>
    <row r="1326" spans="1:11" x14ac:dyDescent="0.25">
      <c r="A1326" s="26">
        <v>1276</v>
      </c>
      <c r="B1326" s="82">
        <f t="shared" si="158"/>
        <v>0</v>
      </c>
      <c r="C1326" s="58">
        <f t="shared" si="162"/>
        <v>104.50616427295054</v>
      </c>
      <c r="D1326" s="83">
        <f t="shared" si="159"/>
        <v>445.77777777777789</v>
      </c>
      <c r="E1326">
        <f t="shared" si="155"/>
        <v>0</v>
      </c>
      <c r="G1326">
        <v>1276</v>
      </c>
      <c r="H1326" s="13">
        <f t="shared" si="160"/>
        <v>1.8572577375266519E-2</v>
      </c>
      <c r="I1326">
        <f t="shared" si="161"/>
        <v>128.20477300379062</v>
      </c>
      <c r="J1326">
        <f t="shared" si="156"/>
        <v>476.59340148727142</v>
      </c>
      <c r="K1326" s="27">
        <f t="shared" si="157"/>
        <v>4218.7430270860013</v>
      </c>
    </row>
    <row r="1327" spans="1:11" x14ac:dyDescent="0.25">
      <c r="A1327" s="26">
        <v>1277</v>
      </c>
      <c r="B1327" s="82">
        <f t="shared" si="158"/>
        <v>0</v>
      </c>
      <c r="C1327" s="58">
        <f t="shared" si="162"/>
        <v>104.50616427295054</v>
      </c>
      <c r="D1327" s="83">
        <f t="shared" si="159"/>
        <v>445.77777777777789</v>
      </c>
      <c r="E1327">
        <f t="shared" si="155"/>
        <v>0</v>
      </c>
      <c r="G1327">
        <v>1277</v>
      </c>
      <c r="H1327" s="13">
        <f t="shared" si="160"/>
        <v>1.8572577375266519E-2</v>
      </c>
      <c r="I1327">
        <f t="shared" si="161"/>
        <v>128.22334558116589</v>
      </c>
      <c r="J1327">
        <f t="shared" si="156"/>
        <v>476.60969316771315</v>
      </c>
      <c r="K1327" s="27">
        <f t="shared" si="157"/>
        <v>4219.0313791414455</v>
      </c>
    </row>
    <row r="1328" spans="1:11" x14ac:dyDescent="0.25">
      <c r="A1328" s="26">
        <v>1278</v>
      </c>
      <c r="B1328" s="82">
        <f t="shared" si="158"/>
        <v>0</v>
      </c>
      <c r="C1328" s="58">
        <f t="shared" si="162"/>
        <v>104.50616427295054</v>
      </c>
      <c r="D1328" s="83">
        <f t="shared" si="159"/>
        <v>445.77777777777789</v>
      </c>
      <c r="E1328">
        <f t="shared" si="155"/>
        <v>0</v>
      </c>
      <c r="G1328">
        <v>1278</v>
      </c>
      <c r="H1328" s="13">
        <f t="shared" si="160"/>
        <v>1.8572577375266519E-2</v>
      </c>
      <c r="I1328">
        <f t="shared" si="161"/>
        <v>128.24191815854115</v>
      </c>
      <c r="J1328">
        <f t="shared" si="156"/>
        <v>476.62597675598983</v>
      </c>
      <c r="K1328" s="27">
        <f t="shared" si="157"/>
        <v>4219.3195978284684</v>
      </c>
    </row>
    <row r="1329" spans="1:11" x14ac:dyDescent="0.25">
      <c r="A1329" s="26">
        <v>1279</v>
      </c>
      <c r="B1329" s="82">
        <f t="shared" si="158"/>
        <v>0</v>
      </c>
      <c r="C1329" s="58">
        <f t="shared" si="162"/>
        <v>104.50616427295054</v>
      </c>
      <c r="D1329" s="83">
        <f t="shared" si="159"/>
        <v>445.77777777777789</v>
      </c>
      <c r="E1329">
        <f t="shared" si="155"/>
        <v>0</v>
      </c>
      <c r="G1329">
        <v>1279</v>
      </c>
      <c r="H1329" s="13">
        <f t="shared" si="160"/>
        <v>1.8572577375266519E-2</v>
      </c>
      <c r="I1329">
        <f t="shared" si="161"/>
        <v>128.26049073591642</v>
      </c>
      <c r="J1329">
        <f t="shared" si="156"/>
        <v>476.6422522573414</v>
      </c>
      <c r="K1329" s="27">
        <f t="shared" si="157"/>
        <v>4219.6076832251074</v>
      </c>
    </row>
    <row r="1330" spans="1:11" x14ac:dyDescent="0.25">
      <c r="A1330" s="26">
        <v>1280</v>
      </c>
      <c r="B1330" s="82">
        <f t="shared" si="158"/>
        <v>0</v>
      </c>
      <c r="C1330" s="58">
        <f t="shared" si="162"/>
        <v>104.50616427295054</v>
      </c>
      <c r="D1330" s="83">
        <f t="shared" si="159"/>
        <v>445.77777777777789</v>
      </c>
      <c r="E1330">
        <f t="shared" si="155"/>
        <v>0</v>
      </c>
      <c r="G1330">
        <v>1280</v>
      </c>
      <c r="H1330" s="13">
        <f t="shared" si="160"/>
        <v>1.8572577375266519E-2</v>
      </c>
      <c r="I1330">
        <f t="shared" si="161"/>
        <v>128.27906331329169</v>
      </c>
      <c r="J1330">
        <f t="shared" si="156"/>
        <v>476.65851967700064</v>
      </c>
      <c r="K1330" s="27">
        <f t="shared" si="157"/>
        <v>4219.8956354092888</v>
      </c>
    </row>
    <row r="1331" spans="1:11" x14ac:dyDescent="0.25">
      <c r="A1331" s="26">
        <v>1281</v>
      </c>
      <c r="B1331" s="82">
        <f t="shared" si="158"/>
        <v>0</v>
      </c>
      <c r="C1331" s="58">
        <f t="shared" si="162"/>
        <v>104.50616427295054</v>
      </c>
      <c r="D1331" s="83">
        <f t="shared" si="159"/>
        <v>445.77777777777789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1.8572577375266519E-2</v>
      </c>
      <c r="I1331">
        <f t="shared" si="161"/>
        <v>128.29763589066695</v>
      </c>
      <c r="J1331">
        <f t="shared" ref="J1331:J1394" si="164">IF($G$28&lt;$C$14,0,((($C$11^2)-((I1331-$C$13)^2))^0.5)+$C$16)</f>
        <v>476.67477902019311</v>
      </c>
      <c r="K1331" s="27">
        <f t="shared" ref="K1331:K1394" si="165">((J1331^2)+(J1331*J1332)+(J1332^2))*H1332/3</f>
        <v>4220.1834544588392</v>
      </c>
    </row>
    <row r="1332" spans="1:11" x14ac:dyDescent="0.25">
      <c r="A1332" s="26">
        <v>1282</v>
      </c>
      <c r="B1332" s="82">
        <f t="shared" ref="B1332:B1395" si="166">C1332-C1331</f>
        <v>0</v>
      </c>
      <c r="C1332" s="58">
        <f t="shared" si="162"/>
        <v>104.50616427295054</v>
      </c>
      <c r="D1332" s="83">
        <f t="shared" ref="D1332:D1395" si="167">IF($G$28&lt;$C$14,0,((($C$11^2)-((C1332-$C$13)^2))^0.5)+$C$16)</f>
        <v>445.77777777777789</v>
      </c>
      <c r="E1332">
        <f t="shared" si="163"/>
        <v>0</v>
      </c>
      <c r="G1332">
        <v>1282</v>
      </c>
      <c r="H1332" s="13">
        <f t="shared" ref="H1332:H1395" si="168">I1332-I1331</f>
        <v>1.8572577375266519E-2</v>
      </c>
      <c r="I1332">
        <f t="shared" ref="I1332:I1395" si="169">($G$27-$C$14)/2000+I1331</f>
        <v>128.31620846804222</v>
      </c>
      <c r="J1332">
        <f t="shared" si="164"/>
        <v>476.6910302921375</v>
      </c>
      <c r="K1332" s="27">
        <f t="shared" si="165"/>
        <v>4220.4711404514719</v>
      </c>
    </row>
    <row r="1333" spans="1:11" x14ac:dyDescent="0.25">
      <c r="A1333" s="26">
        <v>1283</v>
      </c>
      <c r="B1333" s="82">
        <f t="shared" si="166"/>
        <v>0</v>
      </c>
      <c r="C1333" s="58">
        <f t="shared" si="162"/>
        <v>104.50616427295054</v>
      </c>
      <c r="D1333" s="83">
        <f t="shared" si="167"/>
        <v>445.77777777777789</v>
      </c>
      <c r="E1333">
        <f t="shared" si="163"/>
        <v>0</v>
      </c>
      <c r="G1333">
        <v>1283</v>
      </c>
      <c r="H1333" s="13">
        <f t="shared" si="168"/>
        <v>1.8572577375266519E-2</v>
      </c>
      <c r="I1333">
        <f t="shared" si="169"/>
        <v>128.33478104541749</v>
      </c>
      <c r="J1333">
        <f t="shared" si="164"/>
        <v>476.7072734980452</v>
      </c>
      <c r="K1333" s="27">
        <f t="shared" si="165"/>
        <v>4220.7586934648034</v>
      </c>
    </row>
    <row r="1334" spans="1:11" x14ac:dyDescent="0.25">
      <c r="A1334" s="26">
        <v>1284</v>
      </c>
      <c r="B1334" s="82">
        <f t="shared" si="166"/>
        <v>0</v>
      </c>
      <c r="C1334" s="58">
        <f t="shared" si="162"/>
        <v>104.50616427295054</v>
      </c>
      <c r="D1334" s="83">
        <f t="shared" si="167"/>
        <v>445.77777777777789</v>
      </c>
      <c r="E1334">
        <f t="shared" si="163"/>
        <v>0</v>
      </c>
      <c r="G1334">
        <v>1284</v>
      </c>
      <c r="H1334" s="13">
        <f t="shared" si="168"/>
        <v>1.8572577375266519E-2</v>
      </c>
      <c r="I1334">
        <f t="shared" si="169"/>
        <v>128.35335362279275</v>
      </c>
      <c r="J1334">
        <f t="shared" si="164"/>
        <v>476.72350864312057</v>
      </c>
      <c r="K1334" s="27">
        <f t="shared" si="165"/>
        <v>4221.0461135763353</v>
      </c>
    </row>
    <row r="1335" spans="1:11" x14ac:dyDescent="0.25">
      <c r="A1335" s="26">
        <v>1285</v>
      </c>
      <c r="B1335" s="82">
        <f t="shared" si="166"/>
        <v>0</v>
      </c>
      <c r="C1335" s="58">
        <f t="shared" si="162"/>
        <v>104.50616427295054</v>
      </c>
      <c r="D1335" s="83">
        <f t="shared" si="167"/>
        <v>445.77777777777789</v>
      </c>
      <c r="E1335">
        <f t="shared" si="163"/>
        <v>0</v>
      </c>
      <c r="G1335">
        <v>1285</v>
      </c>
      <c r="H1335" s="13">
        <f t="shared" si="168"/>
        <v>1.8572577375266519E-2</v>
      </c>
      <c r="I1335">
        <f t="shared" si="169"/>
        <v>128.37192620016802</v>
      </c>
      <c r="J1335">
        <f t="shared" si="164"/>
        <v>476.73973573256109</v>
      </c>
      <c r="K1335" s="27">
        <f t="shared" si="165"/>
        <v>4221.3334008634738</v>
      </c>
    </row>
    <row r="1336" spans="1:11" x14ac:dyDescent="0.25">
      <c r="A1336" s="26">
        <v>1286</v>
      </c>
      <c r="B1336" s="82">
        <f t="shared" si="166"/>
        <v>0</v>
      </c>
      <c r="C1336" s="58">
        <f t="shared" si="162"/>
        <v>104.50616427295054</v>
      </c>
      <c r="D1336" s="83">
        <f t="shared" si="167"/>
        <v>445.77777777777789</v>
      </c>
      <c r="E1336">
        <f t="shared" si="163"/>
        <v>0</v>
      </c>
      <c r="G1336">
        <v>1286</v>
      </c>
      <c r="H1336" s="13">
        <f t="shared" si="168"/>
        <v>1.8572577375266519E-2</v>
      </c>
      <c r="I1336">
        <f t="shared" si="169"/>
        <v>128.39049877754329</v>
      </c>
      <c r="J1336">
        <f t="shared" si="164"/>
        <v>476.7559547715569</v>
      </c>
      <c r="K1336" s="27">
        <f t="shared" si="165"/>
        <v>4221.6205554035141</v>
      </c>
    </row>
    <row r="1337" spans="1:11" x14ac:dyDescent="0.25">
      <c r="A1337" s="26">
        <v>1287</v>
      </c>
      <c r="B1337" s="82">
        <f t="shared" si="166"/>
        <v>0</v>
      </c>
      <c r="C1337" s="58">
        <f t="shared" si="162"/>
        <v>104.50616427295054</v>
      </c>
      <c r="D1337" s="83">
        <f t="shared" si="167"/>
        <v>445.77777777777789</v>
      </c>
      <c r="E1337">
        <f t="shared" si="163"/>
        <v>0</v>
      </c>
      <c r="G1337">
        <v>1287</v>
      </c>
      <c r="H1337" s="13">
        <f t="shared" si="168"/>
        <v>1.8572577375266519E-2</v>
      </c>
      <c r="I1337">
        <f t="shared" si="169"/>
        <v>128.40907135491855</v>
      </c>
      <c r="J1337">
        <f t="shared" si="164"/>
        <v>476.77216576529145</v>
      </c>
      <c r="K1337" s="27">
        <f t="shared" si="165"/>
        <v>4221.9075772736478</v>
      </c>
    </row>
    <row r="1338" spans="1:11" x14ac:dyDescent="0.25">
      <c r="A1338" s="26">
        <v>1288</v>
      </c>
      <c r="B1338" s="82">
        <f t="shared" si="166"/>
        <v>0</v>
      </c>
      <c r="C1338" s="58">
        <f t="shared" si="162"/>
        <v>104.50616427295054</v>
      </c>
      <c r="D1338" s="83">
        <f t="shared" si="167"/>
        <v>445.77777777777789</v>
      </c>
      <c r="E1338">
        <f t="shared" si="163"/>
        <v>0</v>
      </c>
      <c r="G1338">
        <v>1288</v>
      </c>
      <c r="H1338" s="13">
        <f t="shared" si="168"/>
        <v>1.8572577375266519E-2</v>
      </c>
      <c r="I1338">
        <f t="shared" si="169"/>
        <v>128.42764393229382</v>
      </c>
      <c r="J1338">
        <f t="shared" si="164"/>
        <v>476.78836871894089</v>
      </c>
      <c r="K1338" s="27">
        <f t="shared" si="165"/>
        <v>4222.1944665509627</v>
      </c>
    </row>
    <row r="1339" spans="1:11" x14ac:dyDescent="0.25">
      <c r="A1339" s="26">
        <v>1289</v>
      </c>
      <c r="B1339" s="82">
        <f t="shared" si="166"/>
        <v>0</v>
      </c>
      <c r="C1339" s="58">
        <f t="shared" si="162"/>
        <v>104.50616427295054</v>
      </c>
      <c r="D1339" s="83">
        <f t="shared" si="167"/>
        <v>445.77777777777789</v>
      </c>
      <c r="E1339">
        <f t="shared" si="163"/>
        <v>0</v>
      </c>
      <c r="G1339">
        <v>1289</v>
      </c>
      <c r="H1339" s="13">
        <f t="shared" si="168"/>
        <v>1.8572577375266519E-2</v>
      </c>
      <c r="I1339">
        <f t="shared" si="169"/>
        <v>128.44621650966909</v>
      </c>
      <c r="J1339">
        <f t="shared" si="164"/>
        <v>476.80456363767445</v>
      </c>
      <c r="K1339" s="27">
        <f t="shared" si="165"/>
        <v>4222.481223312443</v>
      </c>
    </row>
    <row r="1340" spans="1:11" x14ac:dyDescent="0.25">
      <c r="A1340" s="26">
        <v>1290</v>
      </c>
      <c r="B1340" s="82">
        <f t="shared" si="166"/>
        <v>0</v>
      </c>
      <c r="C1340" s="58">
        <f t="shared" si="162"/>
        <v>104.50616427295054</v>
      </c>
      <c r="D1340" s="83">
        <f t="shared" si="167"/>
        <v>445.77777777777789</v>
      </c>
      <c r="E1340">
        <f t="shared" si="163"/>
        <v>0</v>
      </c>
      <c r="G1340">
        <v>1290</v>
      </c>
      <c r="H1340" s="13">
        <f t="shared" si="168"/>
        <v>1.8572577375266519E-2</v>
      </c>
      <c r="I1340">
        <f t="shared" si="169"/>
        <v>128.46478908704435</v>
      </c>
      <c r="J1340">
        <f t="shared" si="164"/>
        <v>476.82075052665448</v>
      </c>
      <c r="K1340" s="27">
        <f t="shared" si="165"/>
        <v>4222.7678476349674</v>
      </c>
    </row>
    <row r="1341" spans="1:11" x14ac:dyDescent="0.25">
      <c r="A1341" s="26">
        <v>1291</v>
      </c>
      <c r="B1341" s="82">
        <f t="shared" si="166"/>
        <v>0</v>
      </c>
      <c r="C1341" s="58">
        <f t="shared" si="162"/>
        <v>104.50616427295054</v>
      </c>
      <c r="D1341" s="83">
        <f t="shared" si="167"/>
        <v>445.77777777777789</v>
      </c>
      <c r="E1341">
        <f t="shared" si="163"/>
        <v>0</v>
      </c>
      <c r="G1341">
        <v>1291</v>
      </c>
      <c r="H1341" s="13">
        <f t="shared" si="168"/>
        <v>1.8572577375266519E-2</v>
      </c>
      <c r="I1341">
        <f t="shared" si="169"/>
        <v>128.48336166441962</v>
      </c>
      <c r="J1341">
        <f t="shared" si="164"/>
        <v>476.83692939103628</v>
      </c>
      <c r="K1341" s="27">
        <f t="shared" si="165"/>
        <v>4223.0543395953127</v>
      </c>
    </row>
    <row r="1342" spans="1:11" x14ac:dyDescent="0.25">
      <c r="A1342" s="26">
        <v>1292</v>
      </c>
      <c r="B1342" s="82">
        <f t="shared" si="166"/>
        <v>0</v>
      </c>
      <c r="C1342" s="58">
        <f t="shared" si="162"/>
        <v>104.50616427295054</v>
      </c>
      <c r="D1342" s="83">
        <f t="shared" si="167"/>
        <v>445.77777777777789</v>
      </c>
      <c r="E1342">
        <f t="shared" si="163"/>
        <v>0</v>
      </c>
      <c r="G1342">
        <v>1292</v>
      </c>
      <c r="H1342" s="13">
        <f t="shared" si="168"/>
        <v>1.8572577375266519E-2</v>
      </c>
      <c r="I1342">
        <f t="shared" si="169"/>
        <v>128.50193424179488</v>
      </c>
      <c r="J1342">
        <f t="shared" si="164"/>
        <v>476.85310023596804</v>
      </c>
      <c r="K1342" s="27">
        <f t="shared" si="165"/>
        <v>4223.3406992701484</v>
      </c>
    </row>
    <row r="1343" spans="1:11" x14ac:dyDescent="0.25">
      <c r="A1343" s="26">
        <v>1293</v>
      </c>
      <c r="B1343" s="82">
        <f t="shared" si="166"/>
        <v>0</v>
      </c>
      <c r="C1343" s="58">
        <f t="shared" si="162"/>
        <v>104.50616427295054</v>
      </c>
      <c r="D1343" s="83">
        <f t="shared" si="167"/>
        <v>445.77777777777789</v>
      </c>
      <c r="E1343">
        <f t="shared" si="163"/>
        <v>0</v>
      </c>
      <c r="G1343">
        <v>1293</v>
      </c>
      <c r="H1343" s="13">
        <f t="shared" si="168"/>
        <v>1.8572577375266519E-2</v>
      </c>
      <c r="I1343">
        <f t="shared" si="169"/>
        <v>128.52050681917015</v>
      </c>
      <c r="J1343">
        <f t="shared" si="164"/>
        <v>476.86926306659132</v>
      </c>
      <c r="K1343" s="27">
        <f t="shared" si="165"/>
        <v>4223.6269267360449</v>
      </c>
    </row>
    <row r="1344" spans="1:11" x14ac:dyDescent="0.25">
      <c r="A1344" s="26">
        <v>1294</v>
      </c>
      <c r="B1344" s="82">
        <f t="shared" si="166"/>
        <v>0</v>
      </c>
      <c r="C1344" s="58">
        <f t="shared" si="162"/>
        <v>104.50616427295054</v>
      </c>
      <c r="D1344" s="83">
        <f t="shared" si="167"/>
        <v>445.77777777777789</v>
      </c>
      <c r="E1344">
        <f t="shared" si="163"/>
        <v>0</v>
      </c>
      <c r="G1344">
        <v>1294</v>
      </c>
      <c r="H1344" s="13">
        <f t="shared" si="168"/>
        <v>1.8572577375266519E-2</v>
      </c>
      <c r="I1344">
        <f t="shared" si="169"/>
        <v>128.53907939654542</v>
      </c>
      <c r="J1344">
        <f t="shared" si="164"/>
        <v>476.88541788804037</v>
      </c>
      <c r="K1344" s="27">
        <f t="shared" si="165"/>
        <v>4223.9130220694669</v>
      </c>
    </row>
    <row r="1345" spans="1:11" x14ac:dyDescent="0.25">
      <c r="A1345" s="26">
        <v>1295</v>
      </c>
      <c r="B1345" s="82">
        <f t="shared" si="166"/>
        <v>0</v>
      </c>
      <c r="C1345" s="58">
        <f t="shared" si="162"/>
        <v>104.50616427295054</v>
      </c>
      <c r="D1345" s="83">
        <f t="shared" si="167"/>
        <v>445.77777777777789</v>
      </c>
      <c r="E1345">
        <f t="shared" si="163"/>
        <v>0</v>
      </c>
      <c r="G1345">
        <v>1295</v>
      </c>
      <c r="H1345" s="13">
        <f t="shared" si="168"/>
        <v>1.8572577375266519E-2</v>
      </c>
      <c r="I1345">
        <f t="shared" si="169"/>
        <v>128.55765197392068</v>
      </c>
      <c r="J1345">
        <f t="shared" si="164"/>
        <v>476.90156470544287</v>
      </c>
      <c r="K1345" s="27">
        <f t="shared" si="165"/>
        <v>4224.1989853467767</v>
      </c>
    </row>
    <row r="1346" spans="1:11" x14ac:dyDescent="0.25">
      <c r="A1346" s="26">
        <v>1296</v>
      </c>
      <c r="B1346" s="82">
        <f t="shared" si="166"/>
        <v>0</v>
      </c>
      <c r="C1346" s="58">
        <f t="shared" si="162"/>
        <v>104.50616427295054</v>
      </c>
      <c r="D1346" s="83">
        <f t="shared" si="167"/>
        <v>445.77777777777789</v>
      </c>
      <c r="E1346">
        <f t="shared" si="163"/>
        <v>0</v>
      </c>
      <c r="G1346">
        <v>1296</v>
      </c>
      <c r="H1346" s="13">
        <f t="shared" si="168"/>
        <v>1.8572577375266519E-2</v>
      </c>
      <c r="I1346">
        <f t="shared" si="169"/>
        <v>128.57622455129595</v>
      </c>
      <c r="J1346">
        <f t="shared" si="164"/>
        <v>476.91770352391927</v>
      </c>
      <c r="K1346" s="27">
        <f t="shared" si="165"/>
        <v>4224.4848166442316</v>
      </c>
    </row>
    <row r="1347" spans="1:11" x14ac:dyDescent="0.25">
      <c r="A1347" s="26">
        <v>1297</v>
      </c>
      <c r="B1347" s="82">
        <f t="shared" si="166"/>
        <v>0</v>
      </c>
      <c r="C1347" s="58">
        <f t="shared" si="162"/>
        <v>104.50616427295054</v>
      </c>
      <c r="D1347" s="83">
        <f t="shared" si="167"/>
        <v>445.77777777777789</v>
      </c>
      <c r="E1347">
        <f t="shared" si="163"/>
        <v>0</v>
      </c>
      <c r="G1347">
        <v>1297</v>
      </c>
      <c r="H1347" s="13">
        <f t="shared" si="168"/>
        <v>1.8572577375266519E-2</v>
      </c>
      <c r="I1347">
        <f t="shared" si="169"/>
        <v>128.59479712867122</v>
      </c>
      <c r="J1347">
        <f t="shared" si="164"/>
        <v>476.93383434858333</v>
      </c>
      <c r="K1347" s="27">
        <f t="shared" si="165"/>
        <v>4224.7705160379874</v>
      </c>
    </row>
    <row r="1348" spans="1:11" x14ac:dyDescent="0.25">
      <c r="A1348" s="26">
        <v>1298</v>
      </c>
      <c r="B1348" s="82">
        <f t="shared" si="166"/>
        <v>0</v>
      </c>
      <c r="C1348" s="58">
        <f t="shared" si="162"/>
        <v>104.50616427295054</v>
      </c>
      <c r="D1348" s="83">
        <f t="shared" si="167"/>
        <v>445.77777777777789</v>
      </c>
      <c r="E1348">
        <f t="shared" si="163"/>
        <v>0</v>
      </c>
      <c r="G1348">
        <v>1298</v>
      </c>
      <c r="H1348" s="13">
        <f t="shared" si="168"/>
        <v>1.8572577375266519E-2</v>
      </c>
      <c r="I1348">
        <f t="shared" si="169"/>
        <v>128.61336970604648</v>
      </c>
      <c r="J1348">
        <f t="shared" si="164"/>
        <v>476.94995718454186</v>
      </c>
      <c r="K1348" s="27">
        <f t="shared" si="165"/>
        <v>4225.0560836040995</v>
      </c>
    </row>
    <row r="1349" spans="1:11" x14ac:dyDescent="0.25">
      <c r="A1349" s="26">
        <v>1299</v>
      </c>
      <c r="B1349" s="82">
        <f t="shared" si="166"/>
        <v>0</v>
      </c>
      <c r="C1349" s="58">
        <f t="shared" si="162"/>
        <v>104.50616427295054</v>
      </c>
      <c r="D1349" s="83">
        <f t="shared" si="167"/>
        <v>445.77777777777789</v>
      </c>
      <c r="E1349">
        <f t="shared" si="163"/>
        <v>0</v>
      </c>
      <c r="G1349">
        <v>1299</v>
      </c>
      <c r="H1349" s="13">
        <f t="shared" si="168"/>
        <v>1.8572577375266519E-2</v>
      </c>
      <c r="I1349">
        <f t="shared" si="169"/>
        <v>128.63194228342175</v>
      </c>
      <c r="J1349">
        <f t="shared" si="164"/>
        <v>476.96607203689473</v>
      </c>
      <c r="K1349" s="27">
        <f t="shared" si="165"/>
        <v>4225.3415194185191</v>
      </c>
    </row>
    <row r="1350" spans="1:11" x14ac:dyDescent="0.25">
      <c r="A1350" s="26">
        <v>1300</v>
      </c>
      <c r="B1350" s="82">
        <f t="shared" si="166"/>
        <v>0</v>
      </c>
      <c r="C1350" s="58">
        <f t="shared" si="162"/>
        <v>104.50616427295054</v>
      </c>
      <c r="D1350" s="83">
        <f t="shared" si="167"/>
        <v>445.77777777777789</v>
      </c>
      <c r="E1350">
        <f t="shared" si="163"/>
        <v>0</v>
      </c>
      <c r="G1350">
        <v>1300</v>
      </c>
      <c r="H1350" s="13">
        <f t="shared" si="168"/>
        <v>1.8572577375266519E-2</v>
      </c>
      <c r="I1350">
        <f t="shared" si="169"/>
        <v>128.65051486079702</v>
      </c>
      <c r="J1350">
        <f t="shared" si="164"/>
        <v>476.98217891073512</v>
      </c>
      <c r="K1350" s="27">
        <f t="shared" si="165"/>
        <v>4225.6268235570942</v>
      </c>
    </row>
    <row r="1351" spans="1:11" x14ac:dyDescent="0.25">
      <c r="A1351" s="26">
        <v>1301</v>
      </c>
      <c r="B1351" s="82">
        <f t="shared" si="166"/>
        <v>0</v>
      </c>
      <c r="C1351" s="58">
        <f t="shared" si="162"/>
        <v>104.50616427295054</v>
      </c>
      <c r="D1351" s="83">
        <f t="shared" si="167"/>
        <v>445.77777777777789</v>
      </c>
      <c r="E1351">
        <f t="shared" si="163"/>
        <v>0</v>
      </c>
      <c r="G1351">
        <v>1301</v>
      </c>
      <c r="H1351" s="13">
        <f t="shared" si="168"/>
        <v>1.8572577375266519E-2</v>
      </c>
      <c r="I1351">
        <f t="shared" si="169"/>
        <v>128.66908743817228</v>
      </c>
      <c r="J1351">
        <f t="shared" si="164"/>
        <v>476.99827781114914</v>
      </c>
      <c r="K1351" s="27">
        <f t="shared" si="165"/>
        <v>4225.9119960955732</v>
      </c>
    </row>
    <row r="1352" spans="1:11" x14ac:dyDescent="0.25">
      <c r="A1352" s="26">
        <v>1302</v>
      </c>
      <c r="B1352" s="82">
        <f t="shared" si="166"/>
        <v>0</v>
      </c>
      <c r="C1352" s="58">
        <f t="shared" si="162"/>
        <v>104.50616427295054</v>
      </c>
      <c r="D1352" s="83">
        <f t="shared" si="167"/>
        <v>445.77777777777789</v>
      </c>
      <c r="E1352">
        <f t="shared" si="163"/>
        <v>0</v>
      </c>
      <c r="G1352">
        <v>1302</v>
      </c>
      <c r="H1352" s="13">
        <f t="shared" si="168"/>
        <v>1.8572577375266519E-2</v>
      </c>
      <c r="I1352">
        <f t="shared" si="169"/>
        <v>128.68766001554755</v>
      </c>
      <c r="J1352">
        <f t="shared" si="164"/>
        <v>477.01436874321627</v>
      </c>
      <c r="K1352" s="27">
        <f t="shared" si="165"/>
        <v>4226.1970371096004</v>
      </c>
    </row>
    <row r="1353" spans="1:11" x14ac:dyDescent="0.25">
      <c r="A1353" s="26">
        <v>1303</v>
      </c>
      <c r="B1353" s="82">
        <f t="shared" si="166"/>
        <v>0</v>
      </c>
      <c r="C1353" s="58">
        <f t="shared" si="162"/>
        <v>104.50616427295054</v>
      </c>
      <c r="D1353" s="83">
        <f t="shared" si="167"/>
        <v>445.77777777777789</v>
      </c>
      <c r="E1353">
        <f t="shared" si="163"/>
        <v>0</v>
      </c>
      <c r="G1353">
        <v>1303</v>
      </c>
      <c r="H1353" s="13">
        <f t="shared" si="168"/>
        <v>1.8572577375266519E-2</v>
      </c>
      <c r="I1353">
        <f t="shared" si="169"/>
        <v>128.70623259292282</v>
      </c>
      <c r="J1353">
        <f t="shared" si="164"/>
        <v>477.03045171200898</v>
      </c>
      <c r="K1353" s="27">
        <f t="shared" si="165"/>
        <v>4226.4819466747203</v>
      </c>
    </row>
    <row r="1354" spans="1:11" x14ac:dyDescent="0.25">
      <c r="A1354" s="26">
        <v>1304</v>
      </c>
      <c r="B1354" s="82">
        <f t="shared" si="166"/>
        <v>0</v>
      </c>
      <c r="C1354" s="58">
        <f t="shared" si="162"/>
        <v>104.50616427295054</v>
      </c>
      <c r="D1354" s="83">
        <f t="shared" si="167"/>
        <v>445.77777777777789</v>
      </c>
      <c r="E1354">
        <f t="shared" si="163"/>
        <v>0</v>
      </c>
      <c r="G1354">
        <v>1304</v>
      </c>
      <c r="H1354" s="13">
        <f t="shared" si="168"/>
        <v>1.8572577375266519E-2</v>
      </c>
      <c r="I1354">
        <f t="shared" si="169"/>
        <v>128.72480517029808</v>
      </c>
      <c r="J1354">
        <f t="shared" si="164"/>
        <v>477.04652672259306</v>
      </c>
      <c r="K1354" s="27">
        <f t="shared" si="165"/>
        <v>4226.7667248663747</v>
      </c>
    </row>
    <row r="1355" spans="1:11" x14ac:dyDescent="0.25">
      <c r="A1355" s="26">
        <v>1305</v>
      </c>
      <c r="B1355" s="82">
        <f t="shared" si="166"/>
        <v>0</v>
      </c>
      <c r="C1355" s="58">
        <f t="shared" si="162"/>
        <v>104.50616427295054</v>
      </c>
      <c r="D1355" s="83">
        <f t="shared" si="167"/>
        <v>445.77777777777789</v>
      </c>
      <c r="E1355">
        <f t="shared" si="163"/>
        <v>0</v>
      </c>
      <c r="G1355">
        <v>1305</v>
      </c>
      <c r="H1355" s="13">
        <f t="shared" si="168"/>
        <v>1.8572577375266519E-2</v>
      </c>
      <c r="I1355">
        <f t="shared" si="169"/>
        <v>128.74337774767335</v>
      </c>
      <c r="J1355">
        <f t="shared" si="164"/>
        <v>477.0625937800275</v>
      </c>
      <c r="K1355" s="27">
        <f t="shared" si="165"/>
        <v>4227.0513717599042</v>
      </c>
    </row>
    <row r="1356" spans="1:11" x14ac:dyDescent="0.25">
      <c r="A1356" s="26">
        <v>1306</v>
      </c>
      <c r="B1356" s="82">
        <f t="shared" si="166"/>
        <v>0</v>
      </c>
      <c r="C1356" s="58">
        <f t="shared" si="162"/>
        <v>104.50616427295054</v>
      </c>
      <c r="D1356" s="83">
        <f t="shared" si="167"/>
        <v>445.77777777777789</v>
      </c>
      <c r="E1356">
        <f t="shared" si="163"/>
        <v>0</v>
      </c>
      <c r="G1356">
        <v>1306</v>
      </c>
      <c r="H1356" s="13">
        <f t="shared" si="168"/>
        <v>1.8572577375266519E-2</v>
      </c>
      <c r="I1356">
        <f t="shared" si="169"/>
        <v>128.76195032504862</v>
      </c>
      <c r="J1356">
        <f t="shared" si="164"/>
        <v>477.07865288936432</v>
      </c>
      <c r="K1356" s="27">
        <f t="shared" si="165"/>
        <v>4227.3358874305495</v>
      </c>
    </row>
    <row r="1357" spans="1:11" x14ac:dyDescent="0.25">
      <c r="A1357" s="26">
        <v>1307</v>
      </c>
      <c r="B1357" s="82">
        <f t="shared" si="166"/>
        <v>0</v>
      </c>
      <c r="C1357" s="58">
        <f t="shared" si="162"/>
        <v>104.50616427295054</v>
      </c>
      <c r="D1357" s="83">
        <f t="shared" si="167"/>
        <v>445.77777777777789</v>
      </c>
      <c r="E1357">
        <f t="shared" si="163"/>
        <v>0</v>
      </c>
      <c r="G1357">
        <v>1307</v>
      </c>
      <c r="H1357" s="13">
        <f t="shared" si="168"/>
        <v>1.8572577375266519E-2</v>
      </c>
      <c r="I1357">
        <f t="shared" si="169"/>
        <v>128.78052290242388</v>
      </c>
      <c r="J1357">
        <f t="shared" si="164"/>
        <v>477.09470405564912</v>
      </c>
      <c r="K1357" s="27">
        <f t="shared" si="165"/>
        <v>4227.6202719534513</v>
      </c>
    </row>
    <row r="1358" spans="1:11" x14ac:dyDescent="0.25">
      <c r="A1358" s="26">
        <v>1308</v>
      </c>
      <c r="B1358" s="82">
        <f t="shared" si="166"/>
        <v>0</v>
      </c>
      <c r="C1358" s="58">
        <f t="shared" si="162"/>
        <v>104.50616427295054</v>
      </c>
      <c r="D1358" s="83">
        <f t="shared" si="167"/>
        <v>445.77777777777789</v>
      </c>
      <c r="E1358">
        <f t="shared" si="163"/>
        <v>0</v>
      </c>
      <c r="G1358">
        <v>1308</v>
      </c>
      <c r="H1358" s="13">
        <f t="shared" si="168"/>
        <v>1.8572577375266519E-2</v>
      </c>
      <c r="I1358">
        <f t="shared" si="169"/>
        <v>128.79909547979915</v>
      </c>
      <c r="J1358">
        <f t="shared" si="164"/>
        <v>477.11074728392032</v>
      </c>
      <c r="K1358" s="27">
        <f t="shared" si="165"/>
        <v>4227.9045254036455</v>
      </c>
    </row>
    <row r="1359" spans="1:11" x14ac:dyDescent="0.25">
      <c r="A1359" s="26">
        <v>1309</v>
      </c>
      <c r="B1359" s="82">
        <f t="shared" si="166"/>
        <v>0</v>
      </c>
      <c r="C1359" s="58">
        <f t="shared" si="162"/>
        <v>104.50616427295054</v>
      </c>
      <c r="D1359" s="83">
        <f t="shared" si="167"/>
        <v>445.77777777777789</v>
      </c>
      <c r="E1359">
        <f t="shared" si="163"/>
        <v>0</v>
      </c>
      <c r="G1359">
        <v>1309</v>
      </c>
      <c r="H1359" s="13">
        <f t="shared" si="168"/>
        <v>1.8572577375266519E-2</v>
      </c>
      <c r="I1359">
        <f t="shared" si="169"/>
        <v>128.81766805717442</v>
      </c>
      <c r="J1359">
        <f t="shared" si="164"/>
        <v>477.12678257920987</v>
      </c>
      <c r="K1359" s="27">
        <f t="shared" si="165"/>
        <v>4228.1886478560709</v>
      </c>
    </row>
    <row r="1360" spans="1:11" x14ac:dyDescent="0.25">
      <c r="A1360" s="26">
        <v>1310</v>
      </c>
      <c r="B1360" s="82">
        <f t="shared" si="166"/>
        <v>0</v>
      </c>
      <c r="C1360" s="58">
        <f t="shared" ref="C1360:C1423" si="170">($C$37-$C$36)/2000+C1359</f>
        <v>104.50616427295054</v>
      </c>
      <c r="D1360" s="83">
        <f t="shared" si="167"/>
        <v>445.77777777777789</v>
      </c>
      <c r="E1360">
        <f t="shared" si="163"/>
        <v>0</v>
      </c>
      <c r="G1360">
        <v>1310</v>
      </c>
      <c r="H1360" s="13">
        <f t="shared" si="168"/>
        <v>1.8572577375266519E-2</v>
      </c>
      <c r="I1360">
        <f t="shared" si="169"/>
        <v>128.83624063454968</v>
      </c>
      <c r="J1360">
        <f t="shared" si="164"/>
        <v>477.14280994654297</v>
      </c>
      <c r="K1360" s="27">
        <f t="shared" si="165"/>
        <v>4228.4726393855663</v>
      </c>
    </row>
    <row r="1361" spans="1:11" x14ac:dyDescent="0.25">
      <c r="A1361" s="26">
        <v>1311</v>
      </c>
      <c r="B1361" s="82">
        <f t="shared" si="166"/>
        <v>0</v>
      </c>
      <c r="C1361" s="58">
        <f t="shared" si="170"/>
        <v>104.50616427295054</v>
      </c>
      <c r="D1361" s="83">
        <f t="shared" si="167"/>
        <v>445.77777777777789</v>
      </c>
      <c r="E1361">
        <f t="shared" si="163"/>
        <v>0</v>
      </c>
      <c r="G1361">
        <v>1311</v>
      </c>
      <c r="H1361" s="13">
        <f t="shared" si="168"/>
        <v>1.8572577375266519E-2</v>
      </c>
      <c r="I1361">
        <f t="shared" si="169"/>
        <v>128.85481321192495</v>
      </c>
      <c r="J1361">
        <f t="shared" si="164"/>
        <v>477.15882939093797</v>
      </c>
      <c r="K1361" s="27">
        <f t="shared" si="165"/>
        <v>4228.7565000668665</v>
      </c>
    </row>
    <row r="1362" spans="1:11" x14ac:dyDescent="0.25">
      <c r="A1362" s="26">
        <v>1312</v>
      </c>
      <c r="B1362" s="82">
        <f t="shared" si="166"/>
        <v>0</v>
      </c>
      <c r="C1362" s="58">
        <f t="shared" si="170"/>
        <v>104.50616427295054</v>
      </c>
      <c r="D1362" s="83">
        <f t="shared" si="167"/>
        <v>445.77777777777789</v>
      </c>
      <c r="E1362">
        <f t="shared" si="163"/>
        <v>0</v>
      </c>
      <c r="G1362">
        <v>1312</v>
      </c>
      <c r="H1362" s="13">
        <f t="shared" si="168"/>
        <v>1.8572577375266519E-2</v>
      </c>
      <c r="I1362">
        <f t="shared" si="169"/>
        <v>128.87338578930022</v>
      </c>
      <c r="J1362">
        <f t="shared" si="164"/>
        <v>477.17484091740653</v>
      </c>
      <c r="K1362" s="27">
        <f t="shared" si="165"/>
        <v>4229.0402299746129</v>
      </c>
    </row>
    <row r="1363" spans="1:11" x14ac:dyDescent="0.25">
      <c r="A1363" s="26">
        <v>1313</v>
      </c>
      <c r="B1363" s="82">
        <f t="shared" si="166"/>
        <v>0</v>
      </c>
      <c r="C1363" s="58">
        <f t="shared" si="170"/>
        <v>104.50616427295054</v>
      </c>
      <c r="D1363" s="83">
        <f t="shared" si="167"/>
        <v>445.77777777777789</v>
      </c>
      <c r="E1363">
        <f t="shared" si="163"/>
        <v>0</v>
      </c>
      <c r="G1363">
        <v>1313</v>
      </c>
      <c r="H1363" s="13">
        <f t="shared" si="168"/>
        <v>1.8572577375266519E-2</v>
      </c>
      <c r="I1363">
        <f t="shared" si="169"/>
        <v>128.89195836667548</v>
      </c>
      <c r="J1363">
        <f t="shared" si="164"/>
        <v>477.19084453095377</v>
      </c>
      <c r="K1363" s="27">
        <f t="shared" si="165"/>
        <v>4229.3238291833413</v>
      </c>
    </row>
    <row r="1364" spans="1:11" x14ac:dyDescent="0.25">
      <c r="A1364" s="26">
        <v>1314</v>
      </c>
      <c r="B1364" s="82">
        <f t="shared" si="166"/>
        <v>0</v>
      </c>
      <c r="C1364" s="58">
        <f t="shared" si="170"/>
        <v>104.50616427295054</v>
      </c>
      <c r="D1364" s="83">
        <f t="shared" si="167"/>
        <v>445.77777777777789</v>
      </c>
      <c r="E1364">
        <f t="shared" si="163"/>
        <v>0</v>
      </c>
      <c r="G1364">
        <v>1314</v>
      </c>
      <c r="H1364" s="13">
        <f t="shared" si="168"/>
        <v>1.8572577375266519E-2</v>
      </c>
      <c r="I1364">
        <f t="shared" si="169"/>
        <v>128.91053094405075</v>
      </c>
      <c r="J1364">
        <f t="shared" si="164"/>
        <v>477.20684023657788</v>
      </c>
      <c r="K1364" s="27">
        <f t="shared" si="165"/>
        <v>4229.6072977674903</v>
      </c>
    </row>
    <row r="1365" spans="1:11" x14ac:dyDescent="0.25">
      <c r="A1365" s="26">
        <v>1315</v>
      </c>
      <c r="B1365" s="82">
        <f t="shared" si="166"/>
        <v>0</v>
      </c>
      <c r="C1365" s="58">
        <f t="shared" si="170"/>
        <v>104.50616427295054</v>
      </c>
      <c r="D1365" s="83">
        <f t="shared" si="167"/>
        <v>445.77777777777789</v>
      </c>
      <c r="E1365">
        <f t="shared" si="163"/>
        <v>0</v>
      </c>
      <c r="G1365">
        <v>1315</v>
      </c>
      <c r="H1365" s="13">
        <f t="shared" si="168"/>
        <v>1.8572577375266519E-2</v>
      </c>
      <c r="I1365">
        <f t="shared" si="169"/>
        <v>128.92910352142601</v>
      </c>
      <c r="J1365">
        <f t="shared" si="164"/>
        <v>477.22282803927055</v>
      </c>
      <c r="K1365" s="27">
        <f t="shared" si="165"/>
        <v>4229.8906358013974</v>
      </c>
    </row>
    <row r="1366" spans="1:11" x14ac:dyDescent="0.25">
      <c r="A1366" s="26">
        <v>1316</v>
      </c>
      <c r="B1366" s="82">
        <f t="shared" si="166"/>
        <v>0</v>
      </c>
      <c r="C1366" s="58">
        <f t="shared" si="170"/>
        <v>104.50616427295054</v>
      </c>
      <c r="D1366" s="83">
        <f t="shared" si="167"/>
        <v>445.77777777777789</v>
      </c>
      <c r="E1366">
        <f t="shared" si="163"/>
        <v>0</v>
      </c>
      <c r="G1366">
        <v>1316</v>
      </c>
      <c r="H1366" s="13">
        <f t="shared" si="168"/>
        <v>1.8572577375266519E-2</v>
      </c>
      <c r="I1366">
        <f t="shared" si="169"/>
        <v>128.94767609880128</v>
      </c>
      <c r="J1366">
        <f t="shared" si="164"/>
        <v>477.2388079440168</v>
      </c>
      <c r="K1366" s="27">
        <f t="shared" si="165"/>
        <v>4230.1738433593046</v>
      </c>
    </row>
    <row r="1367" spans="1:11" x14ac:dyDescent="0.25">
      <c r="A1367" s="26">
        <v>1317</v>
      </c>
      <c r="B1367" s="82">
        <f t="shared" si="166"/>
        <v>0</v>
      </c>
      <c r="C1367" s="58">
        <f t="shared" si="170"/>
        <v>104.50616427295054</v>
      </c>
      <c r="D1367" s="83">
        <f t="shared" si="167"/>
        <v>445.77777777777789</v>
      </c>
      <c r="E1367">
        <f t="shared" si="163"/>
        <v>0</v>
      </c>
      <c r="G1367">
        <v>1317</v>
      </c>
      <c r="H1367" s="13">
        <f t="shared" si="168"/>
        <v>1.8572577375266519E-2</v>
      </c>
      <c r="I1367">
        <f t="shared" si="169"/>
        <v>128.96624867617655</v>
      </c>
      <c r="J1367">
        <f t="shared" si="164"/>
        <v>477.2547799557949</v>
      </c>
      <c r="K1367" s="27">
        <f t="shared" si="165"/>
        <v>4230.4569205153521</v>
      </c>
    </row>
    <row r="1368" spans="1:11" x14ac:dyDescent="0.25">
      <c r="A1368" s="26">
        <v>1318</v>
      </c>
      <c r="B1368" s="82">
        <f t="shared" si="166"/>
        <v>0</v>
      </c>
      <c r="C1368" s="58">
        <f t="shared" si="170"/>
        <v>104.50616427295054</v>
      </c>
      <c r="D1368" s="83">
        <f t="shared" si="167"/>
        <v>445.77777777777789</v>
      </c>
      <c r="E1368">
        <f t="shared" si="163"/>
        <v>0</v>
      </c>
      <c r="G1368">
        <v>1318</v>
      </c>
      <c r="H1368" s="13">
        <f t="shared" si="168"/>
        <v>1.8572577375266519E-2</v>
      </c>
      <c r="I1368">
        <f t="shared" si="169"/>
        <v>128.98482125355181</v>
      </c>
      <c r="J1368">
        <f t="shared" si="164"/>
        <v>477.27074407957656</v>
      </c>
      <c r="K1368" s="27">
        <f t="shared" si="165"/>
        <v>4230.739867343581</v>
      </c>
    </row>
    <row r="1369" spans="1:11" x14ac:dyDescent="0.25">
      <c r="A1369" s="26">
        <v>1319</v>
      </c>
      <c r="B1369" s="82">
        <f t="shared" si="166"/>
        <v>0</v>
      </c>
      <c r="C1369" s="58">
        <f t="shared" si="170"/>
        <v>104.50616427295054</v>
      </c>
      <c r="D1369" s="83">
        <f t="shared" si="167"/>
        <v>445.77777777777789</v>
      </c>
      <c r="E1369">
        <f t="shared" si="163"/>
        <v>0</v>
      </c>
      <c r="G1369">
        <v>1319</v>
      </c>
      <c r="H1369" s="13">
        <f t="shared" si="168"/>
        <v>1.8572577375266519E-2</v>
      </c>
      <c r="I1369">
        <f t="shared" si="169"/>
        <v>129.00339383092708</v>
      </c>
      <c r="J1369">
        <f t="shared" si="164"/>
        <v>477.28670032032682</v>
      </c>
      <c r="K1369" s="27">
        <f t="shared" si="165"/>
        <v>4231.022683917935</v>
      </c>
    </row>
    <row r="1370" spans="1:11" x14ac:dyDescent="0.25">
      <c r="A1370" s="26">
        <v>1320</v>
      </c>
      <c r="B1370" s="82">
        <f t="shared" si="166"/>
        <v>0</v>
      </c>
      <c r="C1370" s="58">
        <f t="shared" si="170"/>
        <v>104.50616427295054</v>
      </c>
      <c r="D1370" s="83">
        <f t="shared" si="167"/>
        <v>445.77777777777789</v>
      </c>
      <c r="E1370">
        <f t="shared" si="163"/>
        <v>0</v>
      </c>
      <c r="G1370">
        <v>1320</v>
      </c>
      <c r="H1370" s="13">
        <f t="shared" si="168"/>
        <v>1.8572577375266519E-2</v>
      </c>
      <c r="I1370">
        <f t="shared" si="169"/>
        <v>129.02196640830235</v>
      </c>
      <c r="J1370">
        <f t="shared" si="164"/>
        <v>477.30264868300412</v>
      </c>
      <c r="K1370" s="27">
        <f t="shared" si="165"/>
        <v>4231.3053703122587</v>
      </c>
    </row>
    <row r="1371" spans="1:11" x14ac:dyDescent="0.25">
      <c r="A1371" s="26">
        <v>1321</v>
      </c>
      <c r="B1371" s="82">
        <f t="shared" si="166"/>
        <v>0</v>
      </c>
      <c r="C1371" s="58">
        <f t="shared" si="170"/>
        <v>104.50616427295054</v>
      </c>
      <c r="D1371" s="83">
        <f t="shared" si="167"/>
        <v>445.77777777777789</v>
      </c>
      <c r="E1371">
        <f t="shared" si="163"/>
        <v>0</v>
      </c>
      <c r="G1371">
        <v>1321</v>
      </c>
      <c r="H1371" s="13">
        <f t="shared" si="168"/>
        <v>1.8572577375266519E-2</v>
      </c>
      <c r="I1371">
        <f t="shared" si="169"/>
        <v>129.04053898567761</v>
      </c>
      <c r="J1371">
        <f t="shared" si="164"/>
        <v>477.31858917256034</v>
      </c>
      <c r="K1371" s="27">
        <f t="shared" si="165"/>
        <v>4231.5879266002967</v>
      </c>
    </row>
    <row r="1372" spans="1:11" x14ac:dyDescent="0.25">
      <c r="A1372" s="26">
        <v>1322</v>
      </c>
      <c r="B1372" s="82">
        <f t="shared" si="166"/>
        <v>0</v>
      </c>
      <c r="C1372" s="58">
        <f t="shared" si="170"/>
        <v>104.50616427295054</v>
      </c>
      <c r="D1372" s="83">
        <f t="shared" si="167"/>
        <v>445.77777777777789</v>
      </c>
      <c r="E1372">
        <f t="shared" si="163"/>
        <v>0</v>
      </c>
      <c r="G1372">
        <v>1322</v>
      </c>
      <c r="H1372" s="13">
        <f t="shared" si="168"/>
        <v>1.8572577375266519E-2</v>
      </c>
      <c r="I1372">
        <f t="shared" si="169"/>
        <v>129.05911156305288</v>
      </c>
      <c r="J1372">
        <f t="shared" si="164"/>
        <v>477.33452179394067</v>
      </c>
      <c r="K1372" s="27">
        <f t="shared" si="165"/>
        <v>4231.8703528557007</v>
      </c>
    </row>
    <row r="1373" spans="1:11" x14ac:dyDescent="0.25">
      <c r="A1373" s="26">
        <v>1323</v>
      </c>
      <c r="B1373" s="82">
        <f t="shared" si="166"/>
        <v>0</v>
      </c>
      <c r="C1373" s="58">
        <f t="shared" si="170"/>
        <v>104.50616427295054</v>
      </c>
      <c r="D1373" s="83">
        <f t="shared" si="167"/>
        <v>445.77777777777789</v>
      </c>
      <c r="E1373">
        <f t="shared" si="163"/>
        <v>0</v>
      </c>
      <c r="G1373">
        <v>1323</v>
      </c>
      <c r="H1373" s="13">
        <f t="shared" si="168"/>
        <v>1.8572577375266519E-2</v>
      </c>
      <c r="I1373">
        <f t="shared" si="169"/>
        <v>129.07768414042815</v>
      </c>
      <c r="J1373">
        <f t="shared" si="164"/>
        <v>477.35044655208378</v>
      </c>
      <c r="K1373" s="27">
        <f t="shared" si="165"/>
        <v>4232.1526491520171</v>
      </c>
    </row>
    <row r="1374" spans="1:11" x14ac:dyDescent="0.25">
      <c r="A1374" s="26">
        <v>1324</v>
      </c>
      <c r="B1374" s="82">
        <f t="shared" si="166"/>
        <v>0</v>
      </c>
      <c r="C1374" s="58">
        <f t="shared" si="170"/>
        <v>104.50616427295054</v>
      </c>
      <c r="D1374" s="83">
        <f t="shared" si="167"/>
        <v>445.77777777777789</v>
      </c>
      <c r="E1374">
        <f t="shared" si="163"/>
        <v>0</v>
      </c>
      <c r="G1374">
        <v>1324</v>
      </c>
      <c r="H1374" s="13">
        <f t="shared" si="168"/>
        <v>1.8572577375266519E-2</v>
      </c>
      <c r="I1374">
        <f t="shared" si="169"/>
        <v>129.09625671780341</v>
      </c>
      <c r="J1374">
        <f t="shared" si="164"/>
        <v>477.36636345192181</v>
      </c>
      <c r="K1374" s="27">
        <f t="shared" si="165"/>
        <v>4232.4348155627022</v>
      </c>
    </row>
    <row r="1375" spans="1:11" x14ac:dyDescent="0.25">
      <c r="A1375" s="26">
        <v>1325</v>
      </c>
      <c r="B1375" s="82">
        <f t="shared" si="166"/>
        <v>0</v>
      </c>
      <c r="C1375" s="58">
        <f t="shared" si="170"/>
        <v>104.50616427295054</v>
      </c>
      <c r="D1375" s="83">
        <f t="shared" si="167"/>
        <v>445.77777777777789</v>
      </c>
      <c r="E1375">
        <f t="shared" si="163"/>
        <v>0</v>
      </c>
      <c r="G1375">
        <v>1325</v>
      </c>
      <c r="H1375" s="13">
        <f t="shared" si="168"/>
        <v>1.8572577375266519E-2</v>
      </c>
      <c r="I1375">
        <f t="shared" si="169"/>
        <v>129.11482929517868</v>
      </c>
      <c r="J1375">
        <f t="shared" si="164"/>
        <v>477.3822724983803</v>
      </c>
      <c r="K1375" s="27">
        <f t="shared" si="165"/>
        <v>4232.7168521611084</v>
      </c>
    </row>
    <row r="1376" spans="1:11" x14ac:dyDescent="0.25">
      <c r="A1376" s="26">
        <v>1326</v>
      </c>
      <c r="B1376" s="82">
        <f t="shared" si="166"/>
        <v>0</v>
      </c>
      <c r="C1376" s="58">
        <f t="shared" si="170"/>
        <v>104.50616427295054</v>
      </c>
      <c r="D1376" s="83">
        <f t="shared" si="167"/>
        <v>445.77777777777789</v>
      </c>
      <c r="E1376">
        <f t="shared" si="163"/>
        <v>0</v>
      </c>
      <c r="G1376">
        <v>1326</v>
      </c>
      <c r="H1376" s="13">
        <f t="shared" si="168"/>
        <v>1.8572577375266519E-2</v>
      </c>
      <c r="I1376">
        <f t="shared" si="169"/>
        <v>129.13340187255395</v>
      </c>
      <c r="J1376">
        <f t="shared" si="164"/>
        <v>477.39817369637831</v>
      </c>
      <c r="K1376" s="27">
        <f t="shared" si="165"/>
        <v>4232.9987590204937</v>
      </c>
    </row>
    <row r="1377" spans="1:11" x14ac:dyDescent="0.25">
      <c r="A1377" s="26">
        <v>1327</v>
      </c>
      <c r="B1377" s="82">
        <f t="shared" si="166"/>
        <v>0</v>
      </c>
      <c r="C1377" s="58">
        <f t="shared" si="170"/>
        <v>104.50616427295054</v>
      </c>
      <c r="D1377" s="83">
        <f t="shared" si="167"/>
        <v>445.77777777777789</v>
      </c>
      <c r="E1377">
        <f t="shared" si="163"/>
        <v>0</v>
      </c>
      <c r="G1377">
        <v>1327</v>
      </c>
      <c r="H1377" s="13">
        <f t="shared" si="168"/>
        <v>1.8572577375266519E-2</v>
      </c>
      <c r="I1377">
        <f t="shared" si="169"/>
        <v>129.15197444992921</v>
      </c>
      <c r="J1377">
        <f t="shared" si="164"/>
        <v>477.41406705082824</v>
      </c>
      <c r="K1377" s="27">
        <f t="shared" si="165"/>
        <v>4233.2805362140189</v>
      </c>
    </row>
    <row r="1378" spans="1:11" x14ac:dyDescent="0.25">
      <c r="A1378" s="26">
        <v>1328</v>
      </c>
      <c r="B1378" s="82">
        <f t="shared" si="166"/>
        <v>0</v>
      </c>
      <c r="C1378" s="58">
        <f t="shared" si="170"/>
        <v>104.50616427295054</v>
      </c>
      <c r="D1378" s="83">
        <f t="shared" si="167"/>
        <v>445.77777777777789</v>
      </c>
      <c r="E1378">
        <f t="shared" si="163"/>
        <v>0</v>
      </c>
      <c r="G1378">
        <v>1328</v>
      </c>
      <c r="H1378" s="13">
        <f t="shared" si="168"/>
        <v>1.8572577375266519E-2</v>
      </c>
      <c r="I1378">
        <f t="shared" si="169"/>
        <v>129.17054702730448</v>
      </c>
      <c r="J1378">
        <f t="shared" si="164"/>
        <v>477.42995256663608</v>
      </c>
      <c r="K1378" s="27">
        <f t="shared" si="165"/>
        <v>4233.5621838147463</v>
      </c>
    </row>
    <row r="1379" spans="1:11" x14ac:dyDescent="0.25">
      <c r="A1379" s="26">
        <v>1329</v>
      </c>
      <c r="B1379" s="82">
        <f t="shared" si="166"/>
        <v>0</v>
      </c>
      <c r="C1379" s="58">
        <f t="shared" si="170"/>
        <v>104.50616427295054</v>
      </c>
      <c r="D1379" s="83">
        <f t="shared" si="167"/>
        <v>445.77777777777789</v>
      </c>
      <c r="E1379">
        <f t="shared" si="163"/>
        <v>0</v>
      </c>
      <c r="G1379">
        <v>1329</v>
      </c>
      <c r="H1379" s="13">
        <f t="shared" si="168"/>
        <v>1.8572577375266519E-2</v>
      </c>
      <c r="I1379">
        <f t="shared" si="169"/>
        <v>129.18911960467975</v>
      </c>
      <c r="J1379">
        <f t="shared" si="164"/>
        <v>477.44583024870121</v>
      </c>
      <c r="K1379" s="27">
        <f t="shared" si="165"/>
        <v>4233.8437018956438</v>
      </c>
    </row>
    <row r="1380" spans="1:11" x14ac:dyDescent="0.25">
      <c r="A1380" s="26">
        <v>1330</v>
      </c>
      <c r="B1380" s="82">
        <f t="shared" si="166"/>
        <v>0</v>
      </c>
      <c r="C1380" s="58">
        <f t="shared" si="170"/>
        <v>104.50616427295054</v>
      </c>
      <c r="D1380" s="83">
        <f t="shared" si="167"/>
        <v>445.77777777777789</v>
      </c>
      <c r="E1380">
        <f t="shared" si="163"/>
        <v>0</v>
      </c>
      <c r="G1380">
        <v>1330</v>
      </c>
      <c r="H1380" s="13">
        <f t="shared" si="168"/>
        <v>1.8572577375266519E-2</v>
      </c>
      <c r="I1380">
        <f t="shared" si="169"/>
        <v>129.20769218205501</v>
      </c>
      <c r="J1380">
        <f t="shared" si="164"/>
        <v>477.46170010191673</v>
      </c>
      <c r="K1380" s="27">
        <f t="shared" si="165"/>
        <v>4234.1250905295792</v>
      </c>
    </row>
    <row r="1381" spans="1:11" x14ac:dyDescent="0.25">
      <c r="A1381" s="26">
        <v>1331</v>
      </c>
      <c r="B1381" s="82">
        <f t="shared" si="166"/>
        <v>0</v>
      </c>
      <c r="C1381" s="58">
        <f t="shared" si="170"/>
        <v>104.50616427295054</v>
      </c>
      <c r="D1381" s="83">
        <f t="shared" si="167"/>
        <v>445.77777777777789</v>
      </c>
      <c r="E1381">
        <f t="shared" si="163"/>
        <v>0</v>
      </c>
      <c r="G1381">
        <v>1331</v>
      </c>
      <c r="H1381" s="13">
        <f t="shared" si="168"/>
        <v>1.8572577375266519E-2</v>
      </c>
      <c r="I1381">
        <f t="shared" si="169"/>
        <v>129.22626475943028</v>
      </c>
      <c r="J1381">
        <f t="shared" si="164"/>
        <v>477.47756213116895</v>
      </c>
      <c r="K1381" s="27">
        <f t="shared" si="165"/>
        <v>4234.4063497893285</v>
      </c>
    </row>
    <row r="1382" spans="1:11" x14ac:dyDescent="0.25">
      <c r="A1382" s="26">
        <v>1332</v>
      </c>
      <c r="B1382" s="82">
        <f t="shared" si="166"/>
        <v>0</v>
      </c>
      <c r="C1382" s="58">
        <f t="shared" si="170"/>
        <v>104.50616427295054</v>
      </c>
      <c r="D1382" s="83">
        <f t="shared" si="167"/>
        <v>445.77777777777789</v>
      </c>
      <c r="E1382">
        <f t="shared" si="163"/>
        <v>0</v>
      </c>
      <c r="G1382">
        <v>1332</v>
      </c>
      <c r="H1382" s="13">
        <f t="shared" si="168"/>
        <v>1.8572577375266519E-2</v>
      </c>
      <c r="I1382">
        <f t="shared" si="169"/>
        <v>129.24483733680555</v>
      </c>
      <c r="J1382">
        <f t="shared" si="164"/>
        <v>477.49341634133805</v>
      </c>
      <c r="K1382" s="27">
        <f t="shared" si="165"/>
        <v>4234.6874797475639</v>
      </c>
    </row>
    <row r="1383" spans="1:11" x14ac:dyDescent="0.25">
      <c r="A1383" s="26">
        <v>1333</v>
      </c>
      <c r="B1383" s="82">
        <f t="shared" si="166"/>
        <v>0</v>
      </c>
      <c r="C1383" s="58">
        <f t="shared" si="170"/>
        <v>104.50616427295054</v>
      </c>
      <c r="D1383" s="83">
        <f t="shared" si="167"/>
        <v>445.77777777777789</v>
      </c>
      <c r="E1383">
        <f t="shared" si="163"/>
        <v>0</v>
      </c>
      <c r="G1383">
        <v>1333</v>
      </c>
      <c r="H1383" s="13">
        <f t="shared" si="168"/>
        <v>1.8572577375266519E-2</v>
      </c>
      <c r="I1383">
        <f t="shared" si="169"/>
        <v>129.26340991418081</v>
      </c>
      <c r="J1383">
        <f t="shared" si="164"/>
        <v>477.50926273729738</v>
      </c>
      <c r="K1383" s="27">
        <f t="shared" si="165"/>
        <v>4234.9684804768685</v>
      </c>
    </row>
    <row r="1384" spans="1:11" x14ac:dyDescent="0.25">
      <c r="A1384" s="26">
        <v>1334</v>
      </c>
      <c r="B1384" s="82">
        <f t="shared" si="166"/>
        <v>0</v>
      </c>
      <c r="C1384" s="58">
        <f t="shared" si="170"/>
        <v>104.50616427295054</v>
      </c>
      <c r="D1384" s="83">
        <f t="shared" si="167"/>
        <v>445.77777777777789</v>
      </c>
      <c r="E1384">
        <f t="shared" si="163"/>
        <v>0</v>
      </c>
      <c r="G1384">
        <v>1334</v>
      </c>
      <c r="H1384" s="13">
        <f t="shared" si="168"/>
        <v>1.8572577375266519E-2</v>
      </c>
      <c r="I1384">
        <f t="shared" si="169"/>
        <v>129.28198249155608</v>
      </c>
      <c r="J1384">
        <f t="shared" si="164"/>
        <v>477.5251013239141</v>
      </c>
      <c r="K1384" s="27">
        <f t="shared" si="165"/>
        <v>4235.2493520497273</v>
      </c>
    </row>
    <row r="1385" spans="1:11" x14ac:dyDescent="0.25">
      <c r="A1385" s="26">
        <v>1335</v>
      </c>
      <c r="B1385" s="82">
        <f t="shared" si="166"/>
        <v>0</v>
      </c>
      <c r="C1385" s="58">
        <f t="shared" si="170"/>
        <v>104.50616427295054</v>
      </c>
      <c r="D1385" s="83">
        <f t="shared" si="167"/>
        <v>445.77777777777789</v>
      </c>
      <c r="E1385">
        <f t="shared" si="163"/>
        <v>0</v>
      </c>
      <c r="G1385">
        <v>1335</v>
      </c>
      <c r="H1385" s="13">
        <f t="shared" si="168"/>
        <v>1.8572577375266519E-2</v>
      </c>
      <c r="I1385">
        <f t="shared" si="169"/>
        <v>129.30055506893135</v>
      </c>
      <c r="J1385">
        <f t="shared" si="164"/>
        <v>477.54093210604896</v>
      </c>
      <c r="K1385" s="27">
        <f t="shared" si="165"/>
        <v>4235.5300945385288</v>
      </c>
    </row>
    <row r="1386" spans="1:11" x14ac:dyDescent="0.25">
      <c r="A1386" s="26">
        <v>1336</v>
      </c>
      <c r="B1386" s="82">
        <f t="shared" si="166"/>
        <v>0</v>
      </c>
      <c r="C1386" s="58">
        <f t="shared" si="170"/>
        <v>104.50616427295054</v>
      </c>
      <c r="D1386" s="83">
        <f t="shared" si="167"/>
        <v>445.77777777777789</v>
      </c>
      <c r="E1386">
        <f t="shared" si="163"/>
        <v>0</v>
      </c>
      <c r="G1386">
        <v>1336</v>
      </c>
      <c r="H1386" s="13">
        <f t="shared" si="168"/>
        <v>1.8572577375266519E-2</v>
      </c>
      <c r="I1386">
        <f t="shared" si="169"/>
        <v>129.31912764630661</v>
      </c>
      <c r="J1386">
        <f t="shared" si="164"/>
        <v>477.55675508855603</v>
      </c>
      <c r="K1386" s="27">
        <f t="shared" si="165"/>
        <v>4235.8107080155651</v>
      </c>
    </row>
    <row r="1387" spans="1:11" x14ac:dyDescent="0.25">
      <c r="A1387" s="26">
        <v>1337</v>
      </c>
      <c r="B1387" s="82">
        <f t="shared" si="166"/>
        <v>0</v>
      </c>
      <c r="C1387" s="58">
        <f t="shared" si="170"/>
        <v>104.50616427295054</v>
      </c>
      <c r="D1387" s="83">
        <f t="shared" si="167"/>
        <v>445.77777777777789</v>
      </c>
      <c r="E1387">
        <f t="shared" si="163"/>
        <v>0</v>
      </c>
      <c r="G1387">
        <v>1337</v>
      </c>
      <c r="H1387" s="13">
        <f t="shared" si="168"/>
        <v>1.8572577375266519E-2</v>
      </c>
      <c r="I1387">
        <f t="shared" si="169"/>
        <v>129.33770022368188</v>
      </c>
      <c r="J1387">
        <f t="shared" si="164"/>
        <v>477.57257027628327</v>
      </c>
      <c r="K1387" s="27">
        <f t="shared" si="165"/>
        <v>4236.0911925530345</v>
      </c>
    </row>
    <row r="1388" spans="1:11" x14ac:dyDescent="0.25">
      <c r="A1388" s="26">
        <v>1338</v>
      </c>
      <c r="B1388" s="82">
        <f t="shared" si="166"/>
        <v>0</v>
      </c>
      <c r="C1388" s="58">
        <f t="shared" si="170"/>
        <v>104.50616427295054</v>
      </c>
      <c r="D1388" s="83">
        <f t="shared" si="167"/>
        <v>445.77777777777789</v>
      </c>
      <c r="E1388">
        <f t="shared" si="163"/>
        <v>0</v>
      </c>
      <c r="G1388">
        <v>1338</v>
      </c>
      <c r="H1388" s="13">
        <f t="shared" si="168"/>
        <v>1.8572577375266519E-2</v>
      </c>
      <c r="I1388">
        <f t="shared" si="169"/>
        <v>129.35627280105714</v>
      </c>
      <c r="J1388">
        <f t="shared" si="164"/>
        <v>477.58837767407198</v>
      </c>
      <c r="K1388" s="27">
        <f t="shared" si="165"/>
        <v>4236.3715482230382</v>
      </c>
    </row>
    <row r="1389" spans="1:11" x14ac:dyDescent="0.25">
      <c r="A1389" s="26">
        <v>1339</v>
      </c>
      <c r="B1389" s="82">
        <f t="shared" si="166"/>
        <v>0</v>
      </c>
      <c r="C1389" s="58">
        <f t="shared" si="170"/>
        <v>104.50616427295054</v>
      </c>
      <c r="D1389" s="83">
        <f t="shared" si="167"/>
        <v>445.77777777777789</v>
      </c>
      <c r="E1389">
        <f t="shared" si="163"/>
        <v>0</v>
      </c>
      <c r="G1389">
        <v>1339</v>
      </c>
      <c r="H1389" s="13">
        <f t="shared" si="168"/>
        <v>1.8572577375266519E-2</v>
      </c>
      <c r="I1389">
        <f t="shared" si="169"/>
        <v>129.37484537843241</v>
      </c>
      <c r="J1389">
        <f t="shared" si="164"/>
        <v>477.60417728675725</v>
      </c>
      <c r="K1389" s="27">
        <f t="shared" si="165"/>
        <v>4236.6517750975845</v>
      </c>
    </row>
    <row r="1390" spans="1:11" x14ac:dyDescent="0.25">
      <c r="A1390" s="26">
        <v>1340</v>
      </c>
      <c r="B1390" s="82">
        <f t="shared" si="166"/>
        <v>0</v>
      </c>
      <c r="C1390" s="58">
        <f t="shared" si="170"/>
        <v>104.50616427295054</v>
      </c>
      <c r="D1390" s="83">
        <f t="shared" si="167"/>
        <v>445.77777777777789</v>
      </c>
      <c r="E1390">
        <f t="shared" si="163"/>
        <v>0</v>
      </c>
      <c r="G1390">
        <v>1340</v>
      </c>
      <c r="H1390" s="13">
        <f t="shared" si="168"/>
        <v>1.8572577375266519E-2</v>
      </c>
      <c r="I1390">
        <f t="shared" si="169"/>
        <v>129.39341795580768</v>
      </c>
      <c r="J1390">
        <f t="shared" si="164"/>
        <v>477.61996911916771</v>
      </c>
      <c r="K1390" s="27">
        <f t="shared" si="165"/>
        <v>4236.9318732485854</v>
      </c>
    </row>
    <row r="1391" spans="1:11" x14ac:dyDescent="0.25">
      <c r="A1391" s="26">
        <v>1341</v>
      </c>
      <c r="B1391" s="82">
        <f t="shared" si="166"/>
        <v>0</v>
      </c>
      <c r="C1391" s="58">
        <f t="shared" si="170"/>
        <v>104.50616427295054</v>
      </c>
      <c r="D1391" s="83">
        <f t="shared" si="167"/>
        <v>445.77777777777789</v>
      </c>
      <c r="E1391">
        <f t="shared" si="163"/>
        <v>0</v>
      </c>
      <c r="G1391">
        <v>1341</v>
      </c>
      <c r="H1391" s="13">
        <f t="shared" si="168"/>
        <v>1.8572577375266519E-2</v>
      </c>
      <c r="I1391">
        <f t="shared" si="169"/>
        <v>129.41199053318294</v>
      </c>
      <c r="J1391">
        <f t="shared" si="164"/>
        <v>477.6357531761256</v>
      </c>
      <c r="K1391" s="27">
        <f t="shared" si="165"/>
        <v>4237.2118427478572</v>
      </c>
    </row>
    <row r="1392" spans="1:11" x14ac:dyDescent="0.25">
      <c r="A1392" s="26">
        <v>1342</v>
      </c>
      <c r="B1392" s="82">
        <f t="shared" si="166"/>
        <v>0</v>
      </c>
      <c r="C1392" s="58">
        <f t="shared" si="170"/>
        <v>104.50616427295054</v>
      </c>
      <c r="D1392" s="83">
        <f t="shared" si="167"/>
        <v>445.77777777777789</v>
      </c>
      <c r="E1392">
        <f t="shared" si="163"/>
        <v>0</v>
      </c>
      <c r="G1392">
        <v>1342</v>
      </c>
      <c r="H1392" s="13">
        <f t="shared" si="168"/>
        <v>1.8572577375266519E-2</v>
      </c>
      <c r="I1392">
        <f t="shared" si="169"/>
        <v>129.43056311055821</v>
      </c>
      <c r="J1392">
        <f t="shared" si="164"/>
        <v>477.65152946244694</v>
      </c>
      <c r="K1392" s="27">
        <f t="shared" si="165"/>
        <v>4237.4916836671237</v>
      </c>
    </row>
    <row r="1393" spans="1:11" x14ac:dyDescent="0.25">
      <c r="A1393" s="26">
        <v>1343</v>
      </c>
      <c r="B1393" s="82">
        <f t="shared" si="166"/>
        <v>0</v>
      </c>
      <c r="C1393" s="58">
        <f t="shared" si="170"/>
        <v>104.50616427295054</v>
      </c>
      <c r="D1393" s="83">
        <f t="shared" si="167"/>
        <v>445.77777777777789</v>
      </c>
      <c r="E1393">
        <f t="shared" si="163"/>
        <v>0</v>
      </c>
      <c r="G1393">
        <v>1343</v>
      </c>
      <c r="H1393" s="13">
        <f t="shared" si="168"/>
        <v>1.8572577375266519E-2</v>
      </c>
      <c r="I1393">
        <f t="shared" si="169"/>
        <v>129.44913568793348</v>
      </c>
      <c r="J1393">
        <f t="shared" si="164"/>
        <v>477.66729798294119</v>
      </c>
      <c r="K1393" s="27">
        <f t="shared" si="165"/>
        <v>4237.7713960780111</v>
      </c>
    </row>
    <row r="1394" spans="1:11" x14ac:dyDescent="0.25">
      <c r="A1394" s="26">
        <v>1344</v>
      </c>
      <c r="B1394" s="82">
        <f t="shared" si="166"/>
        <v>0</v>
      </c>
      <c r="C1394" s="58">
        <f t="shared" si="170"/>
        <v>104.50616427295054</v>
      </c>
      <c r="D1394" s="83">
        <f t="shared" si="167"/>
        <v>445.77777777777789</v>
      </c>
      <c r="E1394">
        <f t="shared" si="163"/>
        <v>0</v>
      </c>
      <c r="G1394">
        <v>1344</v>
      </c>
      <c r="H1394" s="13">
        <f t="shared" si="168"/>
        <v>1.8572577375266519E-2</v>
      </c>
      <c r="I1394">
        <f t="shared" si="169"/>
        <v>129.46770826530874</v>
      </c>
      <c r="J1394">
        <f t="shared" si="164"/>
        <v>477.68305874241162</v>
      </c>
      <c r="K1394" s="27">
        <f t="shared" si="165"/>
        <v>4238.0509800520549</v>
      </c>
    </row>
    <row r="1395" spans="1:11" x14ac:dyDescent="0.25">
      <c r="A1395" s="26">
        <v>1345</v>
      </c>
      <c r="B1395" s="82">
        <f t="shared" si="166"/>
        <v>0</v>
      </c>
      <c r="C1395" s="58">
        <f t="shared" si="170"/>
        <v>104.50616427295054</v>
      </c>
      <c r="D1395" s="83">
        <f t="shared" si="167"/>
        <v>445.77777777777789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1.8572577375266519E-2</v>
      </c>
      <c r="I1395">
        <f t="shared" si="169"/>
        <v>129.48628084268401</v>
      </c>
      <c r="J1395">
        <f t="shared" ref="J1395:J1458" si="172">IF($G$28&lt;$C$14,0,((($C$11^2)-((I1395-$C$13)^2))^0.5)+$C$16)</f>
        <v>477.69881174565523</v>
      </c>
      <c r="K1395" s="27">
        <f t="shared" ref="K1395:K1458" si="173">((J1395^2)+(J1395*J1396)+(J1396^2))*H1396/3</f>
        <v>4238.3304356606959</v>
      </c>
    </row>
    <row r="1396" spans="1:11" x14ac:dyDescent="0.25">
      <c r="A1396" s="26">
        <v>1346</v>
      </c>
      <c r="B1396" s="82">
        <f t="shared" ref="B1396:B1459" si="174">C1396-C1395</f>
        <v>0</v>
      </c>
      <c r="C1396" s="58">
        <f t="shared" si="170"/>
        <v>104.50616427295054</v>
      </c>
      <c r="D1396" s="83">
        <f t="shared" ref="D1396:D1459" si="175">IF($G$28&lt;$C$14,0,((($C$11^2)-((C1396-$C$13)^2))^0.5)+$C$16)</f>
        <v>445.77777777777789</v>
      </c>
      <c r="E1396">
        <f t="shared" si="171"/>
        <v>0</v>
      </c>
      <c r="G1396">
        <v>1346</v>
      </c>
      <c r="H1396" s="13">
        <f t="shared" ref="H1396:H1459" si="176">I1396-I1395</f>
        <v>1.8572577375266519E-2</v>
      </c>
      <c r="I1396">
        <f t="shared" ref="I1396:I1459" si="177">($G$27-$C$14)/2000+I1395</f>
        <v>129.50485342005928</v>
      </c>
      <c r="J1396">
        <f t="shared" si="172"/>
        <v>477.71455699746258</v>
      </c>
      <c r="K1396" s="27">
        <f t="shared" si="173"/>
        <v>4238.6097629752785</v>
      </c>
    </row>
    <row r="1397" spans="1:11" x14ac:dyDescent="0.25">
      <c r="A1397" s="26">
        <v>1347</v>
      </c>
      <c r="B1397" s="82">
        <f t="shared" si="174"/>
        <v>0</v>
      </c>
      <c r="C1397" s="58">
        <f t="shared" si="170"/>
        <v>104.50616427295054</v>
      </c>
      <c r="D1397" s="83">
        <f t="shared" si="175"/>
        <v>445.77777777777789</v>
      </c>
      <c r="E1397">
        <f t="shared" si="171"/>
        <v>0</v>
      </c>
      <c r="G1397">
        <v>1347</v>
      </c>
      <c r="H1397" s="13">
        <f t="shared" si="176"/>
        <v>1.8572577375266519E-2</v>
      </c>
      <c r="I1397">
        <f t="shared" si="177"/>
        <v>129.52342599743454</v>
      </c>
      <c r="J1397">
        <f t="shared" si="172"/>
        <v>477.73029450261799</v>
      </c>
      <c r="K1397" s="27">
        <f t="shared" si="173"/>
        <v>4238.8889620670552</v>
      </c>
    </row>
    <row r="1398" spans="1:11" x14ac:dyDescent="0.25">
      <c r="A1398" s="26">
        <v>1348</v>
      </c>
      <c r="B1398" s="82">
        <f t="shared" si="174"/>
        <v>0</v>
      </c>
      <c r="C1398" s="58">
        <f t="shared" si="170"/>
        <v>104.50616427295054</v>
      </c>
      <c r="D1398" s="83">
        <f t="shared" si="175"/>
        <v>445.77777777777789</v>
      </c>
      <c r="E1398">
        <f t="shared" si="171"/>
        <v>0</v>
      </c>
      <c r="G1398">
        <v>1348</v>
      </c>
      <c r="H1398" s="13">
        <f t="shared" si="176"/>
        <v>1.8572577375266519E-2</v>
      </c>
      <c r="I1398">
        <f t="shared" si="177"/>
        <v>129.54199857480981</v>
      </c>
      <c r="J1398">
        <f t="shared" si="172"/>
        <v>477.74602426589945</v>
      </c>
      <c r="K1398" s="27">
        <f t="shared" si="173"/>
        <v>4239.1680330071831</v>
      </c>
    </row>
    <row r="1399" spans="1:11" x14ac:dyDescent="0.25">
      <c r="A1399" s="26">
        <v>1349</v>
      </c>
      <c r="B1399" s="82">
        <f t="shared" si="174"/>
        <v>0</v>
      </c>
      <c r="C1399" s="58">
        <f t="shared" si="170"/>
        <v>104.50616427295054</v>
      </c>
      <c r="D1399" s="83">
        <f t="shared" si="175"/>
        <v>445.77777777777789</v>
      </c>
      <c r="E1399">
        <f t="shared" si="171"/>
        <v>0</v>
      </c>
      <c r="G1399">
        <v>1349</v>
      </c>
      <c r="H1399" s="13">
        <f t="shared" si="176"/>
        <v>1.8572577375266519E-2</v>
      </c>
      <c r="I1399">
        <f t="shared" si="177"/>
        <v>129.56057115218508</v>
      </c>
      <c r="J1399">
        <f t="shared" si="172"/>
        <v>477.76174629207873</v>
      </c>
      <c r="K1399" s="27">
        <f t="shared" si="173"/>
        <v>4239.4469758667283</v>
      </c>
    </row>
    <row r="1400" spans="1:11" x14ac:dyDescent="0.25">
      <c r="A1400" s="26">
        <v>1350</v>
      </c>
      <c r="B1400" s="82">
        <f t="shared" si="174"/>
        <v>0</v>
      </c>
      <c r="C1400" s="58">
        <f t="shared" si="170"/>
        <v>104.50616427295054</v>
      </c>
      <c r="D1400" s="83">
        <f t="shared" si="175"/>
        <v>445.77777777777789</v>
      </c>
      <c r="E1400">
        <f t="shared" si="171"/>
        <v>0</v>
      </c>
      <c r="G1400">
        <v>1350</v>
      </c>
      <c r="H1400" s="13">
        <f t="shared" si="176"/>
        <v>1.8572577375266519E-2</v>
      </c>
      <c r="I1400">
        <f t="shared" si="177"/>
        <v>129.57914372956034</v>
      </c>
      <c r="J1400">
        <f t="shared" si="172"/>
        <v>477.77746058592135</v>
      </c>
      <c r="K1400" s="27">
        <f t="shared" si="173"/>
        <v>4239.7257907166631</v>
      </c>
    </row>
    <row r="1401" spans="1:11" x14ac:dyDescent="0.25">
      <c r="A1401" s="26">
        <v>1351</v>
      </c>
      <c r="B1401" s="82">
        <f t="shared" si="174"/>
        <v>0</v>
      </c>
      <c r="C1401" s="58">
        <f t="shared" si="170"/>
        <v>104.50616427295054</v>
      </c>
      <c r="D1401" s="83">
        <f t="shared" si="175"/>
        <v>445.77777777777789</v>
      </c>
      <c r="E1401">
        <f t="shared" si="171"/>
        <v>0</v>
      </c>
      <c r="G1401">
        <v>1351</v>
      </c>
      <c r="H1401" s="13">
        <f t="shared" si="176"/>
        <v>1.8572577375266519E-2</v>
      </c>
      <c r="I1401">
        <f t="shared" si="177"/>
        <v>129.59771630693561</v>
      </c>
      <c r="J1401">
        <f t="shared" si="172"/>
        <v>477.79316715218653</v>
      </c>
      <c r="K1401" s="27">
        <f t="shared" si="173"/>
        <v>4240.0044776278655</v>
      </c>
    </row>
    <row r="1402" spans="1:11" x14ac:dyDescent="0.25">
      <c r="A1402" s="26">
        <v>1352</v>
      </c>
      <c r="B1402" s="82">
        <f t="shared" si="174"/>
        <v>0</v>
      </c>
      <c r="C1402" s="58">
        <f t="shared" si="170"/>
        <v>104.50616427295054</v>
      </c>
      <c r="D1402" s="83">
        <f t="shared" si="175"/>
        <v>445.77777777777789</v>
      </c>
      <c r="E1402">
        <f t="shared" si="171"/>
        <v>0</v>
      </c>
      <c r="G1402">
        <v>1352</v>
      </c>
      <c r="H1402" s="13">
        <f t="shared" si="176"/>
        <v>1.8572577375266519E-2</v>
      </c>
      <c r="I1402">
        <f t="shared" si="177"/>
        <v>129.61628888431088</v>
      </c>
      <c r="J1402">
        <f t="shared" si="172"/>
        <v>477.80886599562723</v>
      </c>
      <c r="K1402" s="27">
        <f t="shared" si="173"/>
        <v>4240.2830366711196</v>
      </c>
    </row>
    <row r="1403" spans="1:11" x14ac:dyDescent="0.25">
      <c r="A1403" s="26">
        <v>1353</v>
      </c>
      <c r="B1403" s="82">
        <f t="shared" si="174"/>
        <v>0</v>
      </c>
      <c r="C1403" s="58">
        <f t="shared" si="170"/>
        <v>104.50616427295054</v>
      </c>
      <c r="D1403" s="83">
        <f t="shared" si="175"/>
        <v>445.77777777777789</v>
      </c>
      <c r="E1403">
        <f t="shared" si="171"/>
        <v>0</v>
      </c>
      <c r="G1403">
        <v>1353</v>
      </c>
      <c r="H1403" s="13">
        <f t="shared" si="176"/>
        <v>1.8572577375266519E-2</v>
      </c>
      <c r="I1403">
        <f t="shared" si="177"/>
        <v>129.63486146168614</v>
      </c>
      <c r="J1403">
        <f t="shared" si="172"/>
        <v>477.82455712099022</v>
      </c>
      <c r="K1403" s="27">
        <f t="shared" si="173"/>
        <v>4240.5614679171213</v>
      </c>
    </row>
    <row r="1404" spans="1:11" x14ac:dyDescent="0.25">
      <c r="A1404" s="26">
        <v>1354</v>
      </c>
      <c r="B1404" s="82">
        <f t="shared" si="174"/>
        <v>0</v>
      </c>
      <c r="C1404" s="58">
        <f t="shared" si="170"/>
        <v>104.50616427295054</v>
      </c>
      <c r="D1404" s="83">
        <f t="shared" si="175"/>
        <v>445.77777777777789</v>
      </c>
      <c r="E1404">
        <f t="shared" si="171"/>
        <v>0</v>
      </c>
      <c r="G1404">
        <v>1354</v>
      </c>
      <c r="H1404" s="13">
        <f t="shared" si="176"/>
        <v>1.8572577375266519E-2</v>
      </c>
      <c r="I1404">
        <f t="shared" si="177"/>
        <v>129.65343403906141</v>
      </c>
      <c r="J1404">
        <f t="shared" si="172"/>
        <v>477.84024053301601</v>
      </c>
      <c r="K1404" s="27">
        <f t="shared" si="173"/>
        <v>4240.8397714364683</v>
      </c>
    </row>
    <row r="1405" spans="1:11" x14ac:dyDescent="0.25">
      <c r="A1405" s="26">
        <v>1355</v>
      </c>
      <c r="B1405" s="82">
        <f t="shared" si="174"/>
        <v>0</v>
      </c>
      <c r="C1405" s="58">
        <f t="shared" si="170"/>
        <v>104.50616427295054</v>
      </c>
      <c r="D1405" s="83">
        <f t="shared" si="175"/>
        <v>445.77777777777789</v>
      </c>
      <c r="E1405">
        <f t="shared" si="171"/>
        <v>0</v>
      </c>
      <c r="G1405">
        <v>1355</v>
      </c>
      <c r="H1405" s="13">
        <f t="shared" si="176"/>
        <v>1.8572577375266519E-2</v>
      </c>
      <c r="I1405">
        <f t="shared" si="177"/>
        <v>129.67200661643668</v>
      </c>
      <c r="J1405">
        <f t="shared" si="172"/>
        <v>477.85591623643904</v>
      </c>
      <c r="K1405" s="27">
        <f t="shared" si="173"/>
        <v>4241.11794729967</v>
      </c>
    </row>
    <row r="1406" spans="1:11" x14ac:dyDescent="0.25">
      <c r="A1406" s="26">
        <v>1356</v>
      </c>
      <c r="B1406" s="82">
        <f t="shared" si="174"/>
        <v>0</v>
      </c>
      <c r="C1406" s="58">
        <f t="shared" si="170"/>
        <v>104.50616427295054</v>
      </c>
      <c r="D1406" s="83">
        <f t="shared" si="175"/>
        <v>445.77777777777789</v>
      </c>
      <c r="E1406">
        <f t="shared" si="171"/>
        <v>0</v>
      </c>
      <c r="G1406">
        <v>1356</v>
      </c>
      <c r="H1406" s="13">
        <f t="shared" si="176"/>
        <v>1.8572577375266519E-2</v>
      </c>
      <c r="I1406">
        <f t="shared" si="177"/>
        <v>129.69057919381194</v>
      </c>
      <c r="J1406">
        <f t="shared" si="172"/>
        <v>477.87158423598731</v>
      </c>
      <c r="K1406" s="27">
        <f t="shared" si="173"/>
        <v>4241.3959955771406</v>
      </c>
    </row>
    <row r="1407" spans="1:11" x14ac:dyDescent="0.25">
      <c r="A1407" s="26">
        <v>1357</v>
      </c>
      <c r="B1407" s="82">
        <f t="shared" si="174"/>
        <v>0</v>
      </c>
      <c r="C1407" s="58">
        <f t="shared" si="170"/>
        <v>104.50616427295054</v>
      </c>
      <c r="D1407" s="83">
        <f t="shared" si="175"/>
        <v>445.77777777777789</v>
      </c>
      <c r="E1407">
        <f t="shared" si="171"/>
        <v>0</v>
      </c>
      <c r="G1407">
        <v>1357</v>
      </c>
      <c r="H1407" s="13">
        <f t="shared" si="176"/>
        <v>1.8572577375266519E-2</v>
      </c>
      <c r="I1407">
        <f t="shared" si="177"/>
        <v>129.70915177118721</v>
      </c>
      <c r="J1407">
        <f t="shared" si="172"/>
        <v>477.88724453638281</v>
      </c>
      <c r="K1407" s="27">
        <f t="shared" si="173"/>
        <v>4241.6739163392049</v>
      </c>
    </row>
    <row r="1408" spans="1:11" x14ac:dyDescent="0.25">
      <c r="A1408" s="26">
        <v>1358</v>
      </c>
      <c r="B1408" s="82">
        <f t="shared" si="174"/>
        <v>0</v>
      </c>
      <c r="C1408" s="58">
        <f t="shared" si="170"/>
        <v>104.50616427295054</v>
      </c>
      <c r="D1408" s="83">
        <f t="shared" si="175"/>
        <v>445.77777777777789</v>
      </c>
      <c r="E1408">
        <f t="shared" si="171"/>
        <v>0</v>
      </c>
      <c r="G1408">
        <v>1358</v>
      </c>
      <c r="H1408" s="13">
        <f t="shared" si="176"/>
        <v>1.8572577375266519E-2</v>
      </c>
      <c r="I1408">
        <f t="shared" si="177"/>
        <v>129.72772434856248</v>
      </c>
      <c r="J1408">
        <f t="shared" si="172"/>
        <v>477.90289714234137</v>
      </c>
      <c r="K1408" s="27">
        <f t="shared" si="173"/>
        <v>4241.951709656093</v>
      </c>
    </row>
    <row r="1409" spans="1:11" x14ac:dyDescent="0.25">
      <c r="A1409" s="26">
        <v>1359</v>
      </c>
      <c r="B1409" s="82">
        <f t="shared" si="174"/>
        <v>0</v>
      </c>
      <c r="C1409" s="58">
        <f t="shared" si="170"/>
        <v>104.50616427295054</v>
      </c>
      <c r="D1409" s="83">
        <f t="shared" si="175"/>
        <v>445.77777777777789</v>
      </c>
      <c r="E1409">
        <f t="shared" si="171"/>
        <v>0</v>
      </c>
      <c r="G1409">
        <v>1359</v>
      </c>
      <c r="H1409" s="13">
        <f t="shared" si="176"/>
        <v>1.8572577375266519E-2</v>
      </c>
      <c r="I1409">
        <f t="shared" si="177"/>
        <v>129.74629692593774</v>
      </c>
      <c r="J1409">
        <f t="shared" si="172"/>
        <v>477.91854205857248</v>
      </c>
      <c r="K1409" s="27">
        <f t="shared" si="173"/>
        <v>4242.2293755979454</v>
      </c>
    </row>
    <row r="1410" spans="1:11" x14ac:dyDescent="0.25">
      <c r="A1410" s="26">
        <v>1360</v>
      </c>
      <c r="B1410" s="82">
        <f t="shared" si="174"/>
        <v>0</v>
      </c>
      <c r="C1410" s="58">
        <f t="shared" si="170"/>
        <v>104.50616427295054</v>
      </c>
      <c r="D1410" s="83">
        <f t="shared" si="175"/>
        <v>445.77777777777789</v>
      </c>
      <c r="E1410">
        <f t="shared" si="171"/>
        <v>0</v>
      </c>
      <c r="G1410">
        <v>1360</v>
      </c>
      <c r="H1410" s="13">
        <f t="shared" si="176"/>
        <v>1.8572577375266519E-2</v>
      </c>
      <c r="I1410">
        <f t="shared" si="177"/>
        <v>129.76486950331301</v>
      </c>
      <c r="J1410">
        <f t="shared" si="172"/>
        <v>477.93417928977971</v>
      </c>
      <c r="K1410" s="27">
        <f t="shared" si="173"/>
        <v>4242.5069142348102</v>
      </c>
    </row>
    <row r="1411" spans="1:11" x14ac:dyDescent="0.25">
      <c r="A1411" s="26">
        <v>1361</v>
      </c>
      <c r="B1411" s="82">
        <f t="shared" si="174"/>
        <v>0</v>
      </c>
      <c r="C1411" s="58">
        <f t="shared" si="170"/>
        <v>104.50616427295054</v>
      </c>
      <c r="D1411" s="83">
        <f t="shared" si="175"/>
        <v>445.77777777777789</v>
      </c>
      <c r="E1411">
        <f t="shared" si="171"/>
        <v>0</v>
      </c>
      <c r="G1411">
        <v>1361</v>
      </c>
      <c r="H1411" s="13">
        <f t="shared" si="176"/>
        <v>1.8572577375266519E-2</v>
      </c>
      <c r="I1411">
        <f t="shared" si="177"/>
        <v>129.78344208068827</v>
      </c>
      <c r="J1411">
        <f t="shared" si="172"/>
        <v>477.94980884066024</v>
      </c>
      <c r="K1411" s="27">
        <f t="shared" si="173"/>
        <v>4242.7843256366441</v>
      </c>
    </row>
    <row r="1412" spans="1:11" x14ac:dyDescent="0.25">
      <c r="A1412" s="26">
        <v>1362</v>
      </c>
      <c r="B1412" s="82">
        <f t="shared" si="174"/>
        <v>0</v>
      </c>
      <c r="C1412" s="58">
        <f t="shared" si="170"/>
        <v>104.50616427295054</v>
      </c>
      <c r="D1412" s="83">
        <f t="shared" si="175"/>
        <v>445.77777777777789</v>
      </c>
      <c r="E1412">
        <f t="shared" si="171"/>
        <v>0</v>
      </c>
      <c r="G1412">
        <v>1362</v>
      </c>
      <c r="H1412" s="13">
        <f t="shared" si="176"/>
        <v>1.8572577375266519E-2</v>
      </c>
      <c r="I1412">
        <f t="shared" si="177"/>
        <v>129.80201465806354</v>
      </c>
      <c r="J1412">
        <f t="shared" si="172"/>
        <v>477.96543071590537</v>
      </c>
      <c r="K1412" s="27">
        <f t="shared" si="173"/>
        <v>4243.0616098733117</v>
      </c>
    </row>
    <row r="1413" spans="1:11" x14ac:dyDescent="0.25">
      <c r="A1413" s="26">
        <v>1363</v>
      </c>
      <c r="B1413" s="82">
        <f t="shared" si="174"/>
        <v>0</v>
      </c>
      <c r="C1413" s="58">
        <f t="shared" si="170"/>
        <v>104.50616427295054</v>
      </c>
      <c r="D1413" s="83">
        <f t="shared" si="175"/>
        <v>445.77777777777789</v>
      </c>
      <c r="E1413">
        <f t="shared" si="171"/>
        <v>0</v>
      </c>
      <c r="G1413">
        <v>1363</v>
      </c>
      <c r="H1413" s="13">
        <f t="shared" si="176"/>
        <v>1.8572577375266519E-2</v>
      </c>
      <c r="I1413">
        <f t="shared" si="177"/>
        <v>129.82058723543881</v>
      </c>
      <c r="J1413">
        <f t="shared" si="172"/>
        <v>477.98104492020013</v>
      </c>
      <c r="K1413" s="27">
        <f t="shared" si="173"/>
        <v>4243.3387670145876</v>
      </c>
    </row>
    <row r="1414" spans="1:11" x14ac:dyDescent="0.25">
      <c r="A1414" s="26">
        <v>1364</v>
      </c>
      <c r="B1414" s="82">
        <f t="shared" si="174"/>
        <v>0</v>
      </c>
      <c r="C1414" s="58">
        <f t="shared" si="170"/>
        <v>104.50616427295054</v>
      </c>
      <c r="D1414" s="83">
        <f t="shared" si="175"/>
        <v>445.77777777777789</v>
      </c>
      <c r="E1414">
        <f t="shared" si="171"/>
        <v>0</v>
      </c>
      <c r="G1414">
        <v>1364</v>
      </c>
      <c r="H1414" s="13">
        <f t="shared" si="176"/>
        <v>1.8572577375266519E-2</v>
      </c>
      <c r="I1414">
        <f t="shared" si="177"/>
        <v>129.83915981281407</v>
      </c>
      <c r="J1414">
        <f t="shared" si="172"/>
        <v>477.99665145822337</v>
      </c>
      <c r="K1414" s="27">
        <f t="shared" si="173"/>
        <v>4243.6157971301536</v>
      </c>
    </row>
    <row r="1415" spans="1:11" x14ac:dyDescent="0.25">
      <c r="A1415" s="26">
        <v>1365</v>
      </c>
      <c r="B1415" s="82">
        <f t="shared" si="174"/>
        <v>0</v>
      </c>
      <c r="C1415" s="58">
        <f t="shared" si="170"/>
        <v>104.50616427295054</v>
      </c>
      <c r="D1415" s="83">
        <f t="shared" si="175"/>
        <v>445.77777777777789</v>
      </c>
      <c r="E1415">
        <f t="shared" si="171"/>
        <v>0</v>
      </c>
      <c r="G1415">
        <v>1365</v>
      </c>
      <c r="H1415" s="13">
        <f t="shared" si="176"/>
        <v>1.8572577375266519E-2</v>
      </c>
      <c r="I1415">
        <f t="shared" si="177"/>
        <v>129.85773239018934</v>
      </c>
      <c r="J1415">
        <f t="shared" si="172"/>
        <v>478.012250334648</v>
      </c>
      <c r="K1415" s="27">
        <f t="shared" si="173"/>
        <v>4243.8927002896062</v>
      </c>
    </row>
    <row r="1416" spans="1:11" x14ac:dyDescent="0.25">
      <c r="A1416" s="26">
        <v>1366</v>
      </c>
      <c r="B1416" s="82">
        <f t="shared" si="174"/>
        <v>0</v>
      </c>
      <c r="C1416" s="58">
        <f t="shared" si="170"/>
        <v>104.50616427295054</v>
      </c>
      <c r="D1416" s="83">
        <f t="shared" si="175"/>
        <v>445.77777777777789</v>
      </c>
      <c r="E1416">
        <f t="shared" si="171"/>
        <v>0</v>
      </c>
      <c r="G1416">
        <v>1366</v>
      </c>
      <c r="H1416" s="13">
        <f t="shared" si="176"/>
        <v>1.8572577375266519E-2</v>
      </c>
      <c r="I1416">
        <f t="shared" si="177"/>
        <v>129.87630496756461</v>
      </c>
      <c r="J1416">
        <f t="shared" si="172"/>
        <v>478.02784155414088</v>
      </c>
      <c r="K1416" s="27">
        <f t="shared" si="173"/>
        <v>4244.1694765624425</v>
      </c>
    </row>
    <row r="1417" spans="1:11" x14ac:dyDescent="0.25">
      <c r="A1417" s="26">
        <v>1367</v>
      </c>
      <c r="B1417" s="82">
        <f t="shared" si="174"/>
        <v>0</v>
      </c>
      <c r="C1417" s="58">
        <f t="shared" si="170"/>
        <v>104.50616427295054</v>
      </c>
      <c r="D1417" s="83">
        <f t="shared" si="175"/>
        <v>445.77777777777789</v>
      </c>
      <c r="E1417">
        <f t="shared" si="171"/>
        <v>0</v>
      </c>
      <c r="G1417">
        <v>1367</v>
      </c>
      <c r="H1417" s="13">
        <f t="shared" si="176"/>
        <v>1.8572577375266519E-2</v>
      </c>
      <c r="I1417">
        <f t="shared" si="177"/>
        <v>129.89487754493987</v>
      </c>
      <c r="J1417">
        <f t="shared" si="172"/>
        <v>478.04342512136247</v>
      </c>
      <c r="K1417" s="27">
        <f t="shared" si="173"/>
        <v>4244.4461260180742</v>
      </c>
    </row>
    <row r="1418" spans="1:11" x14ac:dyDescent="0.25">
      <c r="A1418" s="26">
        <v>1368</v>
      </c>
      <c r="B1418" s="82">
        <f t="shared" si="174"/>
        <v>0</v>
      </c>
      <c r="C1418" s="58">
        <f t="shared" si="170"/>
        <v>104.50616427295054</v>
      </c>
      <c r="D1418" s="83">
        <f t="shared" si="175"/>
        <v>445.77777777777789</v>
      </c>
      <c r="E1418">
        <f t="shared" si="171"/>
        <v>0</v>
      </c>
      <c r="G1418">
        <v>1368</v>
      </c>
      <c r="H1418" s="13">
        <f t="shared" si="176"/>
        <v>1.8572577375266519E-2</v>
      </c>
      <c r="I1418">
        <f t="shared" si="177"/>
        <v>129.91345012231514</v>
      </c>
      <c r="J1418">
        <f t="shared" si="172"/>
        <v>478.05900104096759</v>
      </c>
      <c r="K1418" s="27">
        <f t="shared" si="173"/>
        <v>4244.7226487258249</v>
      </c>
    </row>
    <row r="1419" spans="1:11" x14ac:dyDescent="0.25">
      <c r="A1419" s="26">
        <v>1369</v>
      </c>
      <c r="B1419" s="82">
        <f t="shared" si="174"/>
        <v>0</v>
      </c>
      <c r="C1419" s="58">
        <f t="shared" si="170"/>
        <v>104.50616427295054</v>
      </c>
      <c r="D1419" s="83">
        <f t="shared" si="175"/>
        <v>445.77777777777789</v>
      </c>
      <c r="E1419">
        <f t="shared" si="171"/>
        <v>0</v>
      </c>
      <c r="G1419">
        <v>1369</v>
      </c>
      <c r="H1419" s="13">
        <f t="shared" si="176"/>
        <v>1.8572577375266519E-2</v>
      </c>
      <c r="I1419">
        <f t="shared" si="177"/>
        <v>129.93202269969041</v>
      </c>
      <c r="J1419">
        <f t="shared" si="172"/>
        <v>478.0745693176047</v>
      </c>
      <c r="K1419" s="27">
        <f t="shared" si="173"/>
        <v>4244.9990447549235</v>
      </c>
    </row>
    <row r="1420" spans="1:11" x14ac:dyDescent="0.25">
      <c r="A1420" s="26">
        <v>1370</v>
      </c>
      <c r="B1420" s="82">
        <f t="shared" si="174"/>
        <v>0</v>
      </c>
      <c r="C1420" s="58">
        <f t="shared" si="170"/>
        <v>104.50616427295054</v>
      </c>
      <c r="D1420" s="83">
        <f t="shared" si="175"/>
        <v>445.77777777777789</v>
      </c>
      <c r="E1420">
        <f t="shared" si="171"/>
        <v>0</v>
      </c>
      <c r="G1420">
        <v>1370</v>
      </c>
      <c r="H1420" s="13">
        <f t="shared" si="176"/>
        <v>1.8572577375266519E-2</v>
      </c>
      <c r="I1420">
        <f t="shared" si="177"/>
        <v>129.95059527706567</v>
      </c>
      <c r="J1420">
        <f t="shared" si="172"/>
        <v>478.09012995591632</v>
      </c>
      <c r="K1420" s="27">
        <f t="shared" si="173"/>
        <v>4245.2753141745115</v>
      </c>
    </row>
    <row r="1421" spans="1:11" x14ac:dyDescent="0.25">
      <c r="A1421" s="26">
        <v>1371</v>
      </c>
      <c r="B1421" s="82">
        <f t="shared" si="174"/>
        <v>0</v>
      </c>
      <c r="C1421" s="58">
        <f t="shared" si="170"/>
        <v>104.50616427295054</v>
      </c>
      <c r="D1421" s="83">
        <f t="shared" si="175"/>
        <v>445.77777777777789</v>
      </c>
      <c r="E1421">
        <f t="shared" si="171"/>
        <v>0</v>
      </c>
      <c r="G1421">
        <v>1371</v>
      </c>
      <c r="H1421" s="13">
        <f t="shared" si="176"/>
        <v>1.8572577375266519E-2</v>
      </c>
      <c r="I1421">
        <f t="shared" si="177"/>
        <v>129.96916785444094</v>
      </c>
      <c r="J1421">
        <f t="shared" si="172"/>
        <v>478.10568296053896</v>
      </c>
      <c r="K1421" s="27">
        <f t="shared" si="173"/>
        <v>4245.5514570536407</v>
      </c>
    </row>
    <row r="1422" spans="1:11" x14ac:dyDescent="0.25">
      <c r="A1422" s="26">
        <v>1372</v>
      </c>
      <c r="B1422" s="82">
        <f t="shared" si="174"/>
        <v>0</v>
      </c>
      <c r="C1422" s="58">
        <f t="shared" si="170"/>
        <v>104.50616427295054</v>
      </c>
      <c r="D1422" s="83">
        <f t="shared" si="175"/>
        <v>445.77777777777789</v>
      </c>
      <c r="E1422">
        <f t="shared" si="171"/>
        <v>0</v>
      </c>
      <c r="G1422">
        <v>1372</v>
      </c>
      <c r="H1422" s="13">
        <f t="shared" si="176"/>
        <v>1.8572577375266519E-2</v>
      </c>
      <c r="I1422">
        <f t="shared" si="177"/>
        <v>129.98774043181621</v>
      </c>
      <c r="J1422">
        <f t="shared" si="172"/>
        <v>478.12122833610306</v>
      </c>
      <c r="K1422" s="27">
        <f t="shared" si="173"/>
        <v>4245.8274734612705</v>
      </c>
    </row>
    <row r="1423" spans="1:11" x14ac:dyDescent="0.25">
      <c r="A1423" s="26">
        <v>1373</v>
      </c>
      <c r="B1423" s="82">
        <f t="shared" si="174"/>
        <v>0</v>
      </c>
      <c r="C1423" s="58">
        <f t="shared" si="170"/>
        <v>104.50616427295054</v>
      </c>
      <c r="D1423" s="83">
        <f t="shared" si="175"/>
        <v>445.77777777777789</v>
      </c>
      <c r="E1423">
        <f t="shared" si="171"/>
        <v>0</v>
      </c>
      <c r="G1423">
        <v>1373</v>
      </c>
      <c r="H1423" s="13">
        <f t="shared" si="176"/>
        <v>1.8572577375266519E-2</v>
      </c>
      <c r="I1423">
        <f t="shared" si="177"/>
        <v>130.00631300919147</v>
      </c>
      <c r="J1423">
        <f t="shared" si="172"/>
        <v>478.13676608723301</v>
      </c>
      <c r="K1423" s="27">
        <f t="shared" si="173"/>
        <v>4246.1033634662717</v>
      </c>
    </row>
    <row r="1424" spans="1:11" x14ac:dyDescent="0.25">
      <c r="A1424" s="26">
        <v>1374</v>
      </c>
      <c r="B1424" s="82">
        <f t="shared" si="174"/>
        <v>0</v>
      </c>
      <c r="C1424" s="58">
        <f t="shared" ref="C1424:C1487" si="178">($C$37-$C$36)/2000+C1423</f>
        <v>104.50616427295054</v>
      </c>
      <c r="D1424" s="83">
        <f t="shared" si="175"/>
        <v>445.77777777777789</v>
      </c>
      <c r="E1424">
        <f t="shared" si="171"/>
        <v>0</v>
      </c>
      <c r="G1424">
        <v>1374</v>
      </c>
      <c r="H1424" s="13">
        <f t="shared" si="176"/>
        <v>1.8572577375266519E-2</v>
      </c>
      <c r="I1424">
        <f t="shared" si="177"/>
        <v>130.02488558656674</v>
      </c>
      <c r="J1424">
        <f t="shared" si="172"/>
        <v>478.15229621854735</v>
      </c>
      <c r="K1424" s="27">
        <f t="shared" si="173"/>
        <v>4246.3791271374284</v>
      </c>
    </row>
    <row r="1425" spans="1:11" x14ac:dyDescent="0.25">
      <c r="A1425" s="26">
        <v>1375</v>
      </c>
      <c r="B1425" s="82">
        <f t="shared" si="174"/>
        <v>0</v>
      </c>
      <c r="C1425" s="58">
        <f t="shared" si="178"/>
        <v>104.50616427295054</v>
      </c>
      <c r="D1425" s="83">
        <f t="shared" si="175"/>
        <v>445.77777777777789</v>
      </c>
      <c r="E1425">
        <f t="shared" si="171"/>
        <v>0</v>
      </c>
      <c r="G1425">
        <v>1375</v>
      </c>
      <c r="H1425" s="13">
        <f t="shared" si="176"/>
        <v>1.8572577375266519E-2</v>
      </c>
      <c r="I1425">
        <f t="shared" si="177"/>
        <v>130.04345816394201</v>
      </c>
      <c r="J1425">
        <f t="shared" si="172"/>
        <v>478.16781873465851</v>
      </c>
      <c r="K1425" s="27">
        <f t="shared" si="173"/>
        <v>4246.6547645434348</v>
      </c>
    </row>
    <row r="1426" spans="1:11" x14ac:dyDescent="0.25">
      <c r="A1426" s="26">
        <v>1376</v>
      </c>
      <c r="B1426" s="82">
        <f t="shared" si="174"/>
        <v>0</v>
      </c>
      <c r="C1426" s="58">
        <f t="shared" si="178"/>
        <v>104.50616427295054</v>
      </c>
      <c r="D1426" s="83">
        <f t="shared" si="175"/>
        <v>445.77777777777789</v>
      </c>
      <c r="E1426">
        <f t="shared" si="171"/>
        <v>0</v>
      </c>
      <c r="G1426">
        <v>1376</v>
      </c>
      <c r="H1426" s="13">
        <f t="shared" si="176"/>
        <v>1.8572577375266519E-2</v>
      </c>
      <c r="I1426">
        <f t="shared" si="177"/>
        <v>130.06203074131727</v>
      </c>
      <c r="J1426">
        <f t="shared" si="172"/>
        <v>478.18333364017292</v>
      </c>
      <c r="K1426" s="27">
        <f t="shared" si="173"/>
        <v>4246.9302757528922</v>
      </c>
    </row>
    <row r="1427" spans="1:11" x14ac:dyDescent="0.25">
      <c r="A1427" s="26">
        <v>1377</v>
      </c>
      <c r="B1427" s="82">
        <f t="shared" si="174"/>
        <v>0</v>
      </c>
      <c r="C1427" s="58">
        <f t="shared" si="178"/>
        <v>104.50616427295054</v>
      </c>
      <c r="D1427" s="83">
        <f t="shared" si="175"/>
        <v>445.77777777777789</v>
      </c>
      <c r="E1427">
        <f t="shared" si="171"/>
        <v>0</v>
      </c>
      <c r="G1427">
        <v>1377</v>
      </c>
      <c r="H1427" s="13">
        <f t="shared" si="176"/>
        <v>1.8572577375266519E-2</v>
      </c>
      <c r="I1427">
        <f t="shared" si="177"/>
        <v>130.08060331869254</v>
      </c>
      <c r="J1427">
        <f t="shared" si="172"/>
        <v>478.19884093969102</v>
      </c>
      <c r="K1427" s="27">
        <f t="shared" si="173"/>
        <v>4247.2056608343164</v>
      </c>
    </row>
    <row r="1428" spans="1:11" x14ac:dyDescent="0.25">
      <c r="A1428" s="26">
        <v>1378</v>
      </c>
      <c r="B1428" s="82">
        <f t="shared" si="174"/>
        <v>0</v>
      </c>
      <c r="C1428" s="58">
        <f t="shared" si="178"/>
        <v>104.50616427295054</v>
      </c>
      <c r="D1428" s="83">
        <f t="shared" si="175"/>
        <v>445.77777777777789</v>
      </c>
      <c r="E1428">
        <f t="shared" si="171"/>
        <v>0</v>
      </c>
      <c r="G1428">
        <v>1378</v>
      </c>
      <c r="H1428" s="13">
        <f t="shared" si="176"/>
        <v>1.8572577375266519E-2</v>
      </c>
      <c r="I1428">
        <f t="shared" si="177"/>
        <v>130.09917589606781</v>
      </c>
      <c r="J1428">
        <f t="shared" si="172"/>
        <v>478.21434063780748</v>
      </c>
      <c r="K1428" s="27">
        <f t="shared" si="173"/>
        <v>4247.4809198561361</v>
      </c>
    </row>
    <row r="1429" spans="1:11" x14ac:dyDescent="0.25">
      <c r="A1429" s="26">
        <v>1379</v>
      </c>
      <c r="B1429" s="82">
        <f t="shared" si="174"/>
        <v>0</v>
      </c>
      <c r="C1429" s="58">
        <f t="shared" si="178"/>
        <v>104.50616427295054</v>
      </c>
      <c r="D1429" s="83">
        <f t="shared" si="175"/>
        <v>445.77777777777789</v>
      </c>
      <c r="E1429">
        <f t="shared" si="171"/>
        <v>0</v>
      </c>
      <c r="G1429">
        <v>1379</v>
      </c>
      <c r="H1429" s="13">
        <f t="shared" si="176"/>
        <v>1.8572577375266519E-2</v>
      </c>
      <c r="I1429">
        <f t="shared" si="177"/>
        <v>130.11774847344307</v>
      </c>
      <c r="J1429">
        <f t="shared" si="172"/>
        <v>478.22983273911086</v>
      </c>
      <c r="K1429" s="27">
        <f t="shared" si="173"/>
        <v>4247.756052886687</v>
      </c>
    </row>
    <row r="1430" spans="1:11" x14ac:dyDescent="0.25">
      <c r="A1430" s="26">
        <v>1380</v>
      </c>
      <c r="B1430" s="82">
        <f t="shared" si="174"/>
        <v>0</v>
      </c>
      <c r="C1430" s="58">
        <f t="shared" si="178"/>
        <v>104.50616427295054</v>
      </c>
      <c r="D1430" s="83">
        <f t="shared" si="175"/>
        <v>445.77777777777789</v>
      </c>
      <c r="E1430">
        <f t="shared" si="171"/>
        <v>0</v>
      </c>
      <c r="G1430">
        <v>1380</v>
      </c>
      <c r="H1430" s="13">
        <f t="shared" si="176"/>
        <v>1.8572577375266519E-2</v>
      </c>
      <c r="I1430">
        <f t="shared" si="177"/>
        <v>130.13632105081834</v>
      </c>
      <c r="J1430">
        <f t="shared" si="172"/>
        <v>478.24531724818371</v>
      </c>
      <c r="K1430" s="27">
        <f t="shared" si="173"/>
        <v>4248.0310599942177</v>
      </c>
    </row>
    <row r="1431" spans="1:11" x14ac:dyDescent="0.25">
      <c r="A1431" s="26">
        <v>1381</v>
      </c>
      <c r="B1431" s="82">
        <f t="shared" si="174"/>
        <v>0</v>
      </c>
      <c r="C1431" s="58">
        <f t="shared" si="178"/>
        <v>104.50616427295054</v>
      </c>
      <c r="D1431" s="83">
        <f t="shared" si="175"/>
        <v>445.77777777777789</v>
      </c>
      <c r="E1431">
        <f t="shared" si="171"/>
        <v>0</v>
      </c>
      <c r="G1431">
        <v>1381</v>
      </c>
      <c r="H1431" s="13">
        <f t="shared" si="176"/>
        <v>1.8572577375266519E-2</v>
      </c>
      <c r="I1431">
        <f t="shared" si="177"/>
        <v>130.15489362819361</v>
      </c>
      <c r="J1431">
        <f t="shared" si="172"/>
        <v>478.26079416960283</v>
      </c>
      <c r="K1431" s="27">
        <f t="shared" si="173"/>
        <v>4248.3059412468929</v>
      </c>
    </row>
    <row r="1432" spans="1:11" x14ac:dyDescent="0.25">
      <c r="A1432" s="26">
        <v>1382</v>
      </c>
      <c r="B1432" s="82">
        <f t="shared" si="174"/>
        <v>0</v>
      </c>
      <c r="C1432" s="58">
        <f t="shared" si="178"/>
        <v>104.50616427295054</v>
      </c>
      <c r="D1432" s="83">
        <f t="shared" si="175"/>
        <v>445.77777777777789</v>
      </c>
      <c r="E1432">
        <f t="shared" si="171"/>
        <v>0</v>
      </c>
      <c r="G1432">
        <v>1382</v>
      </c>
      <c r="H1432" s="13">
        <f t="shared" si="176"/>
        <v>1.8572577375266519E-2</v>
      </c>
      <c r="I1432">
        <f t="shared" si="177"/>
        <v>130.17346620556887</v>
      </c>
      <c r="J1432">
        <f t="shared" si="172"/>
        <v>478.27626350793906</v>
      </c>
      <c r="K1432" s="27">
        <f t="shared" si="173"/>
        <v>4248.5806967127828</v>
      </c>
    </row>
    <row r="1433" spans="1:11" x14ac:dyDescent="0.25">
      <c r="A1433" s="26">
        <v>1383</v>
      </c>
      <c r="B1433" s="82">
        <f t="shared" si="174"/>
        <v>0</v>
      </c>
      <c r="C1433" s="58">
        <f t="shared" si="178"/>
        <v>104.50616427295054</v>
      </c>
      <c r="D1433" s="83">
        <f t="shared" si="175"/>
        <v>445.77777777777789</v>
      </c>
      <c r="E1433">
        <f t="shared" si="171"/>
        <v>0</v>
      </c>
      <c r="G1433">
        <v>1383</v>
      </c>
      <c r="H1433" s="13">
        <f t="shared" si="176"/>
        <v>1.8572577375266519E-2</v>
      </c>
      <c r="I1433">
        <f t="shared" si="177"/>
        <v>130.19203878294414</v>
      </c>
      <c r="J1433">
        <f t="shared" si="172"/>
        <v>478.29172526775727</v>
      </c>
      <c r="K1433" s="27">
        <f t="shared" si="173"/>
        <v>4248.8553264598722</v>
      </c>
    </row>
    <row r="1434" spans="1:11" x14ac:dyDescent="0.25">
      <c r="A1434" s="26">
        <v>1384</v>
      </c>
      <c r="B1434" s="82">
        <f t="shared" si="174"/>
        <v>0</v>
      </c>
      <c r="C1434" s="58">
        <f t="shared" si="178"/>
        <v>104.50616427295054</v>
      </c>
      <c r="D1434" s="83">
        <f t="shared" si="175"/>
        <v>445.77777777777789</v>
      </c>
      <c r="E1434">
        <f t="shared" si="171"/>
        <v>0</v>
      </c>
      <c r="G1434">
        <v>1384</v>
      </c>
      <c r="H1434" s="13">
        <f t="shared" si="176"/>
        <v>1.8572577375266519E-2</v>
      </c>
      <c r="I1434">
        <f t="shared" si="177"/>
        <v>130.2106113603194</v>
      </c>
      <c r="J1434">
        <f t="shared" si="172"/>
        <v>478.30717945361641</v>
      </c>
      <c r="K1434" s="27">
        <f t="shared" si="173"/>
        <v>4249.1298305560604</v>
      </c>
    </row>
    <row r="1435" spans="1:11" x14ac:dyDescent="0.25">
      <c r="A1435" s="26">
        <v>1385</v>
      </c>
      <c r="B1435" s="82">
        <f t="shared" si="174"/>
        <v>0</v>
      </c>
      <c r="C1435" s="58">
        <f t="shared" si="178"/>
        <v>104.50616427295054</v>
      </c>
      <c r="D1435" s="83">
        <f t="shared" si="175"/>
        <v>445.77777777777789</v>
      </c>
      <c r="E1435">
        <f t="shared" si="171"/>
        <v>0</v>
      </c>
      <c r="G1435">
        <v>1385</v>
      </c>
      <c r="H1435" s="13">
        <f t="shared" si="176"/>
        <v>1.8572577375266519E-2</v>
      </c>
      <c r="I1435">
        <f t="shared" si="177"/>
        <v>130.22918393769467</v>
      </c>
      <c r="J1435">
        <f t="shared" si="172"/>
        <v>478.32262607006965</v>
      </c>
      <c r="K1435" s="27">
        <f t="shared" si="173"/>
        <v>4249.4042090691546</v>
      </c>
    </row>
    <row r="1436" spans="1:11" x14ac:dyDescent="0.25">
      <c r="A1436" s="26">
        <v>1386</v>
      </c>
      <c r="B1436" s="82">
        <f t="shared" si="174"/>
        <v>0</v>
      </c>
      <c r="C1436" s="58">
        <f t="shared" si="178"/>
        <v>104.50616427295054</v>
      </c>
      <c r="D1436" s="83">
        <f t="shared" si="175"/>
        <v>445.77777777777789</v>
      </c>
      <c r="E1436">
        <f t="shared" si="171"/>
        <v>0</v>
      </c>
      <c r="G1436">
        <v>1386</v>
      </c>
      <c r="H1436" s="13">
        <f t="shared" si="176"/>
        <v>1.8572577375266519E-2</v>
      </c>
      <c r="I1436">
        <f t="shared" si="177"/>
        <v>130.24775651506994</v>
      </c>
      <c r="J1436">
        <f t="shared" si="172"/>
        <v>478.33806512166416</v>
      </c>
      <c r="K1436" s="27">
        <f t="shared" si="173"/>
        <v>4249.6784620668777</v>
      </c>
    </row>
    <row r="1437" spans="1:11" x14ac:dyDescent="0.25">
      <c r="A1437" s="26">
        <v>1387</v>
      </c>
      <c r="B1437" s="82">
        <f t="shared" si="174"/>
        <v>0</v>
      </c>
      <c r="C1437" s="58">
        <f t="shared" si="178"/>
        <v>104.50616427295054</v>
      </c>
      <c r="D1437" s="83">
        <f t="shared" si="175"/>
        <v>445.77777777777789</v>
      </c>
      <c r="E1437">
        <f t="shared" si="171"/>
        <v>0</v>
      </c>
      <c r="G1437">
        <v>1387</v>
      </c>
      <c r="H1437" s="13">
        <f t="shared" si="176"/>
        <v>1.8572577375266519E-2</v>
      </c>
      <c r="I1437">
        <f t="shared" si="177"/>
        <v>130.2663290924452</v>
      </c>
      <c r="J1437">
        <f t="shared" si="172"/>
        <v>478.3534966129414</v>
      </c>
      <c r="K1437" s="27">
        <f t="shared" si="173"/>
        <v>4249.952589616867</v>
      </c>
    </row>
    <row r="1438" spans="1:11" x14ac:dyDescent="0.25">
      <c r="A1438" s="26">
        <v>1388</v>
      </c>
      <c r="B1438" s="82">
        <f t="shared" si="174"/>
        <v>0</v>
      </c>
      <c r="C1438" s="58">
        <f t="shared" si="178"/>
        <v>104.50616427295054</v>
      </c>
      <c r="D1438" s="83">
        <f t="shared" si="175"/>
        <v>445.77777777777789</v>
      </c>
      <c r="E1438">
        <f t="shared" si="171"/>
        <v>0</v>
      </c>
      <c r="G1438">
        <v>1388</v>
      </c>
      <c r="H1438" s="13">
        <f t="shared" si="176"/>
        <v>1.8572577375266519E-2</v>
      </c>
      <c r="I1438">
        <f t="shared" si="177"/>
        <v>130.28490166982047</v>
      </c>
      <c r="J1438">
        <f t="shared" si="172"/>
        <v>478.3689205484369</v>
      </c>
      <c r="K1438" s="27">
        <f t="shared" si="173"/>
        <v>4250.2265917866671</v>
      </c>
    </row>
    <row r="1439" spans="1:11" x14ac:dyDescent="0.25">
      <c r="A1439" s="26">
        <v>1389</v>
      </c>
      <c r="B1439" s="82">
        <f t="shared" si="174"/>
        <v>0</v>
      </c>
      <c r="C1439" s="58">
        <f t="shared" si="178"/>
        <v>104.50616427295054</v>
      </c>
      <c r="D1439" s="83">
        <f t="shared" si="175"/>
        <v>445.77777777777789</v>
      </c>
      <c r="E1439">
        <f t="shared" si="171"/>
        <v>0</v>
      </c>
      <c r="G1439">
        <v>1389</v>
      </c>
      <c r="H1439" s="13">
        <f t="shared" si="176"/>
        <v>1.8572577375266519E-2</v>
      </c>
      <c r="I1439">
        <f t="shared" si="177"/>
        <v>130.30347424719574</v>
      </c>
      <c r="J1439">
        <f t="shared" si="172"/>
        <v>478.38433693268018</v>
      </c>
      <c r="K1439" s="27">
        <f t="shared" si="173"/>
        <v>4250.5004686437387</v>
      </c>
    </row>
    <row r="1440" spans="1:11" x14ac:dyDescent="0.25">
      <c r="A1440" s="26">
        <v>1390</v>
      </c>
      <c r="B1440" s="82">
        <f t="shared" si="174"/>
        <v>0</v>
      </c>
      <c r="C1440" s="58">
        <f t="shared" si="178"/>
        <v>104.50616427295054</v>
      </c>
      <c r="D1440" s="83">
        <f t="shared" si="175"/>
        <v>445.77777777777789</v>
      </c>
      <c r="E1440">
        <f t="shared" si="171"/>
        <v>0</v>
      </c>
      <c r="G1440">
        <v>1390</v>
      </c>
      <c r="H1440" s="13">
        <f t="shared" si="176"/>
        <v>1.8572577375266519E-2</v>
      </c>
      <c r="I1440">
        <f t="shared" si="177"/>
        <v>130.322046824571</v>
      </c>
      <c r="J1440">
        <f t="shared" si="172"/>
        <v>478.39974577019524</v>
      </c>
      <c r="K1440" s="27">
        <f t="shared" si="173"/>
        <v>4250.7742202554564</v>
      </c>
    </row>
    <row r="1441" spans="1:11" x14ac:dyDescent="0.25">
      <c r="A1441" s="26">
        <v>1391</v>
      </c>
      <c r="B1441" s="82">
        <f t="shared" si="174"/>
        <v>0</v>
      </c>
      <c r="C1441" s="58">
        <f t="shared" si="178"/>
        <v>104.50616427295054</v>
      </c>
      <c r="D1441" s="83">
        <f t="shared" si="175"/>
        <v>445.77777777777789</v>
      </c>
      <c r="E1441">
        <f t="shared" si="171"/>
        <v>0</v>
      </c>
      <c r="G1441">
        <v>1391</v>
      </c>
      <c r="H1441" s="13">
        <f t="shared" si="176"/>
        <v>1.8572577375266519E-2</v>
      </c>
      <c r="I1441">
        <f t="shared" si="177"/>
        <v>130.34061940194627</v>
      </c>
      <c r="J1441">
        <f t="shared" si="172"/>
        <v>478.41514706549998</v>
      </c>
      <c r="K1441" s="27">
        <f t="shared" si="173"/>
        <v>4251.0478466891082</v>
      </c>
    </row>
    <row r="1442" spans="1:11" x14ac:dyDescent="0.25">
      <c r="A1442" s="26">
        <v>1392</v>
      </c>
      <c r="B1442" s="82">
        <f t="shared" si="174"/>
        <v>0</v>
      </c>
      <c r="C1442" s="58">
        <f t="shared" si="178"/>
        <v>104.50616427295054</v>
      </c>
      <c r="D1442" s="83">
        <f t="shared" si="175"/>
        <v>445.77777777777789</v>
      </c>
      <c r="E1442">
        <f t="shared" si="171"/>
        <v>0</v>
      </c>
      <c r="G1442">
        <v>1392</v>
      </c>
      <c r="H1442" s="13">
        <f t="shared" si="176"/>
        <v>1.8572577375266519E-2</v>
      </c>
      <c r="I1442">
        <f t="shared" si="177"/>
        <v>130.35919197932154</v>
      </c>
      <c r="J1442">
        <f t="shared" si="172"/>
        <v>478.4305408231067</v>
      </c>
      <c r="K1442" s="27">
        <f t="shared" si="173"/>
        <v>4251.321348011893</v>
      </c>
    </row>
    <row r="1443" spans="1:11" x14ac:dyDescent="0.25">
      <c r="A1443" s="26">
        <v>1393</v>
      </c>
      <c r="B1443" s="82">
        <f t="shared" si="174"/>
        <v>0</v>
      </c>
      <c r="C1443" s="58">
        <f t="shared" si="178"/>
        <v>104.50616427295054</v>
      </c>
      <c r="D1443" s="83">
        <f t="shared" si="175"/>
        <v>445.77777777777789</v>
      </c>
      <c r="E1443">
        <f t="shared" si="171"/>
        <v>0</v>
      </c>
      <c r="G1443">
        <v>1393</v>
      </c>
      <c r="H1443" s="13">
        <f t="shared" si="176"/>
        <v>1.8572577375266519E-2</v>
      </c>
      <c r="I1443">
        <f t="shared" si="177"/>
        <v>130.3777645566968</v>
      </c>
      <c r="J1443">
        <f t="shared" si="172"/>
        <v>478.44592704752171</v>
      </c>
      <c r="K1443" s="27">
        <f t="shared" si="173"/>
        <v>4251.5947242909233</v>
      </c>
    </row>
    <row r="1444" spans="1:11" x14ac:dyDescent="0.25">
      <c r="A1444" s="26">
        <v>1394</v>
      </c>
      <c r="B1444" s="82">
        <f t="shared" si="174"/>
        <v>0</v>
      </c>
      <c r="C1444" s="58">
        <f t="shared" si="178"/>
        <v>104.50616427295054</v>
      </c>
      <c r="D1444" s="83">
        <f t="shared" si="175"/>
        <v>445.77777777777789</v>
      </c>
      <c r="E1444">
        <f t="shared" si="171"/>
        <v>0</v>
      </c>
      <c r="G1444">
        <v>1394</v>
      </c>
      <c r="H1444" s="13">
        <f t="shared" si="176"/>
        <v>1.8572577375266519E-2</v>
      </c>
      <c r="I1444">
        <f t="shared" si="177"/>
        <v>130.39633713407207</v>
      </c>
      <c r="J1444">
        <f t="shared" si="172"/>
        <v>478.46130574324559</v>
      </c>
      <c r="K1444" s="27">
        <f t="shared" si="173"/>
        <v>4251.8679755932308</v>
      </c>
    </row>
    <row r="1445" spans="1:11" x14ac:dyDescent="0.25">
      <c r="A1445" s="26">
        <v>1395</v>
      </c>
      <c r="B1445" s="82">
        <f t="shared" si="174"/>
        <v>0</v>
      </c>
      <c r="C1445" s="58">
        <f t="shared" si="178"/>
        <v>104.50616427295054</v>
      </c>
      <c r="D1445" s="83">
        <f t="shared" si="175"/>
        <v>445.77777777777789</v>
      </c>
      <c r="E1445">
        <f t="shared" si="171"/>
        <v>0</v>
      </c>
      <c r="G1445">
        <v>1395</v>
      </c>
      <c r="H1445" s="13">
        <f t="shared" si="176"/>
        <v>1.8572577375266519E-2</v>
      </c>
      <c r="I1445">
        <f t="shared" si="177"/>
        <v>130.41490971144734</v>
      </c>
      <c r="J1445">
        <f t="shared" si="172"/>
        <v>478.47667691477329</v>
      </c>
      <c r="K1445" s="27">
        <f t="shared" si="173"/>
        <v>4252.1411019857551</v>
      </c>
    </row>
    <row r="1446" spans="1:11" x14ac:dyDescent="0.25">
      <c r="A1446" s="26">
        <v>1396</v>
      </c>
      <c r="B1446" s="82">
        <f t="shared" si="174"/>
        <v>0</v>
      </c>
      <c r="C1446" s="58">
        <f t="shared" si="178"/>
        <v>104.50616427295054</v>
      </c>
      <c r="D1446" s="83">
        <f t="shared" si="175"/>
        <v>445.77777777777789</v>
      </c>
      <c r="E1446">
        <f t="shared" si="171"/>
        <v>0</v>
      </c>
      <c r="G1446">
        <v>1396</v>
      </c>
      <c r="H1446" s="13">
        <f t="shared" si="176"/>
        <v>1.8572577375266519E-2</v>
      </c>
      <c r="I1446">
        <f t="shared" si="177"/>
        <v>130.4334822888226</v>
      </c>
      <c r="J1446">
        <f t="shared" si="172"/>
        <v>478.49204056659369</v>
      </c>
      <c r="K1446" s="27">
        <f t="shared" si="173"/>
        <v>4252.4141035353496</v>
      </c>
    </row>
    <row r="1447" spans="1:11" x14ac:dyDescent="0.25">
      <c r="A1447" s="26">
        <v>1397</v>
      </c>
      <c r="B1447" s="82">
        <f t="shared" si="174"/>
        <v>0</v>
      </c>
      <c r="C1447" s="58">
        <f t="shared" si="178"/>
        <v>104.50616427295054</v>
      </c>
      <c r="D1447" s="83">
        <f t="shared" si="175"/>
        <v>445.77777777777789</v>
      </c>
      <c r="E1447">
        <f t="shared" si="171"/>
        <v>0</v>
      </c>
      <c r="G1447">
        <v>1397</v>
      </c>
      <c r="H1447" s="13">
        <f t="shared" si="176"/>
        <v>1.8572577375266519E-2</v>
      </c>
      <c r="I1447">
        <f t="shared" si="177"/>
        <v>130.45205486619787</v>
      </c>
      <c r="J1447">
        <f t="shared" si="172"/>
        <v>478.50739670319012</v>
      </c>
      <c r="K1447" s="27">
        <f t="shared" si="173"/>
        <v>4252.6869803087866</v>
      </c>
    </row>
    <row r="1448" spans="1:11" x14ac:dyDescent="0.25">
      <c r="A1448" s="26">
        <v>1398</v>
      </c>
      <c r="B1448" s="82">
        <f t="shared" si="174"/>
        <v>0</v>
      </c>
      <c r="C1448" s="58">
        <f t="shared" si="178"/>
        <v>104.50616427295054</v>
      </c>
      <c r="D1448" s="83">
        <f t="shared" si="175"/>
        <v>445.77777777777789</v>
      </c>
      <c r="E1448">
        <f t="shared" si="171"/>
        <v>0</v>
      </c>
      <c r="G1448">
        <v>1398</v>
      </c>
      <c r="H1448" s="13">
        <f t="shared" si="176"/>
        <v>1.8572577375266519E-2</v>
      </c>
      <c r="I1448">
        <f t="shared" si="177"/>
        <v>130.47062744357314</v>
      </c>
      <c r="J1448">
        <f t="shared" si="172"/>
        <v>478.52274532904016</v>
      </c>
      <c r="K1448" s="27">
        <f t="shared" si="173"/>
        <v>4252.9597323727503</v>
      </c>
    </row>
    <row r="1449" spans="1:11" x14ac:dyDescent="0.25">
      <c r="A1449" s="26">
        <v>1399</v>
      </c>
      <c r="B1449" s="82">
        <f t="shared" si="174"/>
        <v>0</v>
      </c>
      <c r="C1449" s="58">
        <f t="shared" si="178"/>
        <v>104.50616427295054</v>
      </c>
      <c r="D1449" s="83">
        <f t="shared" si="175"/>
        <v>445.77777777777789</v>
      </c>
      <c r="E1449">
        <f t="shared" si="171"/>
        <v>0</v>
      </c>
      <c r="G1449">
        <v>1399</v>
      </c>
      <c r="H1449" s="13">
        <f t="shared" si="176"/>
        <v>1.8572577375266519E-2</v>
      </c>
      <c r="I1449">
        <f t="shared" si="177"/>
        <v>130.4892000209484</v>
      </c>
      <c r="J1449">
        <f t="shared" si="172"/>
        <v>478.53808644861556</v>
      </c>
      <c r="K1449" s="27">
        <f t="shared" si="173"/>
        <v>4253.2323597938384</v>
      </c>
    </row>
    <row r="1450" spans="1:11" x14ac:dyDescent="0.25">
      <c r="A1450" s="26">
        <v>1400</v>
      </c>
      <c r="B1450" s="82">
        <f t="shared" si="174"/>
        <v>0</v>
      </c>
      <c r="C1450" s="58">
        <f t="shared" si="178"/>
        <v>104.50616427295054</v>
      </c>
      <c r="D1450" s="83">
        <f t="shared" si="175"/>
        <v>445.77777777777789</v>
      </c>
      <c r="E1450">
        <f t="shared" si="171"/>
        <v>0</v>
      </c>
      <c r="G1450">
        <v>1400</v>
      </c>
      <c r="H1450" s="13">
        <f t="shared" si="176"/>
        <v>1.8572577375266519E-2</v>
      </c>
      <c r="I1450">
        <f t="shared" si="177"/>
        <v>130.50777259832367</v>
      </c>
      <c r="J1450">
        <f t="shared" si="172"/>
        <v>478.55342006638239</v>
      </c>
      <c r="K1450" s="27">
        <f t="shared" si="173"/>
        <v>4253.5048626385642</v>
      </c>
    </row>
    <row r="1451" spans="1:11" x14ac:dyDescent="0.25">
      <c r="A1451" s="26">
        <v>1401</v>
      </c>
      <c r="B1451" s="82">
        <f t="shared" si="174"/>
        <v>0</v>
      </c>
      <c r="C1451" s="58">
        <f t="shared" si="178"/>
        <v>104.50616427295054</v>
      </c>
      <c r="D1451" s="83">
        <f t="shared" si="175"/>
        <v>445.77777777777789</v>
      </c>
      <c r="E1451">
        <f t="shared" si="171"/>
        <v>0</v>
      </c>
      <c r="G1451">
        <v>1401</v>
      </c>
      <c r="H1451" s="13">
        <f t="shared" si="176"/>
        <v>1.8572577375266519E-2</v>
      </c>
      <c r="I1451">
        <f t="shared" si="177"/>
        <v>130.52634517569894</v>
      </c>
      <c r="J1451">
        <f t="shared" si="172"/>
        <v>478.56874618680087</v>
      </c>
      <c r="K1451" s="27">
        <f t="shared" si="173"/>
        <v>4253.7772409733561</v>
      </c>
    </row>
    <row r="1452" spans="1:11" x14ac:dyDescent="0.25">
      <c r="A1452" s="26">
        <v>1402</v>
      </c>
      <c r="B1452" s="82">
        <f t="shared" si="174"/>
        <v>0</v>
      </c>
      <c r="C1452" s="58">
        <f t="shared" si="178"/>
        <v>104.50616427295054</v>
      </c>
      <c r="D1452" s="83">
        <f t="shared" si="175"/>
        <v>445.77777777777789</v>
      </c>
      <c r="E1452">
        <f t="shared" si="171"/>
        <v>0</v>
      </c>
      <c r="G1452">
        <v>1402</v>
      </c>
      <c r="H1452" s="13">
        <f t="shared" si="176"/>
        <v>1.8572577375266519E-2</v>
      </c>
      <c r="I1452">
        <f t="shared" si="177"/>
        <v>130.5449177530742</v>
      </c>
      <c r="J1452">
        <f t="shared" si="172"/>
        <v>478.58406481432576</v>
      </c>
      <c r="K1452" s="27">
        <f t="shared" si="173"/>
        <v>4254.0494948645564</v>
      </c>
    </row>
    <row r="1453" spans="1:11" x14ac:dyDescent="0.25">
      <c r="A1453" s="26">
        <v>1403</v>
      </c>
      <c r="B1453" s="82">
        <f t="shared" si="174"/>
        <v>0</v>
      </c>
      <c r="C1453" s="58">
        <f t="shared" si="178"/>
        <v>104.50616427295054</v>
      </c>
      <c r="D1453" s="83">
        <f t="shared" si="175"/>
        <v>445.77777777777789</v>
      </c>
      <c r="E1453">
        <f t="shared" si="171"/>
        <v>0</v>
      </c>
      <c r="G1453">
        <v>1403</v>
      </c>
      <c r="H1453" s="13">
        <f t="shared" si="176"/>
        <v>1.8572577375266519E-2</v>
      </c>
      <c r="I1453">
        <f t="shared" si="177"/>
        <v>130.56349033044947</v>
      </c>
      <c r="J1453">
        <f t="shared" si="172"/>
        <v>478.5993759534058</v>
      </c>
      <c r="K1453" s="27">
        <f t="shared" si="173"/>
        <v>4254.3216243784236</v>
      </c>
    </row>
    <row r="1454" spans="1:11" x14ac:dyDescent="0.25">
      <c r="A1454" s="26">
        <v>1404</v>
      </c>
      <c r="B1454" s="82">
        <f t="shared" si="174"/>
        <v>0</v>
      </c>
      <c r="C1454" s="58">
        <f t="shared" si="178"/>
        <v>104.50616427295054</v>
      </c>
      <c r="D1454" s="83">
        <f t="shared" si="175"/>
        <v>445.77777777777789</v>
      </c>
      <c r="E1454">
        <f t="shared" si="171"/>
        <v>0</v>
      </c>
      <c r="G1454">
        <v>1404</v>
      </c>
      <c r="H1454" s="13">
        <f t="shared" si="176"/>
        <v>1.8572577375266519E-2</v>
      </c>
      <c r="I1454">
        <f t="shared" si="177"/>
        <v>130.58206290782474</v>
      </c>
      <c r="J1454">
        <f t="shared" si="172"/>
        <v>478.61467960848432</v>
      </c>
      <c r="K1454" s="27">
        <f t="shared" si="173"/>
        <v>4254.5936295811307</v>
      </c>
    </row>
    <row r="1455" spans="1:11" x14ac:dyDescent="0.25">
      <c r="A1455" s="26">
        <v>1405</v>
      </c>
      <c r="B1455" s="82">
        <f t="shared" si="174"/>
        <v>0</v>
      </c>
      <c r="C1455" s="58">
        <f t="shared" si="178"/>
        <v>104.50616427295054</v>
      </c>
      <c r="D1455" s="83">
        <f t="shared" si="175"/>
        <v>445.77777777777789</v>
      </c>
      <c r="E1455">
        <f t="shared" si="171"/>
        <v>0</v>
      </c>
      <c r="G1455">
        <v>1405</v>
      </c>
      <c r="H1455" s="13">
        <f t="shared" si="176"/>
        <v>1.8572577375266519E-2</v>
      </c>
      <c r="I1455">
        <f t="shared" si="177"/>
        <v>130.6006354852</v>
      </c>
      <c r="J1455">
        <f t="shared" si="172"/>
        <v>478.62997578399882</v>
      </c>
      <c r="K1455" s="27">
        <f t="shared" si="173"/>
        <v>4254.865510538767</v>
      </c>
    </row>
    <row r="1456" spans="1:11" x14ac:dyDescent="0.25">
      <c r="A1456" s="26">
        <v>1406</v>
      </c>
      <c r="B1456" s="82">
        <f t="shared" si="174"/>
        <v>0</v>
      </c>
      <c r="C1456" s="58">
        <f t="shared" si="178"/>
        <v>104.50616427295054</v>
      </c>
      <c r="D1456" s="83">
        <f t="shared" si="175"/>
        <v>445.77777777777789</v>
      </c>
      <c r="E1456">
        <f t="shared" si="171"/>
        <v>0</v>
      </c>
      <c r="G1456">
        <v>1406</v>
      </c>
      <c r="H1456" s="13">
        <f t="shared" si="176"/>
        <v>1.8572577375266519E-2</v>
      </c>
      <c r="I1456">
        <f t="shared" si="177"/>
        <v>130.61920806257527</v>
      </c>
      <c r="J1456">
        <f t="shared" si="172"/>
        <v>478.64526448438119</v>
      </c>
      <c r="K1456" s="27">
        <f t="shared" si="173"/>
        <v>4255.1372673173355</v>
      </c>
    </row>
    <row r="1457" spans="1:11" x14ac:dyDescent="0.25">
      <c r="A1457" s="26">
        <v>1407</v>
      </c>
      <c r="B1457" s="82">
        <f t="shared" si="174"/>
        <v>0</v>
      </c>
      <c r="C1457" s="58">
        <f t="shared" si="178"/>
        <v>104.50616427295054</v>
      </c>
      <c r="D1457" s="83">
        <f t="shared" si="175"/>
        <v>445.77777777777789</v>
      </c>
      <c r="E1457">
        <f t="shared" si="171"/>
        <v>0</v>
      </c>
      <c r="G1457">
        <v>1407</v>
      </c>
      <c r="H1457" s="13">
        <f t="shared" si="176"/>
        <v>1.8572577375266519E-2</v>
      </c>
      <c r="I1457">
        <f t="shared" si="177"/>
        <v>130.63778063995053</v>
      </c>
      <c r="J1457">
        <f t="shared" si="172"/>
        <v>478.66054571405755</v>
      </c>
      <c r="K1457" s="27">
        <f t="shared" si="173"/>
        <v>4255.4088999827554</v>
      </c>
    </row>
    <row r="1458" spans="1:11" x14ac:dyDescent="0.25">
      <c r="A1458" s="26">
        <v>1408</v>
      </c>
      <c r="B1458" s="82">
        <f t="shared" si="174"/>
        <v>0</v>
      </c>
      <c r="C1458" s="58">
        <f t="shared" si="178"/>
        <v>104.50616427295054</v>
      </c>
      <c r="D1458" s="83">
        <f t="shared" si="175"/>
        <v>445.77777777777789</v>
      </c>
      <c r="E1458">
        <f t="shared" si="171"/>
        <v>0</v>
      </c>
      <c r="G1458">
        <v>1408</v>
      </c>
      <c r="H1458" s="13">
        <f t="shared" si="176"/>
        <v>1.8572577375266519E-2</v>
      </c>
      <c r="I1458">
        <f t="shared" si="177"/>
        <v>130.6563532173258</v>
      </c>
      <c r="J1458">
        <f t="shared" si="172"/>
        <v>478.67581947744844</v>
      </c>
      <c r="K1458" s="27">
        <f t="shared" si="173"/>
        <v>4255.680408600866</v>
      </c>
    </row>
    <row r="1459" spans="1:11" x14ac:dyDescent="0.25">
      <c r="A1459" s="26">
        <v>1409</v>
      </c>
      <c r="B1459" s="82">
        <f t="shared" si="174"/>
        <v>0</v>
      </c>
      <c r="C1459" s="58">
        <f t="shared" si="178"/>
        <v>104.50616427295054</v>
      </c>
      <c r="D1459" s="83">
        <f t="shared" si="175"/>
        <v>445.77777777777789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1.8572577375266519E-2</v>
      </c>
      <c r="I1459">
        <f t="shared" si="177"/>
        <v>130.67492579470107</v>
      </c>
      <c r="J1459">
        <f t="shared" ref="J1459:J1522" si="180">IF($G$28&lt;$C$14,0,((($C$11^2)-((I1459-$C$13)^2))^0.5)+$C$16)</f>
        <v>478.69108577896884</v>
      </c>
      <c r="K1459" s="27">
        <f t="shared" ref="K1459:K1522" si="181">((J1459^2)+(J1459*J1460)+(J1460^2))*H1460/3</f>
        <v>4255.9517932374138</v>
      </c>
    </row>
    <row r="1460" spans="1:11" x14ac:dyDescent="0.25">
      <c r="A1460" s="26">
        <v>1410</v>
      </c>
      <c r="B1460" s="82">
        <f t="shared" ref="B1460:B1523" si="182">C1460-C1459</f>
        <v>0</v>
      </c>
      <c r="C1460" s="58">
        <f t="shared" si="178"/>
        <v>104.50616427295054</v>
      </c>
      <c r="D1460" s="83">
        <f t="shared" ref="D1460:D1523" si="183">IF($G$28&lt;$C$14,0,((($C$11^2)-((C1460-$C$13)^2))^0.5)+$C$16)</f>
        <v>445.77777777777789</v>
      </c>
      <c r="E1460">
        <f t="shared" si="179"/>
        <v>0</v>
      </c>
      <c r="G1460">
        <v>1410</v>
      </c>
      <c r="H1460" s="13">
        <f t="shared" ref="H1460:H1523" si="184">I1460-I1459</f>
        <v>1.8572577375266519E-2</v>
      </c>
      <c r="I1460">
        <f t="shared" ref="I1460:I1523" si="185">($G$27-$C$14)/2000+I1459</f>
        <v>130.69349837207633</v>
      </c>
      <c r="J1460">
        <f t="shared" si="180"/>
        <v>478.70634462302792</v>
      </c>
      <c r="K1460" s="27">
        <f t="shared" si="181"/>
        <v>4256.2230539580705</v>
      </c>
    </row>
    <row r="1461" spans="1:11" x14ac:dyDescent="0.25">
      <c r="A1461" s="26">
        <v>1411</v>
      </c>
      <c r="B1461" s="82">
        <f t="shared" si="182"/>
        <v>0</v>
      </c>
      <c r="C1461" s="58">
        <f t="shared" si="178"/>
        <v>104.50616427295054</v>
      </c>
      <c r="D1461" s="83">
        <f t="shared" si="183"/>
        <v>445.77777777777789</v>
      </c>
      <c r="E1461">
        <f t="shared" si="179"/>
        <v>0</v>
      </c>
      <c r="G1461">
        <v>1411</v>
      </c>
      <c r="H1461" s="13">
        <f t="shared" si="184"/>
        <v>1.8572577375266519E-2</v>
      </c>
      <c r="I1461">
        <f t="shared" si="185"/>
        <v>130.7120709494516</v>
      </c>
      <c r="J1461">
        <f t="shared" si="180"/>
        <v>478.72159601402933</v>
      </c>
      <c r="K1461" s="27">
        <f t="shared" si="181"/>
        <v>4256.4941908284172</v>
      </c>
    </row>
    <row r="1462" spans="1:11" x14ac:dyDescent="0.25">
      <c r="A1462" s="26">
        <v>1412</v>
      </c>
      <c r="B1462" s="82">
        <f t="shared" si="182"/>
        <v>0</v>
      </c>
      <c r="C1462" s="58">
        <f t="shared" si="178"/>
        <v>104.50616427295054</v>
      </c>
      <c r="D1462" s="83">
        <f t="shared" si="183"/>
        <v>445.77777777777789</v>
      </c>
      <c r="E1462">
        <f t="shared" si="179"/>
        <v>0</v>
      </c>
      <c r="G1462">
        <v>1412</v>
      </c>
      <c r="H1462" s="13">
        <f t="shared" si="184"/>
        <v>1.8572577375266519E-2</v>
      </c>
      <c r="I1462">
        <f t="shared" si="185"/>
        <v>130.73064352682687</v>
      </c>
      <c r="J1462">
        <f t="shared" si="180"/>
        <v>478.73683995637111</v>
      </c>
      <c r="K1462" s="27">
        <f t="shared" si="181"/>
        <v>4256.7652039139548</v>
      </c>
    </row>
    <row r="1463" spans="1:11" x14ac:dyDescent="0.25">
      <c r="A1463" s="26">
        <v>1413</v>
      </c>
      <c r="B1463" s="82">
        <f t="shared" si="182"/>
        <v>0</v>
      </c>
      <c r="C1463" s="58">
        <f t="shared" si="178"/>
        <v>104.50616427295054</v>
      </c>
      <c r="D1463" s="83">
        <f t="shared" si="183"/>
        <v>445.77777777777789</v>
      </c>
      <c r="E1463">
        <f t="shared" si="179"/>
        <v>0</v>
      </c>
      <c r="G1463">
        <v>1413</v>
      </c>
      <c r="H1463" s="13">
        <f t="shared" si="184"/>
        <v>1.8572577375266519E-2</v>
      </c>
      <c r="I1463">
        <f t="shared" si="185"/>
        <v>130.74921610420213</v>
      </c>
      <c r="J1463">
        <f t="shared" si="180"/>
        <v>478.75207645444567</v>
      </c>
      <c r="K1463" s="27">
        <f t="shared" si="181"/>
        <v>4257.0360932801032</v>
      </c>
    </row>
    <row r="1464" spans="1:11" x14ac:dyDescent="0.25">
      <c r="A1464" s="26">
        <v>1414</v>
      </c>
      <c r="B1464" s="82">
        <f t="shared" si="182"/>
        <v>0</v>
      </c>
      <c r="C1464" s="58">
        <f t="shared" si="178"/>
        <v>104.50616427295054</v>
      </c>
      <c r="D1464" s="83">
        <f t="shared" si="183"/>
        <v>445.77777777777789</v>
      </c>
      <c r="E1464">
        <f t="shared" si="179"/>
        <v>0</v>
      </c>
      <c r="G1464">
        <v>1414</v>
      </c>
      <c r="H1464" s="13">
        <f t="shared" si="184"/>
        <v>1.8572577375266519E-2</v>
      </c>
      <c r="I1464">
        <f t="shared" si="185"/>
        <v>130.7677886815774</v>
      </c>
      <c r="J1464">
        <f t="shared" si="180"/>
        <v>478.76730551263984</v>
      </c>
      <c r="K1464" s="27">
        <f t="shared" si="181"/>
        <v>4257.3068589921913</v>
      </c>
    </row>
    <row r="1465" spans="1:11" x14ac:dyDescent="0.25">
      <c r="A1465" s="26">
        <v>1415</v>
      </c>
      <c r="B1465" s="82">
        <f t="shared" si="182"/>
        <v>0</v>
      </c>
      <c r="C1465" s="58">
        <f t="shared" si="178"/>
        <v>104.50616427295054</v>
      </c>
      <c r="D1465" s="83">
        <f t="shared" si="183"/>
        <v>445.77777777777789</v>
      </c>
      <c r="E1465">
        <f t="shared" si="179"/>
        <v>0</v>
      </c>
      <c r="G1465">
        <v>1415</v>
      </c>
      <c r="H1465" s="13">
        <f t="shared" si="184"/>
        <v>1.8572577375266519E-2</v>
      </c>
      <c r="I1465">
        <f t="shared" si="185"/>
        <v>130.78636125895267</v>
      </c>
      <c r="J1465">
        <f t="shared" si="180"/>
        <v>478.78252713533482</v>
      </c>
      <c r="K1465" s="27">
        <f t="shared" si="181"/>
        <v>4257.5775011154738</v>
      </c>
    </row>
    <row r="1466" spans="1:11" x14ac:dyDescent="0.25">
      <c r="A1466" s="26">
        <v>1416</v>
      </c>
      <c r="B1466" s="82">
        <f t="shared" si="182"/>
        <v>0</v>
      </c>
      <c r="C1466" s="58">
        <f t="shared" si="178"/>
        <v>104.50616427295054</v>
      </c>
      <c r="D1466" s="83">
        <f t="shared" si="183"/>
        <v>445.77777777777789</v>
      </c>
      <c r="E1466">
        <f t="shared" si="179"/>
        <v>0</v>
      </c>
      <c r="G1466">
        <v>1416</v>
      </c>
      <c r="H1466" s="13">
        <f t="shared" si="184"/>
        <v>1.8572577375266519E-2</v>
      </c>
      <c r="I1466">
        <f t="shared" si="185"/>
        <v>130.80493383632793</v>
      </c>
      <c r="J1466">
        <f t="shared" si="180"/>
        <v>478.7977413269063</v>
      </c>
      <c r="K1466" s="27">
        <f t="shared" si="181"/>
        <v>4257.8480197151148</v>
      </c>
    </row>
    <row r="1467" spans="1:11" x14ac:dyDescent="0.25">
      <c r="A1467" s="26">
        <v>1417</v>
      </c>
      <c r="B1467" s="82">
        <f t="shared" si="182"/>
        <v>0</v>
      </c>
      <c r="C1467" s="58">
        <f t="shared" si="178"/>
        <v>104.50616427295054</v>
      </c>
      <c r="D1467" s="83">
        <f t="shared" si="183"/>
        <v>445.77777777777789</v>
      </c>
      <c r="E1467">
        <f t="shared" si="179"/>
        <v>0</v>
      </c>
      <c r="G1467">
        <v>1417</v>
      </c>
      <c r="H1467" s="13">
        <f t="shared" si="184"/>
        <v>1.8572577375266519E-2</v>
      </c>
      <c r="I1467">
        <f t="shared" si="185"/>
        <v>130.8235064137032</v>
      </c>
      <c r="J1467">
        <f t="shared" si="180"/>
        <v>478.81294809172437</v>
      </c>
      <c r="K1467" s="27">
        <f t="shared" si="181"/>
        <v>4258.1184148561997</v>
      </c>
    </row>
    <row r="1468" spans="1:11" x14ac:dyDescent="0.25">
      <c r="A1468" s="26">
        <v>1418</v>
      </c>
      <c r="B1468" s="82">
        <f t="shared" si="182"/>
        <v>0</v>
      </c>
      <c r="C1468" s="58">
        <f t="shared" si="178"/>
        <v>104.50616427295054</v>
      </c>
      <c r="D1468" s="83">
        <f t="shared" si="183"/>
        <v>445.77777777777789</v>
      </c>
      <c r="E1468">
        <f t="shared" si="179"/>
        <v>0</v>
      </c>
      <c r="G1468">
        <v>1418</v>
      </c>
      <c r="H1468" s="13">
        <f t="shared" si="184"/>
        <v>1.8572577375266519E-2</v>
      </c>
      <c r="I1468">
        <f t="shared" si="185"/>
        <v>130.84207899107847</v>
      </c>
      <c r="J1468">
        <f t="shared" si="180"/>
        <v>478.82814743415355</v>
      </c>
      <c r="K1468" s="27">
        <f t="shared" si="181"/>
        <v>4258.388686603731</v>
      </c>
    </row>
    <row r="1469" spans="1:11" x14ac:dyDescent="0.25">
      <c r="A1469" s="26">
        <v>1419</v>
      </c>
      <c r="B1469" s="82">
        <f t="shared" si="182"/>
        <v>0</v>
      </c>
      <c r="C1469" s="58">
        <f t="shared" si="178"/>
        <v>104.50616427295054</v>
      </c>
      <c r="D1469" s="83">
        <f t="shared" si="183"/>
        <v>445.77777777777789</v>
      </c>
      <c r="E1469">
        <f t="shared" si="179"/>
        <v>0</v>
      </c>
      <c r="G1469">
        <v>1419</v>
      </c>
      <c r="H1469" s="13">
        <f t="shared" si="184"/>
        <v>1.8572577375266519E-2</v>
      </c>
      <c r="I1469">
        <f t="shared" si="185"/>
        <v>130.86065156845373</v>
      </c>
      <c r="J1469">
        <f t="shared" si="180"/>
        <v>478.84333935855284</v>
      </c>
      <c r="K1469" s="27">
        <f t="shared" si="181"/>
        <v>4258.6588350226257</v>
      </c>
    </row>
    <row r="1470" spans="1:11" x14ac:dyDescent="0.25">
      <c r="A1470" s="26">
        <v>1420</v>
      </c>
      <c r="B1470" s="82">
        <f t="shared" si="182"/>
        <v>0</v>
      </c>
      <c r="C1470" s="58">
        <f t="shared" si="178"/>
        <v>104.50616427295054</v>
      </c>
      <c r="D1470" s="83">
        <f t="shared" si="183"/>
        <v>445.77777777777789</v>
      </c>
      <c r="E1470">
        <f t="shared" si="179"/>
        <v>0</v>
      </c>
      <c r="G1470">
        <v>1420</v>
      </c>
      <c r="H1470" s="13">
        <f t="shared" si="184"/>
        <v>1.8572577375266519E-2</v>
      </c>
      <c r="I1470">
        <f t="shared" si="185"/>
        <v>130.879224145829</v>
      </c>
      <c r="J1470">
        <f t="shared" si="180"/>
        <v>478.85852386927559</v>
      </c>
      <c r="K1470" s="27">
        <f t="shared" si="181"/>
        <v>4258.9288601777234</v>
      </c>
    </row>
    <row r="1471" spans="1:11" x14ac:dyDescent="0.25">
      <c r="A1471" s="26">
        <v>1421</v>
      </c>
      <c r="B1471" s="82">
        <f t="shared" si="182"/>
        <v>0</v>
      </c>
      <c r="C1471" s="58">
        <f t="shared" si="178"/>
        <v>104.50616427295054</v>
      </c>
      <c r="D1471" s="83">
        <f t="shared" si="183"/>
        <v>445.77777777777789</v>
      </c>
      <c r="E1471">
        <f t="shared" si="179"/>
        <v>0</v>
      </c>
      <c r="G1471">
        <v>1421</v>
      </c>
      <c r="H1471" s="13">
        <f t="shared" si="184"/>
        <v>1.8572577375266519E-2</v>
      </c>
      <c r="I1471">
        <f t="shared" si="185"/>
        <v>130.89779672320427</v>
      </c>
      <c r="J1471">
        <f t="shared" si="180"/>
        <v>478.87370097066992</v>
      </c>
      <c r="K1471" s="27">
        <f t="shared" si="181"/>
        <v>4259.1987621337776</v>
      </c>
    </row>
    <row r="1472" spans="1:11" x14ac:dyDescent="0.25">
      <c r="A1472" s="26">
        <v>1422</v>
      </c>
      <c r="B1472" s="82">
        <f t="shared" si="182"/>
        <v>0</v>
      </c>
      <c r="C1472" s="58">
        <f t="shared" si="178"/>
        <v>104.50616427295054</v>
      </c>
      <c r="D1472" s="83">
        <f t="shared" si="183"/>
        <v>445.77777777777789</v>
      </c>
      <c r="E1472">
        <f t="shared" si="179"/>
        <v>0</v>
      </c>
      <c r="G1472">
        <v>1422</v>
      </c>
      <c r="H1472" s="13">
        <f t="shared" si="184"/>
        <v>1.8572577375266519E-2</v>
      </c>
      <c r="I1472">
        <f t="shared" si="185"/>
        <v>130.91636930057953</v>
      </c>
      <c r="J1472">
        <f t="shared" si="180"/>
        <v>478.88887066707804</v>
      </c>
      <c r="K1472" s="27">
        <f t="shared" si="181"/>
        <v>4259.4685409554595</v>
      </c>
    </row>
    <row r="1473" spans="1:11" x14ac:dyDescent="0.25">
      <c r="A1473" s="26">
        <v>1423</v>
      </c>
      <c r="B1473" s="82">
        <f t="shared" si="182"/>
        <v>0</v>
      </c>
      <c r="C1473" s="58">
        <f t="shared" si="178"/>
        <v>104.50616427295054</v>
      </c>
      <c r="D1473" s="83">
        <f t="shared" si="183"/>
        <v>445.77777777777789</v>
      </c>
      <c r="E1473">
        <f t="shared" si="179"/>
        <v>0</v>
      </c>
      <c r="G1473">
        <v>1423</v>
      </c>
      <c r="H1473" s="13">
        <f t="shared" si="184"/>
        <v>1.8572577375266519E-2</v>
      </c>
      <c r="I1473">
        <f t="shared" si="185"/>
        <v>130.9349418779548</v>
      </c>
      <c r="J1473">
        <f t="shared" si="180"/>
        <v>478.90403296283694</v>
      </c>
      <c r="K1473" s="27">
        <f t="shared" si="181"/>
        <v>4259.7381967073597</v>
      </c>
    </row>
    <row r="1474" spans="1:11" x14ac:dyDescent="0.25">
      <c r="A1474" s="26">
        <v>1424</v>
      </c>
      <c r="B1474" s="82">
        <f t="shared" si="182"/>
        <v>0</v>
      </c>
      <c r="C1474" s="58">
        <f t="shared" si="178"/>
        <v>104.50616427295054</v>
      </c>
      <c r="D1474" s="83">
        <f t="shared" si="183"/>
        <v>445.77777777777789</v>
      </c>
      <c r="E1474">
        <f t="shared" si="179"/>
        <v>0</v>
      </c>
      <c r="G1474">
        <v>1424</v>
      </c>
      <c r="H1474" s="13">
        <f t="shared" si="184"/>
        <v>1.8572577375266519E-2</v>
      </c>
      <c r="I1474">
        <f t="shared" si="185"/>
        <v>130.95351445533007</v>
      </c>
      <c r="J1474">
        <f t="shared" si="180"/>
        <v>478.91918786227802</v>
      </c>
      <c r="K1474" s="27">
        <f t="shared" si="181"/>
        <v>4260.0077294539869</v>
      </c>
    </row>
    <row r="1475" spans="1:11" x14ac:dyDescent="0.25">
      <c r="A1475" s="26">
        <v>1425</v>
      </c>
      <c r="B1475" s="82">
        <f t="shared" si="182"/>
        <v>0</v>
      </c>
      <c r="C1475" s="58">
        <f t="shared" si="178"/>
        <v>104.50616427295054</v>
      </c>
      <c r="D1475" s="83">
        <f t="shared" si="183"/>
        <v>445.77777777777789</v>
      </c>
      <c r="E1475">
        <f t="shared" si="179"/>
        <v>0</v>
      </c>
      <c r="G1475">
        <v>1425</v>
      </c>
      <c r="H1475" s="13">
        <f t="shared" si="184"/>
        <v>1.8572577375266519E-2</v>
      </c>
      <c r="I1475">
        <f t="shared" si="185"/>
        <v>130.97208703270533</v>
      </c>
      <c r="J1475">
        <f t="shared" si="180"/>
        <v>478.93433536972719</v>
      </c>
      <c r="K1475" s="27">
        <f t="shared" si="181"/>
        <v>4260.277139259767</v>
      </c>
    </row>
    <row r="1476" spans="1:11" x14ac:dyDescent="0.25">
      <c r="A1476" s="26">
        <v>1426</v>
      </c>
      <c r="B1476" s="82">
        <f t="shared" si="182"/>
        <v>0</v>
      </c>
      <c r="C1476" s="58">
        <f t="shared" si="178"/>
        <v>104.50616427295054</v>
      </c>
      <c r="D1476" s="83">
        <f t="shared" si="183"/>
        <v>445.77777777777789</v>
      </c>
      <c r="E1476">
        <f t="shared" si="179"/>
        <v>0</v>
      </c>
      <c r="G1476">
        <v>1426</v>
      </c>
      <c r="H1476" s="13">
        <f t="shared" si="184"/>
        <v>1.8572577375266519E-2</v>
      </c>
      <c r="I1476">
        <f t="shared" si="185"/>
        <v>130.9906596100806</v>
      </c>
      <c r="J1476">
        <f t="shared" si="180"/>
        <v>478.94947548950483</v>
      </c>
      <c r="K1476" s="27">
        <f t="shared" si="181"/>
        <v>4260.5464261890456</v>
      </c>
    </row>
    <row r="1477" spans="1:11" x14ac:dyDescent="0.25">
      <c r="A1477" s="26">
        <v>1427</v>
      </c>
      <c r="B1477" s="82">
        <f t="shared" si="182"/>
        <v>0</v>
      </c>
      <c r="C1477" s="58">
        <f t="shared" si="178"/>
        <v>104.50616427295054</v>
      </c>
      <c r="D1477" s="83">
        <f t="shared" si="183"/>
        <v>445.77777777777789</v>
      </c>
      <c r="E1477">
        <f t="shared" si="179"/>
        <v>0</v>
      </c>
      <c r="G1477">
        <v>1427</v>
      </c>
      <c r="H1477" s="13">
        <f t="shared" si="184"/>
        <v>1.8572577375266519E-2</v>
      </c>
      <c r="I1477">
        <f t="shared" si="185"/>
        <v>131.00923218745586</v>
      </c>
      <c r="J1477">
        <f t="shared" si="180"/>
        <v>478.96460822592587</v>
      </c>
      <c r="K1477" s="27">
        <f t="shared" si="181"/>
        <v>4260.8155903060861</v>
      </c>
    </row>
    <row r="1478" spans="1:11" x14ac:dyDescent="0.25">
      <c r="A1478" s="26">
        <v>1428</v>
      </c>
      <c r="B1478" s="82">
        <f t="shared" si="182"/>
        <v>0</v>
      </c>
      <c r="C1478" s="58">
        <f t="shared" si="178"/>
        <v>104.50616427295054</v>
      </c>
      <c r="D1478" s="83">
        <f t="shared" si="183"/>
        <v>445.77777777777789</v>
      </c>
      <c r="E1478">
        <f t="shared" si="179"/>
        <v>0</v>
      </c>
      <c r="G1478">
        <v>1428</v>
      </c>
      <c r="H1478" s="13">
        <f t="shared" si="184"/>
        <v>1.8572577375266519E-2</v>
      </c>
      <c r="I1478">
        <f t="shared" si="185"/>
        <v>131.02780476483113</v>
      </c>
      <c r="J1478">
        <f t="shared" si="180"/>
        <v>478.97973358329989</v>
      </c>
      <c r="K1478" s="27">
        <f t="shared" si="181"/>
        <v>4261.0846316750694</v>
      </c>
    </row>
    <row r="1479" spans="1:11" x14ac:dyDescent="0.25">
      <c r="A1479" s="26">
        <v>1429</v>
      </c>
      <c r="B1479" s="82">
        <f t="shared" si="182"/>
        <v>0</v>
      </c>
      <c r="C1479" s="58">
        <f t="shared" si="178"/>
        <v>104.50616427295054</v>
      </c>
      <c r="D1479" s="83">
        <f t="shared" si="183"/>
        <v>445.77777777777789</v>
      </c>
      <c r="E1479">
        <f t="shared" si="179"/>
        <v>0</v>
      </c>
      <c r="G1479">
        <v>1429</v>
      </c>
      <c r="H1479" s="13">
        <f t="shared" si="184"/>
        <v>1.8572577375266519E-2</v>
      </c>
      <c r="I1479">
        <f t="shared" si="185"/>
        <v>131.0463773422064</v>
      </c>
      <c r="J1479">
        <f t="shared" si="180"/>
        <v>478.99485156593084</v>
      </c>
      <c r="K1479" s="27">
        <f t="shared" si="181"/>
        <v>4261.3535503600988</v>
      </c>
    </row>
    <row r="1480" spans="1:11" x14ac:dyDescent="0.25">
      <c r="A1480" s="26">
        <v>1430</v>
      </c>
      <c r="B1480" s="82">
        <f t="shared" si="182"/>
        <v>0</v>
      </c>
      <c r="C1480" s="58">
        <f t="shared" si="178"/>
        <v>104.50616427295054</v>
      </c>
      <c r="D1480" s="83">
        <f t="shared" si="183"/>
        <v>445.77777777777789</v>
      </c>
      <c r="E1480">
        <f t="shared" si="179"/>
        <v>0</v>
      </c>
      <c r="G1480">
        <v>1430</v>
      </c>
      <c r="H1480" s="13">
        <f t="shared" si="184"/>
        <v>1.8572577375266519E-2</v>
      </c>
      <c r="I1480">
        <f t="shared" si="185"/>
        <v>131.06494991958166</v>
      </c>
      <c r="J1480">
        <f t="shared" si="180"/>
        <v>479.00996217811746</v>
      </c>
      <c r="K1480" s="27">
        <f t="shared" si="181"/>
        <v>4261.6223464251925</v>
      </c>
    </row>
    <row r="1481" spans="1:11" x14ac:dyDescent="0.25">
      <c r="A1481" s="26">
        <v>1431</v>
      </c>
      <c r="B1481" s="82">
        <f t="shared" si="182"/>
        <v>0</v>
      </c>
      <c r="C1481" s="58">
        <f t="shared" si="178"/>
        <v>104.50616427295054</v>
      </c>
      <c r="D1481" s="83">
        <f t="shared" si="183"/>
        <v>445.77777777777789</v>
      </c>
      <c r="E1481">
        <f t="shared" si="179"/>
        <v>0</v>
      </c>
      <c r="G1481">
        <v>1431</v>
      </c>
      <c r="H1481" s="13">
        <f t="shared" si="184"/>
        <v>1.8572577375266519E-2</v>
      </c>
      <c r="I1481">
        <f t="shared" si="185"/>
        <v>131.08352249695693</v>
      </c>
      <c r="J1481">
        <f t="shared" si="180"/>
        <v>479.02506542415273</v>
      </c>
      <c r="K1481" s="27">
        <f t="shared" si="181"/>
        <v>4261.8910199342899</v>
      </c>
    </row>
    <row r="1482" spans="1:11" x14ac:dyDescent="0.25">
      <c r="A1482" s="26">
        <v>1432</v>
      </c>
      <c r="B1482" s="82">
        <f t="shared" si="182"/>
        <v>0</v>
      </c>
      <c r="C1482" s="58">
        <f t="shared" si="178"/>
        <v>104.50616427295054</v>
      </c>
      <c r="D1482" s="83">
        <f t="shared" si="183"/>
        <v>445.77777777777789</v>
      </c>
      <c r="E1482">
        <f t="shared" si="179"/>
        <v>0</v>
      </c>
      <c r="G1482">
        <v>1432</v>
      </c>
      <c r="H1482" s="13">
        <f t="shared" si="184"/>
        <v>1.8572577375266519E-2</v>
      </c>
      <c r="I1482">
        <f t="shared" si="185"/>
        <v>131.1020950743322</v>
      </c>
      <c r="J1482">
        <f t="shared" si="180"/>
        <v>479.04016130832451</v>
      </c>
      <c r="K1482" s="27">
        <f t="shared" si="181"/>
        <v>4262.1595709512503</v>
      </c>
    </row>
    <row r="1483" spans="1:11" x14ac:dyDescent="0.25">
      <c r="A1483" s="26">
        <v>1433</v>
      </c>
      <c r="B1483" s="82">
        <f t="shared" si="182"/>
        <v>0</v>
      </c>
      <c r="C1483" s="58">
        <f t="shared" si="178"/>
        <v>104.50616427295054</v>
      </c>
      <c r="D1483" s="83">
        <f t="shared" si="183"/>
        <v>445.77777777777789</v>
      </c>
      <c r="E1483">
        <f t="shared" si="179"/>
        <v>0</v>
      </c>
      <c r="G1483">
        <v>1433</v>
      </c>
      <c r="H1483" s="13">
        <f t="shared" si="184"/>
        <v>1.8572577375266519E-2</v>
      </c>
      <c r="I1483">
        <f t="shared" si="185"/>
        <v>131.12066765170746</v>
      </c>
      <c r="J1483">
        <f t="shared" si="180"/>
        <v>479.05524983491512</v>
      </c>
      <c r="K1483" s="27">
        <f t="shared" si="181"/>
        <v>4262.4279995398501</v>
      </c>
    </row>
    <row r="1484" spans="1:11" x14ac:dyDescent="0.25">
      <c r="A1484" s="26">
        <v>1434</v>
      </c>
      <c r="B1484" s="82">
        <f t="shared" si="182"/>
        <v>0</v>
      </c>
      <c r="C1484" s="58">
        <f t="shared" si="178"/>
        <v>104.50616427295054</v>
      </c>
      <c r="D1484" s="83">
        <f t="shared" si="183"/>
        <v>445.77777777777789</v>
      </c>
      <c r="E1484">
        <f t="shared" si="179"/>
        <v>0</v>
      </c>
      <c r="G1484">
        <v>1434</v>
      </c>
      <c r="H1484" s="13">
        <f t="shared" si="184"/>
        <v>1.8572577375266519E-2</v>
      </c>
      <c r="I1484">
        <f t="shared" si="185"/>
        <v>131.13924022908273</v>
      </c>
      <c r="J1484">
        <f t="shared" si="180"/>
        <v>479.07033100820138</v>
      </c>
      <c r="K1484" s="27">
        <f t="shared" si="181"/>
        <v>4262.6963057637859</v>
      </c>
    </row>
    <row r="1485" spans="1:11" x14ac:dyDescent="0.25">
      <c r="A1485" s="26">
        <v>1435</v>
      </c>
      <c r="B1485" s="82">
        <f t="shared" si="182"/>
        <v>0</v>
      </c>
      <c r="C1485" s="58">
        <f t="shared" si="178"/>
        <v>104.50616427295054</v>
      </c>
      <c r="D1485" s="83">
        <f t="shared" si="183"/>
        <v>445.77777777777789</v>
      </c>
      <c r="E1485">
        <f t="shared" si="179"/>
        <v>0</v>
      </c>
      <c r="G1485">
        <v>1435</v>
      </c>
      <c r="H1485" s="13">
        <f t="shared" si="184"/>
        <v>1.8572577375266519E-2</v>
      </c>
      <c r="I1485">
        <f t="shared" si="185"/>
        <v>131.157812806458</v>
      </c>
      <c r="J1485">
        <f t="shared" si="180"/>
        <v>479.08540483245491</v>
      </c>
      <c r="K1485" s="27">
        <f t="shared" si="181"/>
        <v>4262.9644896866766</v>
      </c>
    </row>
    <row r="1486" spans="1:11" x14ac:dyDescent="0.25">
      <c r="A1486" s="26">
        <v>1436</v>
      </c>
      <c r="B1486" s="82">
        <f t="shared" si="182"/>
        <v>0</v>
      </c>
      <c r="C1486" s="58">
        <f t="shared" si="178"/>
        <v>104.50616427295054</v>
      </c>
      <c r="D1486" s="83">
        <f t="shared" si="183"/>
        <v>445.77777777777789</v>
      </c>
      <c r="E1486">
        <f t="shared" si="179"/>
        <v>0</v>
      </c>
      <c r="G1486">
        <v>1436</v>
      </c>
      <c r="H1486" s="13">
        <f t="shared" si="184"/>
        <v>1.8572577375266519E-2</v>
      </c>
      <c r="I1486">
        <f t="shared" si="185"/>
        <v>131.17638538383326</v>
      </c>
      <c r="J1486">
        <f t="shared" si="180"/>
        <v>479.10047131194187</v>
      </c>
      <c r="K1486" s="27">
        <f t="shared" si="181"/>
        <v>4263.232551372058</v>
      </c>
    </row>
    <row r="1487" spans="1:11" x14ac:dyDescent="0.25">
      <c r="A1487" s="26">
        <v>1437</v>
      </c>
      <c r="B1487" s="82">
        <f t="shared" si="182"/>
        <v>0</v>
      </c>
      <c r="C1487" s="58">
        <f t="shared" si="178"/>
        <v>104.50616427295054</v>
      </c>
      <c r="D1487" s="83">
        <f t="shared" si="183"/>
        <v>445.77777777777789</v>
      </c>
      <c r="E1487">
        <f t="shared" si="179"/>
        <v>0</v>
      </c>
      <c r="G1487">
        <v>1437</v>
      </c>
      <c r="H1487" s="13">
        <f t="shared" si="184"/>
        <v>1.8572577375266519E-2</v>
      </c>
      <c r="I1487">
        <f t="shared" si="185"/>
        <v>131.19495796120853</v>
      </c>
      <c r="J1487">
        <f t="shared" si="180"/>
        <v>479.11553045092296</v>
      </c>
      <c r="K1487" s="27">
        <f t="shared" si="181"/>
        <v>4263.5004908833862</v>
      </c>
    </row>
    <row r="1488" spans="1:11" x14ac:dyDescent="0.25">
      <c r="A1488" s="26">
        <v>1438</v>
      </c>
      <c r="B1488" s="82">
        <f t="shared" si="182"/>
        <v>0</v>
      </c>
      <c r="C1488" s="58">
        <f t="shared" ref="C1488:C1551" si="186">($C$37-$C$36)/2000+C1487</f>
        <v>104.50616427295054</v>
      </c>
      <c r="D1488" s="83">
        <f t="shared" si="183"/>
        <v>445.77777777777789</v>
      </c>
      <c r="E1488">
        <f t="shared" si="179"/>
        <v>0</v>
      </c>
      <c r="G1488">
        <v>1438</v>
      </c>
      <c r="H1488" s="13">
        <f t="shared" si="184"/>
        <v>1.8572577375266519E-2</v>
      </c>
      <c r="I1488">
        <f t="shared" si="185"/>
        <v>131.2135305385838</v>
      </c>
      <c r="J1488">
        <f t="shared" si="180"/>
        <v>479.13058225365359</v>
      </c>
      <c r="K1488" s="27">
        <f t="shared" si="181"/>
        <v>4263.7683082840367</v>
      </c>
    </row>
    <row r="1489" spans="1:11" x14ac:dyDescent="0.25">
      <c r="A1489" s="26">
        <v>1439</v>
      </c>
      <c r="B1489" s="82">
        <f t="shared" si="182"/>
        <v>0</v>
      </c>
      <c r="C1489" s="58">
        <f t="shared" si="186"/>
        <v>104.50616427295054</v>
      </c>
      <c r="D1489" s="83">
        <f t="shared" si="183"/>
        <v>445.77777777777789</v>
      </c>
      <c r="E1489">
        <f t="shared" si="179"/>
        <v>0</v>
      </c>
      <c r="G1489">
        <v>1439</v>
      </c>
      <c r="H1489" s="13">
        <f t="shared" si="184"/>
        <v>1.8572577375266519E-2</v>
      </c>
      <c r="I1489">
        <f t="shared" si="185"/>
        <v>131.23210311595906</v>
      </c>
      <c r="J1489">
        <f t="shared" si="180"/>
        <v>479.14562672438376</v>
      </c>
      <c r="K1489" s="27">
        <f t="shared" si="181"/>
        <v>4264.0360036373086</v>
      </c>
    </row>
    <row r="1490" spans="1:11" x14ac:dyDescent="0.25">
      <c r="A1490" s="26">
        <v>1440</v>
      </c>
      <c r="B1490" s="82">
        <f t="shared" si="182"/>
        <v>0</v>
      </c>
      <c r="C1490" s="58">
        <f t="shared" si="186"/>
        <v>104.50616427295054</v>
      </c>
      <c r="D1490" s="83">
        <f t="shared" si="183"/>
        <v>445.77777777777789</v>
      </c>
      <c r="E1490">
        <f t="shared" si="179"/>
        <v>0</v>
      </c>
      <c r="G1490">
        <v>1440</v>
      </c>
      <c r="H1490" s="13">
        <f t="shared" si="184"/>
        <v>1.8572577375266519E-2</v>
      </c>
      <c r="I1490">
        <f t="shared" si="185"/>
        <v>131.25067569333433</v>
      </c>
      <c r="J1490">
        <f t="shared" si="180"/>
        <v>479.16066386735815</v>
      </c>
      <c r="K1490" s="27">
        <f t="shared" si="181"/>
        <v>4264.303577006418</v>
      </c>
    </row>
    <row r="1491" spans="1:11" x14ac:dyDescent="0.25">
      <c r="A1491" s="26">
        <v>1441</v>
      </c>
      <c r="B1491" s="82">
        <f t="shared" si="182"/>
        <v>0</v>
      </c>
      <c r="C1491" s="58">
        <f t="shared" si="186"/>
        <v>104.50616427295054</v>
      </c>
      <c r="D1491" s="83">
        <f t="shared" si="183"/>
        <v>445.77777777777789</v>
      </c>
      <c r="E1491">
        <f t="shared" si="179"/>
        <v>0</v>
      </c>
      <c r="G1491">
        <v>1441</v>
      </c>
      <c r="H1491" s="13">
        <f t="shared" si="184"/>
        <v>1.8572577375266519E-2</v>
      </c>
      <c r="I1491">
        <f t="shared" si="185"/>
        <v>131.2692482707096</v>
      </c>
      <c r="J1491">
        <f t="shared" si="180"/>
        <v>479.1756936868162</v>
      </c>
      <c r="K1491" s="27">
        <f t="shared" si="181"/>
        <v>4264.571028454503</v>
      </c>
    </row>
    <row r="1492" spans="1:11" x14ac:dyDescent="0.25">
      <c r="A1492" s="26">
        <v>1442</v>
      </c>
      <c r="B1492" s="82">
        <f t="shared" si="182"/>
        <v>0</v>
      </c>
      <c r="C1492" s="58">
        <f t="shared" si="186"/>
        <v>104.50616427295054</v>
      </c>
      <c r="D1492" s="83">
        <f t="shared" si="183"/>
        <v>445.77777777777789</v>
      </c>
      <c r="E1492">
        <f t="shared" si="179"/>
        <v>0</v>
      </c>
      <c r="G1492">
        <v>1442</v>
      </c>
      <c r="H1492" s="13">
        <f t="shared" si="184"/>
        <v>1.8572577375266519E-2</v>
      </c>
      <c r="I1492">
        <f t="shared" si="185"/>
        <v>131.28782084808486</v>
      </c>
      <c r="J1492">
        <f t="shared" si="180"/>
        <v>479.19071618699184</v>
      </c>
      <c r="K1492" s="27">
        <f t="shared" si="181"/>
        <v>4264.8383580446216</v>
      </c>
    </row>
    <row r="1493" spans="1:11" x14ac:dyDescent="0.25">
      <c r="A1493" s="26">
        <v>1443</v>
      </c>
      <c r="B1493" s="82">
        <f t="shared" si="182"/>
        <v>0</v>
      </c>
      <c r="C1493" s="58">
        <f t="shared" si="186"/>
        <v>104.50616427295054</v>
      </c>
      <c r="D1493" s="83">
        <f t="shared" si="183"/>
        <v>445.77777777777789</v>
      </c>
      <c r="E1493">
        <f t="shared" si="179"/>
        <v>0</v>
      </c>
      <c r="G1493">
        <v>1443</v>
      </c>
      <c r="H1493" s="13">
        <f t="shared" si="184"/>
        <v>1.8572577375266519E-2</v>
      </c>
      <c r="I1493">
        <f t="shared" si="185"/>
        <v>131.30639342546013</v>
      </c>
      <c r="J1493">
        <f t="shared" si="180"/>
        <v>479.20573137211375</v>
      </c>
      <c r="K1493" s="27">
        <f t="shared" si="181"/>
        <v>4265.1055658397518</v>
      </c>
    </row>
    <row r="1494" spans="1:11" x14ac:dyDescent="0.25">
      <c r="A1494" s="26">
        <v>1444</v>
      </c>
      <c r="B1494" s="82">
        <f t="shared" si="182"/>
        <v>0</v>
      </c>
      <c r="C1494" s="58">
        <f t="shared" si="186"/>
        <v>104.50616427295054</v>
      </c>
      <c r="D1494" s="83">
        <f t="shared" si="183"/>
        <v>445.77777777777789</v>
      </c>
      <c r="E1494">
        <f t="shared" si="179"/>
        <v>0</v>
      </c>
      <c r="G1494">
        <v>1444</v>
      </c>
      <c r="H1494" s="13">
        <f t="shared" si="184"/>
        <v>1.8572577375266519E-2</v>
      </c>
      <c r="I1494">
        <f t="shared" si="185"/>
        <v>131.3249660028354</v>
      </c>
      <c r="J1494">
        <f t="shared" si="180"/>
        <v>479.22073924640529</v>
      </c>
      <c r="K1494" s="27">
        <f t="shared" si="181"/>
        <v>4265.3726519027941</v>
      </c>
    </row>
    <row r="1495" spans="1:11" x14ac:dyDescent="0.25">
      <c r="A1495" s="26">
        <v>1445</v>
      </c>
      <c r="B1495" s="82">
        <f t="shared" si="182"/>
        <v>0</v>
      </c>
      <c r="C1495" s="58">
        <f t="shared" si="186"/>
        <v>104.50616427295054</v>
      </c>
      <c r="D1495" s="83">
        <f t="shared" si="183"/>
        <v>445.77777777777789</v>
      </c>
      <c r="E1495">
        <f t="shared" si="179"/>
        <v>0</v>
      </c>
      <c r="G1495">
        <v>1445</v>
      </c>
      <c r="H1495" s="13">
        <f t="shared" si="184"/>
        <v>1.8572577375266519E-2</v>
      </c>
      <c r="I1495">
        <f t="shared" si="185"/>
        <v>131.34353858021066</v>
      </c>
      <c r="J1495">
        <f t="shared" si="180"/>
        <v>479.23573981408458</v>
      </c>
      <c r="K1495" s="27">
        <f t="shared" si="181"/>
        <v>4265.6396162965702</v>
      </c>
    </row>
    <row r="1496" spans="1:11" x14ac:dyDescent="0.25">
      <c r="A1496" s="26">
        <v>1446</v>
      </c>
      <c r="B1496" s="82">
        <f t="shared" si="182"/>
        <v>0</v>
      </c>
      <c r="C1496" s="58">
        <f t="shared" si="186"/>
        <v>104.50616427295054</v>
      </c>
      <c r="D1496" s="83">
        <f t="shared" si="183"/>
        <v>445.77777777777789</v>
      </c>
      <c r="E1496">
        <f t="shared" si="179"/>
        <v>0</v>
      </c>
      <c r="G1496">
        <v>1446</v>
      </c>
      <c r="H1496" s="13">
        <f t="shared" si="184"/>
        <v>1.8572577375266519E-2</v>
      </c>
      <c r="I1496">
        <f t="shared" si="185"/>
        <v>131.36211115758593</v>
      </c>
      <c r="J1496">
        <f t="shared" si="180"/>
        <v>479.2507330793643</v>
      </c>
      <c r="K1496" s="27">
        <f t="shared" si="181"/>
        <v>4265.9064590838207</v>
      </c>
    </row>
    <row r="1497" spans="1:11" x14ac:dyDescent="0.25">
      <c r="A1497" s="26">
        <v>1447</v>
      </c>
      <c r="B1497" s="82">
        <f t="shared" si="182"/>
        <v>0</v>
      </c>
      <c r="C1497" s="58">
        <f t="shared" si="186"/>
        <v>104.50616427295054</v>
      </c>
      <c r="D1497" s="83">
        <f t="shared" si="183"/>
        <v>445.77777777777789</v>
      </c>
      <c r="E1497">
        <f t="shared" si="179"/>
        <v>0</v>
      </c>
      <c r="G1497">
        <v>1447</v>
      </c>
      <c r="H1497" s="13">
        <f t="shared" si="184"/>
        <v>1.8572577375266519E-2</v>
      </c>
      <c r="I1497">
        <f t="shared" si="185"/>
        <v>131.3806837349612</v>
      </c>
      <c r="J1497">
        <f t="shared" si="180"/>
        <v>479.26571904645209</v>
      </c>
      <c r="K1497" s="27">
        <f t="shared" si="181"/>
        <v>4266.1731803272105</v>
      </c>
    </row>
    <row r="1498" spans="1:11" x14ac:dyDescent="0.25">
      <c r="A1498" s="26">
        <v>1448</v>
      </c>
      <c r="B1498" s="82">
        <f t="shared" si="182"/>
        <v>0</v>
      </c>
      <c r="C1498" s="58">
        <f t="shared" si="186"/>
        <v>104.50616427295054</v>
      </c>
      <c r="D1498" s="83">
        <f t="shared" si="183"/>
        <v>445.77777777777789</v>
      </c>
      <c r="E1498">
        <f t="shared" si="179"/>
        <v>0</v>
      </c>
      <c r="G1498">
        <v>1448</v>
      </c>
      <c r="H1498" s="13">
        <f t="shared" si="184"/>
        <v>1.8572577375266519E-2</v>
      </c>
      <c r="I1498">
        <f t="shared" si="185"/>
        <v>131.39925631233646</v>
      </c>
      <c r="J1498">
        <f t="shared" si="180"/>
        <v>479.28069771955006</v>
      </c>
      <c r="K1498" s="27">
        <f t="shared" si="181"/>
        <v>4266.439780089323</v>
      </c>
    </row>
    <row r="1499" spans="1:11" x14ac:dyDescent="0.25">
      <c r="A1499" s="26">
        <v>1449</v>
      </c>
      <c r="B1499" s="82">
        <f t="shared" si="182"/>
        <v>0</v>
      </c>
      <c r="C1499" s="58">
        <f t="shared" si="186"/>
        <v>104.50616427295054</v>
      </c>
      <c r="D1499" s="83">
        <f t="shared" si="183"/>
        <v>445.77777777777789</v>
      </c>
      <c r="E1499">
        <f t="shared" si="179"/>
        <v>0</v>
      </c>
      <c r="G1499">
        <v>1449</v>
      </c>
      <c r="H1499" s="13">
        <f t="shared" si="184"/>
        <v>1.8572577375266519E-2</v>
      </c>
      <c r="I1499">
        <f t="shared" si="185"/>
        <v>131.41782888971173</v>
      </c>
      <c r="J1499">
        <f t="shared" si="180"/>
        <v>479.29566910285513</v>
      </c>
      <c r="K1499" s="27">
        <f t="shared" si="181"/>
        <v>4266.7062584326659</v>
      </c>
    </row>
    <row r="1500" spans="1:11" x14ac:dyDescent="0.25">
      <c r="A1500" s="26">
        <v>1450</v>
      </c>
      <c r="B1500" s="82">
        <f t="shared" si="182"/>
        <v>0</v>
      </c>
      <c r="C1500" s="58">
        <f t="shared" si="186"/>
        <v>104.50616427295054</v>
      </c>
      <c r="D1500" s="83">
        <f t="shared" si="183"/>
        <v>445.77777777777789</v>
      </c>
      <c r="E1500">
        <f t="shared" si="179"/>
        <v>0</v>
      </c>
      <c r="G1500">
        <v>1450</v>
      </c>
      <c r="H1500" s="13">
        <f t="shared" si="184"/>
        <v>1.8572577375266519E-2</v>
      </c>
      <c r="I1500">
        <f t="shared" si="185"/>
        <v>131.43640146708699</v>
      </c>
      <c r="J1500">
        <f t="shared" si="180"/>
        <v>479.31063320055904</v>
      </c>
      <c r="K1500" s="27">
        <f t="shared" si="181"/>
        <v>4266.9726154196651</v>
      </c>
    </row>
    <row r="1501" spans="1:11" x14ac:dyDescent="0.25">
      <c r="A1501" s="26">
        <v>1451</v>
      </c>
      <c r="B1501" s="82">
        <f t="shared" si="182"/>
        <v>0</v>
      </c>
      <c r="C1501" s="58">
        <f t="shared" si="186"/>
        <v>104.50616427295054</v>
      </c>
      <c r="D1501" s="83">
        <f t="shared" si="183"/>
        <v>445.77777777777789</v>
      </c>
      <c r="E1501">
        <f t="shared" si="179"/>
        <v>0</v>
      </c>
      <c r="G1501">
        <v>1451</v>
      </c>
      <c r="H1501" s="13">
        <f t="shared" si="184"/>
        <v>1.8572577375266519E-2</v>
      </c>
      <c r="I1501">
        <f t="shared" si="185"/>
        <v>131.45497404446226</v>
      </c>
      <c r="J1501">
        <f t="shared" si="180"/>
        <v>479.3255900168482</v>
      </c>
      <c r="K1501" s="27">
        <f t="shared" si="181"/>
        <v>4267.2388511126719</v>
      </c>
    </row>
    <row r="1502" spans="1:11" x14ac:dyDescent="0.25">
      <c r="A1502" s="26">
        <v>1452</v>
      </c>
      <c r="B1502" s="82">
        <f t="shared" si="182"/>
        <v>0</v>
      </c>
      <c r="C1502" s="58">
        <f t="shared" si="186"/>
        <v>104.50616427295054</v>
      </c>
      <c r="D1502" s="83">
        <f t="shared" si="183"/>
        <v>445.77777777777789</v>
      </c>
      <c r="E1502">
        <f t="shared" si="179"/>
        <v>0</v>
      </c>
      <c r="G1502">
        <v>1452</v>
      </c>
      <c r="H1502" s="13">
        <f t="shared" si="184"/>
        <v>1.8572577375266519E-2</v>
      </c>
      <c r="I1502">
        <f t="shared" si="185"/>
        <v>131.47354662183753</v>
      </c>
      <c r="J1502">
        <f t="shared" si="180"/>
        <v>479.34053955590377</v>
      </c>
      <c r="K1502" s="27">
        <f t="shared" si="181"/>
        <v>4267.5049655739576</v>
      </c>
    </row>
    <row r="1503" spans="1:11" x14ac:dyDescent="0.25">
      <c r="A1503" s="26">
        <v>1453</v>
      </c>
      <c r="B1503" s="82">
        <f t="shared" si="182"/>
        <v>0</v>
      </c>
      <c r="C1503" s="58">
        <f t="shared" si="186"/>
        <v>104.50616427295054</v>
      </c>
      <c r="D1503" s="83">
        <f t="shared" si="183"/>
        <v>445.77777777777789</v>
      </c>
      <c r="E1503">
        <f t="shared" si="179"/>
        <v>0</v>
      </c>
      <c r="G1503">
        <v>1453</v>
      </c>
      <c r="H1503" s="13">
        <f t="shared" si="184"/>
        <v>1.8572577375266519E-2</v>
      </c>
      <c r="I1503">
        <f t="shared" si="185"/>
        <v>131.49211919921279</v>
      </c>
      <c r="J1503">
        <f t="shared" si="180"/>
        <v>479.35548182190172</v>
      </c>
      <c r="K1503" s="27">
        <f t="shared" si="181"/>
        <v>4267.7709588657153</v>
      </c>
    </row>
    <row r="1504" spans="1:11" x14ac:dyDescent="0.25">
      <c r="A1504" s="26">
        <v>1454</v>
      </c>
      <c r="B1504" s="82">
        <f t="shared" si="182"/>
        <v>0</v>
      </c>
      <c r="C1504" s="58">
        <f t="shared" si="186"/>
        <v>104.50616427295054</v>
      </c>
      <c r="D1504" s="83">
        <f t="shared" si="183"/>
        <v>445.77777777777789</v>
      </c>
      <c r="E1504">
        <f t="shared" si="179"/>
        <v>0</v>
      </c>
      <c r="G1504">
        <v>1454</v>
      </c>
      <c r="H1504" s="13">
        <f t="shared" si="184"/>
        <v>1.8572577375266519E-2</v>
      </c>
      <c r="I1504">
        <f t="shared" si="185"/>
        <v>131.51069177658806</v>
      </c>
      <c r="J1504">
        <f t="shared" si="180"/>
        <v>479.3704168190128</v>
      </c>
      <c r="K1504" s="27">
        <f t="shared" si="181"/>
        <v>4268.0368310500644</v>
      </c>
    </row>
    <row r="1505" spans="1:11" x14ac:dyDescent="0.25">
      <c r="A1505" s="26">
        <v>1455</v>
      </c>
      <c r="B1505" s="82">
        <f t="shared" si="182"/>
        <v>0</v>
      </c>
      <c r="C1505" s="58">
        <f t="shared" si="186"/>
        <v>104.50616427295054</v>
      </c>
      <c r="D1505" s="83">
        <f t="shared" si="183"/>
        <v>445.77777777777789</v>
      </c>
      <c r="E1505">
        <f t="shared" si="179"/>
        <v>0</v>
      </c>
      <c r="G1505">
        <v>1455</v>
      </c>
      <c r="H1505" s="13">
        <f t="shared" si="184"/>
        <v>1.8572577375266519E-2</v>
      </c>
      <c r="I1505">
        <f t="shared" si="185"/>
        <v>131.52926435396333</v>
      </c>
      <c r="J1505">
        <f t="shared" si="180"/>
        <v>479.38534455140257</v>
      </c>
      <c r="K1505" s="27">
        <f t="shared" si="181"/>
        <v>4268.3025821890396</v>
      </c>
    </row>
    <row r="1506" spans="1:11" x14ac:dyDescent="0.25">
      <c r="A1506" s="26">
        <v>1456</v>
      </c>
      <c r="B1506" s="82">
        <f t="shared" si="182"/>
        <v>0</v>
      </c>
      <c r="C1506" s="58">
        <f t="shared" si="186"/>
        <v>104.50616427295054</v>
      </c>
      <c r="D1506" s="83">
        <f t="shared" si="183"/>
        <v>445.77777777777789</v>
      </c>
      <c r="E1506">
        <f t="shared" si="179"/>
        <v>0</v>
      </c>
      <c r="G1506">
        <v>1456</v>
      </c>
      <c r="H1506" s="13">
        <f t="shared" si="184"/>
        <v>1.8572577375266519E-2</v>
      </c>
      <c r="I1506">
        <f t="shared" si="185"/>
        <v>131.54783693133859</v>
      </c>
      <c r="J1506">
        <f t="shared" si="180"/>
        <v>479.40026502323121</v>
      </c>
      <c r="K1506" s="27">
        <f t="shared" si="181"/>
        <v>4268.5682123446022</v>
      </c>
    </row>
    <row r="1507" spans="1:11" x14ac:dyDescent="0.25">
      <c r="A1507" s="26">
        <v>1457</v>
      </c>
      <c r="B1507" s="82">
        <f t="shared" si="182"/>
        <v>0</v>
      </c>
      <c r="C1507" s="58">
        <f t="shared" si="186"/>
        <v>104.50616427295054</v>
      </c>
      <c r="D1507" s="83">
        <f t="shared" si="183"/>
        <v>445.77777777777789</v>
      </c>
      <c r="E1507">
        <f t="shared" si="179"/>
        <v>0</v>
      </c>
      <c r="G1507">
        <v>1457</v>
      </c>
      <c r="H1507" s="13">
        <f t="shared" si="184"/>
        <v>1.8572577375266519E-2</v>
      </c>
      <c r="I1507">
        <f t="shared" si="185"/>
        <v>131.56640950871386</v>
      </c>
      <c r="J1507">
        <f t="shared" si="180"/>
        <v>479.41517823865399</v>
      </c>
      <c r="K1507" s="27">
        <f t="shared" si="181"/>
        <v>4268.8337215786369</v>
      </c>
    </row>
    <row r="1508" spans="1:11" x14ac:dyDescent="0.25">
      <c r="A1508" s="26">
        <v>1458</v>
      </c>
      <c r="B1508" s="82">
        <f t="shared" si="182"/>
        <v>0</v>
      </c>
      <c r="C1508" s="58">
        <f t="shared" si="186"/>
        <v>104.50616427295054</v>
      </c>
      <c r="D1508" s="83">
        <f t="shared" si="183"/>
        <v>445.77777777777789</v>
      </c>
      <c r="E1508">
        <f t="shared" si="179"/>
        <v>0</v>
      </c>
      <c r="G1508">
        <v>1458</v>
      </c>
      <c r="H1508" s="13">
        <f t="shared" si="184"/>
        <v>1.8572577375266519E-2</v>
      </c>
      <c r="I1508">
        <f t="shared" si="185"/>
        <v>131.58498208608913</v>
      </c>
      <c r="J1508">
        <f t="shared" si="180"/>
        <v>479.4300842018207</v>
      </c>
      <c r="K1508" s="27">
        <f t="shared" si="181"/>
        <v>4269.0991099529501</v>
      </c>
    </row>
    <row r="1509" spans="1:11" x14ac:dyDescent="0.25">
      <c r="A1509" s="26">
        <v>1459</v>
      </c>
      <c r="B1509" s="82">
        <f t="shared" si="182"/>
        <v>0</v>
      </c>
      <c r="C1509" s="58">
        <f t="shared" si="186"/>
        <v>104.50616427295054</v>
      </c>
      <c r="D1509" s="83">
        <f t="shared" si="183"/>
        <v>445.77777777777789</v>
      </c>
      <c r="E1509">
        <f t="shared" si="179"/>
        <v>0</v>
      </c>
      <c r="G1509">
        <v>1459</v>
      </c>
      <c r="H1509" s="13">
        <f t="shared" si="184"/>
        <v>1.8572577375266519E-2</v>
      </c>
      <c r="I1509">
        <f t="shared" si="185"/>
        <v>131.60355466346439</v>
      </c>
      <c r="J1509">
        <f t="shared" si="180"/>
        <v>479.4449829168762</v>
      </c>
      <c r="K1509" s="27">
        <f t="shared" si="181"/>
        <v>4269.3643775292703</v>
      </c>
    </row>
    <row r="1510" spans="1:11" x14ac:dyDescent="0.25">
      <c r="A1510" s="26">
        <v>1460</v>
      </c>
      <c r="B1510" s="82">
        <f t="shared" si="182"/>
        <v>0</v>
      </c>
      <c r="C1510" s="58">
        <f t="shared" si="186"/>
        <v>104.50616427295054</v>
      </c>
      <c r="D1510" s="83">
        <f t="shared" si="183"/>
        <v>445.77777777777789</v>
      </c>
      <c r="E1510">
        <f t="shared" si="179"/>
        <v>0</v>
      </c>
      <c r="G1510">
        <v>1460</v>
      </c>
      <c r="H1510" s="13">
        <f t="shared" si="184"/>
        <v>1.8572577375266519E-2</v>
      </c>
      <c r="I1510">
        <f t="shared" si="185"/>
        <v>131.62212724083966</v>
      </c>
      <c r="J1510">
        <f t="shared" si="180"/>
        <v>479.45987438795999</v>
      </c>
      <c r="K1510" s="27">
        <f t="shared" si="181"/>
        <v>4269.6295243692484</v>
      </c>
    </row>
    <row r="1511" spans="1:11" x14ac:dyDescent="0.25">
      <c r="A1511" s="26">
        <v>1461</v>
      </c>
      <c r="B1511" s="82">
        <f t="shared" si="182"/>
        <v>0</v>
      </c>
      <c r="C1511" s="58">
        <f t="shared" si="186"/>
        <v>104.50616427295054</v>
      </c>
      <c r="D1511" s="83">
        <f t="shared" si="183"/>
        <v>445.77777777777789</v>
      </c>
      <c r="E1511">
        <f t="shared" si="179"/>
        <v>0</v>
      </c>
      <c r="G1511">
        <v>1461</v>
      </c>
      <c r="H1511" s="13">
        <f t="shared" si="184"/>
        <v>1.8572577375266519E-2</v>
      </c>
      <c r="I1511">
        <f t="shared" si="185"/>
        <v>131.64069981821493</v>
      </c>
      <c r="J1511">
        <f t="shared" si="180"/>
        <v>479.47475861920645</v>
      </c>
      <c r="K1511" s="27">
        <f t="shared" si="181"/>
        <v>4269.8945505344627</v>
      </c>
    </row>
    <row r="1512" spans="1:11" x14ac:dyDescent="0.25">
      <c r="A1512" s="26">
        <v>1462</v>
      </c>
      <c r="B1512" s="82">
        <f t="shared" si="182"/>
        <v>0</v>
      </c>
      <c r="C1512" s="58">
        <f t="shared" si="186"/>
        <v>104.50616427295054</v>
      </c>
      <c r="D1512" s="83">
        <f t="shared" si="183"/>
        <v>445.77777777777789</v>
      </c>
      <c r="E1512">
        <f t="shared" si="179"/>
        <v>0</v>
      </c>
      <c r="G1512">
        <v>1462</v>
      </c>
      <c r="H1512" s="13">
        <f t="shared" si="184"/>
        <v>1.8572577375266519E-2</v>
      </c>
      <c r="I1512">
        <f t="shared" si="185"/>
        <v>131.65927239559019</v>
      </c>
      <c r="J1512">
        <f t="shared" si="180"/>
        <v>479.489635614745</v>
      </c>
      <c r="K1512" s="27">
        <f t="shared" si="181"/>
        <v>4270.1594560864078</v>
      </c>
    </row>
    <row r="1513" spans="1:11" x14ac:dyDescent="0.25">
      <c r="A1513" s="26">
        <v>1463</v>
      </c>
      <c r="B1513" s="82">
        <f t="shared" si="182"/>
        <v>0</v>
      </c>
      <c r="C1513" s="58">
        <f t="shared" si="186"/>
        <v>104.50616427295054</v>
      </c>
      <c r="D1513" s="83">
        <f t="shared" si="183"/>
        <v>445.77777777777789</v>
      </c>
      <c r="E1513">
        <f t="shared" si="179"/>
        <v>0</v>
      </c>
      <c r="G1513">
        <v>1463</v>
      </c>
      <c r="H1513" s="13">
        <f t="shared" si="184"/>
        <v>1.8572577375266519E-2</v>
      </c>
      <c r="I1513">
        <f t="shared" si="185"/>
        <v>131.67784497296546</v>
      </c>
      <c r="J1513">
        <f t="shared" si="180"/>
        <v>479.50450537869955</v>
      </c>
      <c r="K1513" s="27">
        <f t="shared" si="181"/>
        <v>4270.424241086509</v>
      </c>
    </row>
    <row r="1514" spans="1:11" x14ac:dyDescent="0.25">
      <c r="A1514" s="26">
        <v>1464</v>
      </c>
      <c r="B1514" s="82">
        <f t="shared" si="182"/>
        <v>0</v>
      </c>
      <c r="C1514" s="58">
        <f t="shared" si="186"/>
        <v>104.50616427295054</v>
      </c>
      <c r="D1514" s="83">
        <f t="shared" si="183"/>
        <v>445.77777777777789</v>
      </c>
      <c r="E1514">
        <f t="shared" si="179"/>
        <v>0</v>
      </c>
      <c r="G1514">
        <v>1464</v>
      </c>
      <c r="H1514" s="13">
        <f t="shared" si="184"/>
        <v>1.8572577375266519E-2</v>
      </c>
      <c r="I1514">
        <f t="shared" si="185"/>
        <v>131.69641755034073</v>
      </c>
      <c r="J1514">
        <f t="shared" si="180"/>
        <v>479.51936791518926</v>
      </c>
      <c r="K1514" s="27">
        <f t="shared" si="181"/>
        <v>4270.688905596111</v>
      </c>
    </row>
    <row r="1515" spans="1:11" x14ac:dyDescent="0.25">
      <c r="A1515" s="26">
        <v>1465</v>
      </c>
      <c r="B1515" s="82">
        <f t="shared" si="182"/>
        <v>0</v>
      </c>
      <c r="C1515" s="58">
        <f t="shared" si="186"/>
        <v>104.50616427295054</v>
      </c>
      <c r="D1515" s="83">
        <f t="shared" si="183"/>
        <v>445.77777777777789</v>
      </c>
      <c r="E1515">
        <f t="shared" si="179"/>
        <v>0</v>
      </c>
      <c r="G1515">
        <v>1465</v>
      </c>
      <c r="H1515" s="13">
        <f t="shared" si="184"/>
        <v>1.8572577375266519E-2</v>
      </c>
      <c r="I1515">
        <f t="shared" si="185"/>
        <v>131.71499012771599</v>
      </c>
      <c r="J1515">
        <f t="shared" si="180"/>
        <v>479.53422322832785</v>
      </c>
      <c r="K1515" s="27">
        <f t="shared" si="181"/>
        <v>4270.9534496764818</v>
      </c>
    </row>
    <row r="1516" spans="1:11" x14ac:dyDescent="0.25">
      <c r="A1516" s="26">
        <v>1466</v>
      </c>
      <c r="B1516" s="82">
        <f t="shared" si="182"/>
        <v>0</v>
      </c>
      <c r="C1516" s="58">
        <f t="shared" si="186"/>
        <v>104.50616427295054</v>
      </c>
      <c r="D1516" s="83">
        <f t="shared" si="183"/>
        <v>445.77777777777789</v>
      </c>
      <c r="E1516">
        <f t="shared" si="179"/>
        <v>0</v>
      </c>
      <c r="G1516">
        <v>1466</v>
      </c>
      <c r="H1516" s="13">
        <f t="shared" si="184"/>
        <v>1.8572577375266519E-2</v>
      </c>
      <c r="I1516">
        <f t="shared" si="185"/>
        <v>131.73356270509126</v>
      </c>
      <c r="J1516">
        <f t="shared" si="180"/>
        <v>479.54907132222411</v>
      </c>
      <c r="K1516" s="27">
        <f t="shared" si="181"/>
        <v>4271.2178733888131</v>
      </c>
    </row>
    <row r="1517" spans="1:11" x14ac:dyDescent="0.25">
      <c r="A1517" s="26">
        <v>1467</v>
      </c>
      <c r="B1517" s="82">
        <f t="shared" si="182"/>
        <v>0</v>
      </c>
      <c r="C1517" s="58">
        <f t="shared" si="186"/>
        <v>104.50616427295054</v>
      </c>
      <c r="D1517" s="83">
        <f t="shared" si="183"/>
        <v>445.77777777777789</v>
      </c>
      <c r="E1517">
        <f t="shared" si="179"/>
        <v>0</v>
      </c>
      <c r="G1517">
        <v>1467</v>
      </c>
      <c r="H1517" s="13">
        <f t="shared" si="184"/>
        <v>1.8572577375266519E-2</v>
      </c>
      <c r="I1517">
        <f t="shared" si="185"/>
        <v>131.75213528246653</v>
      </c>
      <c r="J1517">
        <f t="shared" si="180"/>
        <v>479.56391220098163</v>
      </c>
      <c r="K1517" s="27">
        <f t="shared" si="181"/>
        <v>4271.4821767942258</v>
      </c>
    </row>
    <row r="1518" spans="1:11" x14ac:dyDescent="0.25">
      <c r="A1518" s="26">
        <v>1468</v>
      </c>
      <c r="B1518" s="82">
        <f t="shared" si="182"/>
        <v>0</v>
      </c>
      <c r="C1518" s="58">
        <f t="shared" si="186"/>
        <v>104.50616427295054</v>
      </c>
      <c r="D1518" s="83">
        <f t="shared" si="183"/>
        <v>445.77777777777789</v>
      </c>
      <c r="E1518">
        <f t="shared" si="179"/>
        <v>0</v>
      </c>
      <c r="G1518">
        <v>1468</v>
      </c>
      <c r="H1518" s="13">
        <f t="shared" si="184"/>
        <v>1.8572577375266519E-2</v>
      </c>
      <c r="I1518">
        <f t="shared" si="185"/>
        <v>131.77070785984179</v>
      </c>
      <c r="J1518">
        <f t="shared" si="180"/>
        <v>479.578745868699</v>
      </c>
      <c r="K1518" s="27">
        <f t="shared" si="181"/>
        <v>4271.7463599537568</v>
      </c>
    </row>
    <row r="1519" spans="1:11" x14ac:dyDescent="0.25">
      <c r="A1519" s="26">
        <v>1469</v>
      </c>
      <c r="B1519" s="82">
        <f t="shared" si="182"/>
        <v>0</v>
      </c>
      <c r="C1519" s="58">
        <f t="shared" si="186"/>
        <v>104.50616427295054</v>
      </c>
      <c r="D1519" s="83">
        <f t="shared" si="183"/>
        <v>445.77777777777789</v>
      </c>
      <c r="E1519">
        <f t="shared" si="179"/>
        <v>0</v>
      </c>
      <c r="G1519">
        <v>1469</v>
      </c>
      <c r="H1519" s="13">
        <f t="shared" si="184"/>
        <v>1.8572577375266519E-2</v>
      </c>
      <c r="I1519">
        <f t="shared" si="185"/>
        <v>131.78928043721706</v>
      </c>
      <c r="J1519">
        <f t="shared" si="180"/>
        <v>479.59357232946957</v>
      </c>
      <c r="K1519" s="27">
        <f t="shared" si="181"/>
        <v>4272.0104229283743</v>
      </c>
    </row>
    <row r="1520" spans="1:11" x14ac:dyDescent="0.25">
      <c r="A1520" s="26">
        <v>1470</v>
      </c>
      <c r="B1520" s="82">
        <f t="shared" si="182"/>
        <v>0</v>
      </c>
      <c r="C1520" s="58">
        <f t="shared" si="186"/>
        <v>104.50616427295054</v>
      </c>
      <c r="D1520" s="83">
        <f t="shared" si="183"/>
        <v>445.77777777777789</v>
      </c>
      <c r="E1520">
        <f t="shared" si="179"/>
        <v>0</v>
      </c>
      <c r="G1520">
        <v>1470</v>
      </c>
      <c r="H1520" s="13">
        <f t="shared" si="184"/>
        <v>1.8572577375266519E-2</v>
      </c>
      <c r="I1520">
        <f t="shared" si="185"/>
        <v>131.80785301459233</v>
      </c>
      <c r="J1520">
        <f t="shared" si="180"/>
        <v>479.60839158738179</v>
      </c>
      <c r="K1520" s="27">
        <f t="shared" si="181"/>
        <v>4272.2743657789651</v>
      </c>
    </row>
    <row r="1521" spans="1:11" x14ac:dyDescent="0.25">
      <c r="A1521" s="26">
        <v>1471</v>
      </c>
      <c r="B1521" s="82">
        <f t="shared" si="182"/>
        <v>0</v>
      </c>
      <c r="C1521" s="58">
        <f t="shared" si="186"/>
        <v>104.50616427295054</v>
      </c>
      <c r="D1521" s="83">
        <f t="shared" si="183"/>
        <v>445.77777777777789</v>
      </c>
      <c r="E1521">
        <f t="shared" si="179"/>
        <v>0</v>
      </c>
      <c r="G1521">
        <v>1471</v>
      </c>
      <c r="H1521" s="13">
        <f t="shared" si="184"/>
        <v>1.8572577375266519E-2</v>
      </c>
      <c r="I1521">
        <f t="shared" si="185"/>
        <v>131.82642559196759</v>
      </c>
      <c r="J1521">
        <f t="shared" si="180"/>
        <v>479.62320364651879</v>
      </c>
      <c r="K1521" s="27">
        <f t="shared" si="181"/>
        <v>4272.5381885663428</v>
      </c>
    </row>
    <row r="1522" spans="1:11" x14ac:dyDescent="0.25">
      <c r="A1522" s="26">
        <v>1472</v>
      </c>
      <c r="B1522" s="82">
        <f t="shared" si="182"/>
        <v>0</v>
      </c>
      <c r="C1522" s="58">
        <f t="shared" si="186"/>
        <v>104.50616427295054</v>
      </c>
      <c r="D1522" s="83">
        <f t="shared" si="183"/>
        <v>445.77777777777789</v>
      </c>
      <c r="E1522">
        <f t="shared" si="179"/>
        <v>0</v>
      </c>
      <c r="G1522">
        <v>1472</v>
      </c>
      <c r="H1522" s="13">
        <f t="shared" si="184"/>
        <v>1.8572577375266519E-2</v>
      </c>
      <c r="I1522">
        <f t="shared" si="185"/>
        <v>131.84499816934286</v>
      </c>
      <c r="J1522">
        <f t="shared" si="180"/>
        <v>479.63800851095885</v>
      </c>
      <c r="K1522" s="27">
        <f t="shared" si="181"/>
        <v>4272.8018913512487</v>
      </c>
    </row>
    <row r="1523" spans="1:11" x14ac:dyDescent="0.25">
      <c r="A1523" s="26">
        <v>1473</v>
      </c>
      <c r="B1523" s="82">
        <f t="shared" si="182"/>
        <v>0</v>
      </c>
      <c r="C1523" s="58">
        <f t="shared" si="186"/>
        <v>104.50616427295054</v>
      </c>
      <c r="D1523" s="83">
        <f t="shared" si="183"/>
        <v>445.77777777777789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1.8572577375266519E-2</v>
      </c>
      <c r="I1523">
        <f t="shared" si="185"/>
        <v>131.86357074671812</v>
      </c>
      <c r="J1523">
        <f t="shared" ref="J1523:J1586" si="188">IF($G$28&lt;$C$14,0,((($C$11^2)-((I1523-$C$13)^2))^0.5)+$C$16)</f>
        <v>479.65280618477516</v>
      </c>
      <c r="K1523" s="27">
        <f t="shared" ref="K1523:K1586" si="189">((J1523^2)+(J1523*J1524)+(J1524^2))*H1524/3</f>
        <v>4273.0654741943426</v>
      </c>
    </row>
    <row r="1524" spans="1:11" x14ac:dyDescent="0.25">
      <c r="A1524" s="26">
        <v>1474</v>
      </c>
      <c r="B1524" s="82">
        <f t="shared" ref="B1524:B1587" si="190">C1524-C1523</f>
        <v>0</v>
      </c>
      <c r="C1524" s="58">
        <f t="shared" si="186"/>
        <v>104.50616427295054</v>
      </c>
      <c r="D1524" s="83">
        <f t="shared" ref="D1524:D1587" si="191">IF($G$28&lt;$C$14,0,((($C$11^2)-((C1524-$C$13)^2))^0.5)+$C$16)</f>
        <v>445.77777777777789</v>
      </c>
      <c r="E1524">
        <f t="shared" si="187"/>
        <v>0</v>
      </c>
      <c r="G1524">
        <v>1474</v>
      </c>
      <c r="H1524" s="13">
        <f t="shared" ref="H1524:H1587" si="192">I1524-I1523</f>
        <v>1.8572577375266519E-2</v>
      </c>
      <c r="I1524">
        <f t="shared" ref="I1524:I1587" si="193">($G$27-$C$14)/2000+I1523</f>
        <v>131.88214332409339</v>
      </c>
      <c r="J1524">
        <f t="shared" si="188"/>
        <v>479.6675966720357</v>
      </c>
      <c r="K1524" s="27">
        <f t="shared" si="189"/>
        <v>4273.3289371562132</v>
      </c>
    </row>
    <row r="1525" spans="1:11" x14ac:dyDescent="0.25">
      <c r="A1525" s="26">
        <v>1475</v>
      </c>
      <c r="B1525" s="82">
        <f t="shared" si="190"/>
        <v>0</v>
      </c>
      <c r="C1525" s="58">
        <f t="shared" si="186"/>
        <v>104.50616427295054</v>
      </c>
      <c r="D1525" s="83">
        <f t="shared" si="191"/>
        <v>445.77777777777789</v>
      </c>
      <c r="E1525">
        <f t="shared" si="187"/>
        <v>0</v>
      </c>
      <c r="G1525">
        <v>1475</v>
      </c>
      <c r="H1525" s="13">
        <f t="shared" si="192"/>
        <v>1.8572577375266519E-2</v>
      </c>
      <c r="I1525">
        <f t="shared" si="193"/>
        <v>131.90071590146866</v>
      </c>
      <c r="J1525">
        <f t="shared" si="188"/>
        <v>479.68237997680365</v>
      </c>
      <c r="K1525" s="27">
        <f t="shared" si="189"/>
        <v>4273.5922802973737</v>
      </c>
    </row>
    <row r="1526" spans="1:11" x14ac:dyDescent="0.25">
      <c r="A1526" s="26">
        <v>1476</v>
      </c>
      <c r="B1526" s="82">
        <f t="shared" si="190"/>
        <v>0</v>
      </c>
      <c r="C1526" s="58">
        <f t="shared" si="186"/>
        <v>104.50616427295054</v>
      </c>
      <c r="D1526" s="83">
        <f t="shared" si="191"/>
        <v>445.77777777777789</v>
      </c>
      <c r="E1526">
        <f t="shared" si="187"/>
        <v>0</v>
      </c>
      <c r="G1526">
        <v>1476</v>
      </c>
      <c r="H1526" s="13">
        <f t="shared" si="192"/>
        <v>1.8572577375266519E-2</v>
      </c>
      <c r="I1526">
        <f t="shared" si="193"/>
        <v>131.91928847884392</v>
      </c>
      <c r="J1526">
        <f t="shared" si="188"/>
        <v>479.69715610313688</v>
      </c>
      <c r="K1526" s="27">
        <f t="shared" si="189"/>
        <v>4273.8555036782609</v>
      </c>
    </row>
    <row r="1527" spans="1:11" x14ac:dyDescent="0.25">
      <c r="A1527" s="26">
        <v>1477</v>
      </c>
      <c r="B1527" s="82">
        <f t="shared" si="190"/>
        <v>0</v>
      </c>
      <c r="C1527" s="58">
        <f t="shared" si="186"/>
        <v>104.50616427295054</v>
      </c>
      <c r="D1527" s="83">
        <f t="shared" si="191"/>
        <v>445.77777777777789</v>
      </c>
      <c r="E1527">
        <f t="shared" si="187"/>
        <v>0</v>
      </c>
      <c r="G1527">
        <v>1477</v>
      </c>
      <c r="H1527" s="13">
        <f t="shared" si="192"/>
        <v>1.8572577375266519E-2</v>
      </c>
      <c r="I1527">
        <f t="shared" si="193"/>
        <v>131.93786105621919</v>
      </c>
      <c r="J1527">
        <f t="shared" si="188"/>
        <v>479.7119250550885</v>
      </c>
      <c r="K1527" s="27">
        <f t="shared" si="189"/>
        <v>4274.118607359238</v>
      </c>
    </row>
    <row r="1528" spans="1:11" x14ac:dyDescent="0.25">
      <c r="A1528" s="26">
        <v>1478</v>
      </c>
      <c r="B1528" s="82">
        <f t="shared" si="190"/>
        <v>0</v>
      </c>
      <c r="C1528" s="58">
        <f t="shared" si="186"/>
        <v>104.50616427295054</v>
      </c>
      <c r="D1528" s="83">
        <f t="shared" si="191"/>
        <v>445.77777777777789</v>
      </c>
      <c r="E1528">
        <f t="shared" si="187"/>
        <v>0</v>
      </c>
      <c r="G1528">
        <v>1478</v>
      </c>
      <c r="H1528" s="13">
        <f t="shared" si="192"/>
        <v>1.8572577375266519E-2</v>
      </c>
      <c r="I1528">
        <f t="shared" si="193"/>
        <v>131.95643363359446</v>
      </c>
      <c r="J1528">
        <f t="shared" si="188"/>
        <v>479.72668683670645</v>
      </c>
      <c r="K1528" s="27">
        <f t="shared" si="189"/>
        <v>4274.3815914005945</v>
      </c>
    </row>
    <row r="1529" spans="1:11" x14ac:dyDescent="0.25">
      <c r="A1529" s="26">
        <v>1479</v>
      </c>
      <c r="B1529" s="82">
        <f t="shared" si="190"/>
        <v>0</v>
      </c>
      <c r="C1529" s="58">
        <f t="shared" si="186"/>
        <v>104.50616427295054</v>
      </c>
      <c r="D1529" s="83">
        <f t="shared" si="191"/>
        <v>445.77777777777789</v>
      </c>
      <c r="E1529">
        <f t="shared" si="187"/>
        <v>0</v>
      </c>
      <c r="G1529">
        <v>1479</v>
      </c>
      <c r="H1529" s="13">
        <f t="shared" si="192"/>
        <v>1.8572577375266519E-2</v>
      </c>
      <c r="I1529">
        <f t="shared" si="193"/>
        <v>131.97500621096972</v>
      </c>
      <c r="J1529">
        <f t="shared" si="188"/>
        <v>479.74144145203371</v>
      </c>
      <c r="K1529" s="27">
        <f t="shared" si="189"/>
        <v>4274.6444558625426</v>
      </c>
    </row>
    <row r="1530" spans="1:11" x14ac:dyDescent="0.25">
      <c r="A1530" s="26">
        <v>1480</v>
      </c>
      <c r="B1530" s="82">
        <f t="shared" si="190"/>
        <v>0</v>
      </c>
      <c r="C1530" s="58">
        <f t="shared" si="186"/>
        <v>104.50616427295054</v>
      </c>
      <c r="D1530" s="83">
        <f t="shared" si="191"/>
        <v>445.77777777777789</v>
      </c>
      <c r="E1530">
        <f t="shared" si="187"/>
        <v>0</v>
      </c>
      <c r="G1530">
        <v>1480</v>
      </c>
      <c r="H1530" s="13">
        <f t="shared" si="192"/>
        <v>1.8572577375266519E-2</v>
      </c>
      <c r="I1530">
        <f t="shared" si="193"/>
        <v>131.99357878834499</v>
      </c>
      <c r="J1530">
        <f t="shared" si="188"/>
        <v>479.75618890510827</v>
      </c>
      <c r="K1530" s="27">
        <f t="shared" si="189"/>
        <v>4274.9072008052226</v>
      </c>
    </row>
    <row r="1531" spans="1:11" x14ac:dyDescent="0.25">
      <c r="A1531" s="26">
        <v>1481</v>
      </c>
      <c r="B1531" s="82">
        <f t="shared" si="190"/>
        <v>0</v>
      </c>
      <c r="C1531" s="58">
        <f t="shared" si="186"/>
        <v>104.50616427295054</v>
      </c>
      <c r="D1531" s="83">
        <f t="shared" si="191"/>
        <v>445.77777777777789</v>
      </c>
      <c r="E1531">
        <f t="shared" si="187"/>
        <v>0</v>
      </c>
      <c r="G1531">
        <v>1481</v>
      </c>
      <c r="H1531" s="13">
        <f t="shared" si="192"/>
        <v>1.8572577375266519E-2</v>
      </c>
      <c r="I1531">
        <f t="shared" si="193"/>
        <v>132.01215136572026</v>
      </c>
      <c r="J1531">
        <f t="shared" si="188"/>
        <v>479.77092919996301</v>
      </c>
      <c r="K1531" s="27">
        <f t="shared" si="189"/>
        <v>4275.1698262886985</v>
      </c>
    </row>
    <row r="1532" spans="1:11" x14ac:dyDescent="0.25">
      <c r="A1532" s="26">
        <v>1482</v>
      </c>
      <c r="B1532" s="82">
        <f t="shared" si="190"/>
        <v>0</v>
      </c>
      <c r="C1532" s="58">
        <f t="shared" si="186"/>
        <v>104.50616427295054</v>
      </c>
      <c r="D1532" s="83">
        <f t="shared" si="191"/>
        <v>445.77777777777789</v>
      </c>
      <c r="E1532">
        <f t="shared" si="187"/>
        <v>0</v>
      </c>
      <c r="G1532">
        <v>1482</v>
      </c>
      <c r="H1532" s="13">
        <f t="shared" si="192"/>
        <v>1.8572577375266519E-2</v>
      </c>
      <c r="I1532">
        <f t="shared" si="193"/>
        <v>132.03072394309552</v>
      </c>
      <c r="J1532">
        <f t="shared" si="188"/>
        <v>479.78566234062606</v>
      </c>
      <c r="K1532" s="27">
        <f t="shared" si="189"/>
        <v>4275.4323323729614</v>
      </c>
    </row>
    <row r="1533" spans="1:11" x14ac:dyDescent="0.25">
      <c r="A1533" s="26">
        <v>1483</v>
      </c>
      <c r="B1533" s="82">
        <f t="shared" si="190"/>
        <v>0</v>
      </c>
      <c r="C1533" s="58">
        <f t="shared" si="186"/>
        <v>104.50616427295054</v>
      </c>
      <c r="D1533" s="83">
        <f t="shared" si="191"/>
        <v>445.77777777777789</v>
      </c>
      <c r="E1533">
        <f t="shared" si="187"/>
        <v>0</v>
      </c>
      <c r="G1533">
        <v>1483</v>
      </c>
      <c r="H1533" s="13">
        <f t="shared" si="192"/>
        <v>1.8572577375266519E-2</v>
      </c>
      <c r="I1533">
        <f t="shared" si="193"/>
        <v>132.04929652047079</v>
      </c>
      <c r="J1533">
        <f t="shared" si="188"/>
        <v>479.80038833112042</v>
      </c>
      <c r="K1533" s="27">
        <f t="shared" si="189"/>
        <v>4275.6947191179279</v>
      </c>
    </row>
    <row r="1534" spans="1:11" x14ac:dyDescent="0.25">
      <c r="A1534" s="26">
        <v>1484</v>
      </c>
      <c r="B1534" s="82">
        <f t="shared" si="190"/>
        <v>0</v>
      </c>
      <c r="C1534" s="58">
        <f t="shared" si="186"/>
        <v>104.50616427295054</v>
      </c>
      <c r="D1534" s="83">
        <f t="shared" si="191"/>
        <v>445.77777777777789</v>
      </c>
      <c r="E1534">
        <f t="shared" si="187"/>
        <v>0</v>
      </c>
      <c r="G1534">
        <v>1484</v>
      </c>
      <c r="H1534" s="13">
        <f t="shared" si="192"/>
        <v>1.8572577375266519E-2</v>
      </c>
      <c r="I1534">
        <f t="shared" si="193"/>
        <v>132.06786909784606</v>
      </c>
      <c r="J1534">
        <f t="shared" si="188"/>
        <v>479.81510717546405</v>
      </c>
      <c r="K1534" s="27">
        <f t="shared" si="189"/>
        <v>4275.9569865834392</v>
      </c>
    </row>
    <row r="1535" spans="1:11" x14ac:dyDescent="0.25">
      <c r="A1535" s="26">
        <v>1485</v>
      </c>
      <c r="B1535" s="82">
        <f t="shared" si="190"/>
        <v>0</v>
      </c>
      <c r="C1535" s="58">
        <f t="shared" si="186"/>
        <v>104.50616427295054</v>
      </c>
      <c r="D1535" s="83">
        <f t="shared" si="191"/>
        <v>445.77777777777789</v>
      </c>
      <c r="E1535">
        <f t="shared" si="187"/>
        <v>0</v>
      </c>
      <c r="G1535">
        <v>1485</v>
      </c>
      <c r="H1535" s="13">
        <f t="shared" si="192"/>
        <v>1.8572577375266519E-2</v>
      </c>
      <c r="I1535">
        <f t="shared" si="193"/>
        <v>132.08644167522132</v>
      </c>
      <c r="J1535">
        <f t="shared" si="188"/>
        <v>479.82981887767005</v>
      </c>
      <c r="K1535" s="27">
        <f t="shared" si="189"/>
        <v>4276.2191348292663</v>
      </c>
    </row>
    <row r="1536" spans="1:11" x14ac:dyDescent="0.25">
      <c r="A1536" s="26">
        <v>1486</v>
      </c>
      <c r="B1536" s="82">
        <f t="shared" si="190"/>
        <v>0</v>
      </c>
      <c r="C1536" s="58">
        <f t="shared" si="186"/>
        <v>104.50616427295054</v>
      </c>
      <c r="D1536" s="83">
        <f t="shared" si="191"/>
        <v>445.77777777777789</v>
      </c>
      <c r="E1536">
        <f t="shared" si="187"/>
        <v>0</v>
      </c>
      <c r="G1536">
        <v>1486</v>
      </c>
      <c r="H1536" s="13">
        <f t="shared" si="192"/>
        <v>1.8572577375266519E-2</v>
      </c>
      <c r="I1536">
        <f t="shared" si="193"/>
        <v>132.10501425259659</v>
      </c>
      <c r="J1536">
        <f t="shared" si="188"/>
        <v>479.84452344174673</v>
      </c>
      <c r="K1536" s="27">
        <f t="shared" si="189"/>
        <v>4276.4811639151058</v>
      </c>
    </row>
    <row r="1537" spans="1:11" x14ac:dyDescent="0.25">
      <c r="A1537" s="26">
        <v>1487</v>
      </c>
      <c r="B1537" s="82">
        <f t="shared" si="190"/>
        <v>0</v>
      </c>
      <c r="C1537" s="58">
        <f t="shared" si="186"/>
        <v>104.50616427295054</v>
      </c>
      <c r="D1537" s="83">
        <f t="shared" si="191"/>
        <v>445.77777777777789</v>
      </c>
      <c r="E1537">
        <f t="shared" si="187"/>
        <v>0</v>
      </c>
      <c r="G1537">
        <v>1487</v>
      </c>
      <c r="H1537" s="13">
        <f t="shared" si="192"/>
        <v>1.8572577375266519E-2</v>
      </c>
      <c r="I1537">
        <f t="shared" si="193"/>
        <v>132.12358682997186</v>
      </c>
      <c r="J1537">
        <f t="shared" si="188"/>
        <v>479.85922087169718</v>
      </c>
      <c r="K1537" s="27">
        <f t="shared" si="189"/>
        <v>4276.7430739005749</v>
      </c>
    </row>
    <row r="1538" spans="1:11" x14ac:dyDescent="0.25">
      <c r="A1538" s="26">
        <v>1488</v>
      </c>
      <c r="B1538" s="82">
        <f t="shared" si="190"/>
        <v>0</v>
      </c>
      <c r="C1538" s="58">
        <f t="shared" si="186"/>
        <v>104.50616427295054</v>
      </c>
      <c r="D1538" s="83">
        <f t="shared" si="191"/>
        <v>445.77777777777789</v>
      </c>
      <c r="E1538">
        <f t="shared" si="187"/>
        <v>0</v>
      </c>
      <c r="G1538">
        <v>1488</v>
      </c>
      <c r="H1538" s="13">
        <f t="shared" si="192"/>
        <v>1.8572577375266519E-2</v>
      </c>
      <c r="I1538">
        <f t="shared" si="193"/>
        <v>132.14215940734712</v>
      </c>
      <c r="J1538">
        <f t="shared" si="188"/>
        <v>479.87391117151964</v>
      </c>
      <c r="K1538" s="27">
        <f t="shared" si="189"/>
        <v>4277.0048648452239</v>
      </c>
    </row>
    <row r="1539" spans="1:11" x14ac:dyDescent="0.25">
      <c r="A1539" s="26">
        <v>1489</v>
      </c>
      <c r="B1539" s="82">
        <f t="shared" si="190"/>
        <v>0</v>
      </c>
      <c r="C1539" s="58">
        <f t="shared" si="186"/>
        <v>104.50616427295054</v>
      </c>
      <c r="D1539" s="83">
        <f t="shared" si="191"/>
        <v>445.77777777777789</v>
      </c>
      <c r="E1539">
        <f t="shared" si="187"/>
        <v>0</v>
      </c>
      <c r="G1539">
        <v>1489</v>
      </c>
      <c r="H1539" s="13">
        <f t="shared" si="192"/>
        <v>1.8572577375266519E-2</v>
      </c>
      <c r="I1539">
        <f t="shared" si="193"/>
        <v>132.16073198472239</v>
      </c>
      <c r="J1539">
        <f t="shared" si="188"/>
        <v>479.88859434520754</v>
      </c>
      <c r="K1539" s="27">
        <f t="shared" si="189"/>
        <v>4277.2665368085281</v>
      </c>
    </row>
    <row r="1540" spans="1:11" x14ac:dyDescent="0.25">
      <c r="A1540" s="26">
        <v>1490</v>
      </c>
      <c r="B1540" s="82">
        <f t="shared" si="190"/>
        <v>0</v>
      </c>
      <c r="C1540" s="58">
        <f t="shared" si="186"/>
        <v>104.50616427295054</v>
      </c>
      <c r="D1540" s="83">
        <f t="shared" si="191"/>
        <v>445.77777777777789</v>
      </c>
      <c r="E1540">
        <f t="shared" si="187"/>
        <v>0</v>
      </c>
      <c r="G1540">
        <v>1490</v>
      </c>
      <c r="H1540" s="13">
        <f t="shared" si="192"/>
        <v>1.8572577375266519E-2</v>
      </c>
      <c r="I1540">
        <f t="shared" si="193"/>
        <v>132.17930456209766</v>
      </c>
      <c r="J1540">
        <f t="shared" si="188"/>
        <v>479.90327039674929</v>
      </c>
      <c r="K1540" s="27">
        <f t="shared" si="189"/>
        <v>4277.5280898498904</v>
      </c>
    </row>
    <row r="1541" spans="1:11" x14ac:dyDescent="0.25">
      <c r="A1541" s="26">
        <v>1491</v>
      </c>
      <c r="B1541" s="82">
        <f t="shared" si="190"/>
        <v>0</v>
      </c>
      <c r="C1541" s="58">
        <f t="shared" si="186"/>
        <v>104.50616427295054</v>
      </c>
      <c r="D1541" s="83">
        <f t="shared" si="191"/>
        <v>445.77777777777789</v>
      </c>
      <c r="E1541">
        <f t="shared" si="187"/>
        <v>0</v>
      </c>
      <c r="G1541">
        <v>1491</v>
      </c>
      <c r="H1541" s="13">
        <f t="shared" si="192"/>
        <v>1.8572577375266519E-2</v>
      </c>
      <c r="I1541">
        <f t="shared" si="193"/>
        <v>132.19787713947292</v>
      </c>
      <c r="J1541">
        <f t="shared" si="188"/>
        <v>479.91793933012843</v>
      </c>
      <c r="K1541" s="27">
        <f t="shared" si="189"/>
        <v>4277.7895240286371</v>
      </c>
    </row>
    <row r="1542" spans="1:11" x14ac:dyDescent="0.25">
      <c r="A1542" s="26">
        <v>1492</v>
      </c>
      <c r="B1542" s="82">
        <f t="shared" si="190"/>
        <v>0</v>
      </c>
      <c r="C1542" s="58">
        <f t="shared" si="186"/>
        <v>104.50616427295054</v>
      </c>
      <c r="D1542" s="83">
        <f t="shared" si="191"/>
        <v>445.77777777777789</v>
      </c>
      <c r="E1542">
        <f t="shared" si="187"/>
        <v>0</v>
      </c>
      <c r="G1542">
        <v>1492</v>
      </c>
      <c r="H1542" s="13">
        <f t="shared" si="192"/>
        <v>1.8572577375266519E-2</v>
      </c>
      <c r="I1542">
        <f t="shared" si="193"/>
        <v>132.21644971684819</v>
      </c>
      <c r="J1542">
        <f t="shared" si="188"/>
        <v>479.93260114932355</v>
      </c>
      <c r="K1542" s="27">
        <f t="shared" si="189"/>
        <v>4278.0508394040235</v>
      </c>
    </row>
    <row r="1543" spans="1:11" x14ac:dyDescent="0.25">
      <c r="A1543" s="26">
        <v>1493</v>
      </c>
      <c r="B1543" s="82">
        <f t="shared" si="190"/>
        <v>0</v>
      </c>
      <c r="C1543" s="58">
        <f t="shared" si="186"/>
        <v>104.50616427295054</v>
      </c>
      <c r="D1543" s="83">
        <f t="shared" si="191"/>
        <v>445.77777777777789</v>
      </c>
      <c r="E1543">
        <f t="shared" si="187"/>
        <v>0</v>
      </c>
      <c r="G1543">
        <v>1493</v>
      </c>
      <c r="H1543" s="13">
        <f t="shared" si="192"/>
        <v>1.8572577375266519E-2</v>
      </c>
      <c r="I1543">
        <f t="shared" si="193"/>
        <v>132.23502229422346</v>
      </c>
      <c r="J1543">
        <f t="shared" si="188"/>
        <v>479.94725585830838</v>
      </c>
      <c r="K1543" s="27">
        <f t="shared" si="189"/>
        <v>4278.3120360352323</v>
      </c>
    </row>
    <row r="1544" spans="1:11" x14ac:dyDescent="0.25">
      <c r="A1544" s="26">
        <v>1494</v>
      </c>
      <c r="B1544" s="82">
        <f t="shared" si="190"/>
        <v>0</v>
      </c>
      <c r="C1544" s="58">
        <f t="shared" si="186"/>
        <v>104.50616427295054</v>
      </c>
      <c r="D1544" s="83">
        <f t="shared" si="191"/>
        <v>445.77777777777789</v>
      </c>
      <c r="E1544">
        <f t="shared" si="187"/>
        <v>0</v>
      </c>
      <c r="G1544">
        <v>1494</v>
      </c>
      <c r="H1544" s="13">
        <f t="shared" si="192"/>
        <v>1.8572577375266519E-2</v>
      </c>
      <c r="I1544">
        <f t="shared" si="193"/>
        <v>132.25359487159872</v>
      </c>
      <c r="J1544">
        <f t="shared" si="188"/>
        <v>479.9619034610518</v>
      </c>
      <c r="K1544" s="27">
        <f t="shared" si="189"/>
        <v>4278.5731139813752</v>
      </c>
    </row>
    <row r="1545" spans="1:11" x14ac:dyDescent="0.25">
      <c r="A1545" s="26">
        <v>1495</v>
      </c>
      <c r="B1545" s="82">
        <f t="shared" si="190"/>
        <v>0</v>
      </c>
      <c r="C1545" s="58">
        <f t="shared" si="186"/>
        <v>104.50616427295054</v>
      </c>
      <c r="D1545" s="83">
        <f t="shared" si="191"/>
        <v>445.77777777777789</v>
      </c>
      <c r="E1545">
        <f t="shared" si="187"/>
        <v>0</v>
      </c>
      <c r="G1545">
        <v>1495</v>
      </c>
      <c r="H1545" s="13">
        <f t="shared" si="192"/>
        <v>1.8572577375266519E-2</v>
      </c>
      <c r="I1545">
        <f t="shared" si="193"/>
        <v>132.27216744897399</v>
      </c>
      <c r="J1545">
        <f t="shared" si="188"/>
        <v>479.97654396151779</v>
      </c>
      <c r="K1545" s="27">
        <f t="shared" si="189"/>
        <v>4278.8340733014893</v>
      </c>
    </row>
    <row r="1546" spans="1:11" x14ac:dyDescent="0.25">
      <c r="A1546" s="26">
        <v>1496</v>
      </c>
      <c r="B1546" s="82">
        <f t="shared" si="190"/>
        <v>0</v>
      </c>
      <c r="C1546" s="58">
        <f t="shared" si="186"/>
        <v>104.50616427295054</v>
      </c>
      <c r="D1546" s="83">
        <f t="shared" si="191"/>
        <v>445.77777777777789</v>
      </c>
      <c r="E1546">
        <f t="shared" si="187"/>
        <v>0</v>
      </c>
      <c r="G1546">
        <v>1496</v>
      </c>
      <c r="H1546" s="13">
        <f t="shared" si="192"/>
        <v>1.8572577375266519E-2</v>
      </c>
      <c r="I1546">
        <f t="shared" si="193"/>
        <v>132.29074002634925</v>
      </c>
      <c r="J1546">
        <f t="shared" si="188"/>
        <v>479.99117736366543</v>
      </c>
      <c r="K1546" s="27">
        <f t="shared" si="189"/>
        <v>4279.094914054539</v>
      </c>
    </row>
    <row r="1547" spans="1:11" x14ac:dyDescent="0.25">
      <c r="A1547" s="26">
        <v>1497</v>
      </c>
      <c r="B1547" s="82">
        <f t="shared" si="190"/>
        <v>0</v>
      </c>
      <c r="C1547" s="58">
        <f t="shared" si="186"/>
        <v>104.50616427295054</v>
      </c>
      <c r="D1547" s="83">
        <f t="shared" si="191"/>
        <v>445.77777777777789</v>
      </c>
      <c r="E1547">
        <f t="shared" si="187"/>
        <v>0</v>
      </c>
      <c r="G1547">
        <v>1497</v>
      </c>
      <c r="H1547" s="13">
        <f t="shared" si="192"/>
        <v>1.8572577375266519E-2</v>
      </c>
      <c r="I1547">
        <f t="shared" si="193"/>
        <v>132.30931260372452</v>
      </c>
      <c r="J1547">
        <f t="shared" si="188"/>
        <v>480.00580367144903</v>
      </c>
      <c r="K1547" s="27">
        <f t="shared" si="189"/>
        <v>4279.3556362994177</v>
      </c>
    </row>
    <row r="1548" spans="1:11" x14ac:dyDescent="0.25">
      <c r="A1548" s="26">
        <v>1498</v>
      </c>
      <c r="B1548" s="82">
        <f t="shared" si="190"/>
        <v>0</v>
      </c>
      <c r="C1548" s="58">
        <f t="shared" si="186"/>
        <v>104.50616427295054</v>
      </c>
      <c r="D1548" s="83">
        <f t="shared" si="191"/>
        <v>445.77777777777789</v>
      </c>
      <c r="E1548">
        <f t="shared" si="187"/>
        <v>0</v>
      </c>
      <c r="G1548">
        <v>1498</v>
      </c>
      <c r="H1548" s="13">
        <f t="shared" si="192"/>
        <v>1.8572577375266519E-2</v>
      </c>
      <c r="I1548">
        <f t="shared" si="193"/>
        <v>132.32788518109979</v>
      </c>
      <c r="J1548">
        <f t="shared" si="188"/>
        <v>480.0204228888179</v>
      </c>
      <c r="K1548" s="27">
        <f t="shared" si="189"/>
        <v>4279.6162400949424</v>
      </c>
    </row>
    <row r="1549" spans="1:11" x14ac:dyDescent="0.25">
      <c r="A1549" s="26">
        <v>1499</v>
      </c>
      <c r="B1549" s="82">
        <f t="shared" si="190"/>
        <v>0</v>
      </c>
      <c r="C1549" s="58">
        <f t="shared" si="186"/>
        <v>104.50616427295054</v>
      </c>
      <c r="D1549" s="83">
        <f t="shared" si="191"/>
        <v>445.77777777777789</v>
      </c>
      <c r="E1549">
        <f t="shared" si="187"/>
        <v>0</v>
      </c>
      <c r="G1549">
        <v>1499</v>
      </c>
      <c r="H1549" s="13">
        <f t="shared" si="192"/>
        <v>1.8572577375266519E-2</v>
      </c>
      <c r="I1549">
        <f t="shared" si="193"/>
        <v>132.34645775847505</v>
      </c>
      <c r="J1549">
        <f t="shared" si="188"/>
        <v>480.03503501971659</v>
      </c>
      <c r="K1549" s="27">
        <f t="shared" si="189"/>
        <v>4279.8767254998656</v>
      </c>
    </row>
    <row r="1550" spans="1:11" x14ac:dyDescent="0.25">
      <c r="A1550" s="26">
        <v>1500</v>
      </c>
      <c r="B1550" s="82">
        <f t="shared" si="190"/>
        <v>0</v>
      </c>
      <c r="C1550" s="58">
        <f t="shared" si="186"/>
        <v>104.50616427295054</v>
      </c>
      <c r="D1550" s="83">
        <f t="shared" si="191"/>
        <v>445.77777777777789</v>
      </c>
      <c r="E1550">
        <f t="shared" si="187"/>
        <v>0</v>
      </c>
      <c r="G1550">
        <v>1500</v>
      </c>
      <c r="H1550" s="13">
        <f t="shared" si="192"/>
        <v>1.8572577375266519E-2</v>
      </c>
      <c r="I1550">
        <f t="shared" si="193"/>
        <v>132.36503033585032</v>
      </c>
      <c r="J1550">
        <f t="shared" si="188"/>
        <v>480.04964006808495</v>
      </c>
      <c r="K1550" s="27">
        <f t="shared" si="189"/>
        <v>4280.1370925728615</v>
      </c>
    </row>
    <row r="1551" spans="1:11" x14ac:dyDescent="0.25">
      <c r="A1551" s="26">
        <v>1501</v>
      </c>
      <c r="B1551" s="82">
        <f t="shared" si="190"/>
        <v>0</v>
      </c>
      <c r="C1551" s="58">
        <f t="shared" si="186"/>
        <v>104.50616427295054</v>
      </c>
      <c r="D1551" s="83">
        <f t="shared" si="191"/>
        <v>445.77777777777789</v>
      </c>
      <c r="E1551">
        <f t="shared" si="187"/>
        <v>0</v>
      </c>
      <c r="G1551">
        <v>1501</v>
      </c>
      <c r="H1551" s="13">
        <f t="shared" si="192"/>
        <v>1.8572577375266519E-2</v>
      </c>
      <c r="I1551">
        <f t="shared" si="193"/>
        <v>132.38360291322559</v>
      </c>
      <c r="J1551">
        <f t="shared" si="188"/>
        <v>480.06423803785771</v>
      </c>
      <c r="K1551" s="27">
        <f t="shared" si="189"/>
        <v>4280.3973413725344</v>
      </c>
    </row>
    <row r="1552" spans="1:11" x14ac:dyDescent="0.25">
      <c r="A1552" s="26">
        <v>1502</v>
      </c>
      <c r="B1552" s="82">
        <f t="shared" si="190"/>
        <v>0</v>
      </c>
      <c r="C1552" s="58">
        <f t="shared" ref="C1552:C1615" si="194">($C$37-$C$36)/2000+C1551</f>
        <v>104.50616427295054</v>
      </c>
      <c r="D1552" s="83">
        <f t="shared" si="191"/>
        <v>445.77777777777789</v>
      </c>
      <c r="E1552">
        <f t="shared" si="187"/>
        <v>0</v>
      </c>
      <c r="G1552">
        <v>1502</v>
      </c>
      <c r="H1552" s="13">
        <f t="shared" si="192"/>
        <v>1.8572577375266519E-2</v>
      </c>
      <c r="I1552">
        <f t="shared" si="193"/>
        <v>132.40217549060085</v>
      </c>
      <c r="J1552">
        <f t="shared" si="188"/>
        <v>480.078828932965</v>
      </c>
      <c r="K1552" s="27">
        <f t="shared" si="189"/>
        <v>4280.6574719574164</v>
      </c>
    </row>
    <row r="1553" spans="1:11" x14ac:dyDescent="0.25">
      <c r="A1553" s="26">
        <v>1503</v>
      </c>
      <c r="B1553" s="82">
        <f t="shared" si="190"/>
        <v>0</v>
      </c>
      <c r="C1553" s="58">
        <f t="shared" si="194"/>
        <v>104.50616427295054</v>
      </c>
      <c r="D1553" s="83">
        <f t="shared" si="191"/>
        <v>445.77777777777789</v>
      </c>
      <c r="E1553">
        <f t="shared" si="187"/>
        <v>0</v>
      </c>
      <c r="G1553">
        <v>1503</v>
      </c>
      <c r="H1553" s="13">
        <f t="shared" si="192"/>
        <v>1.8572577375266519E-2</v>
      </c>
      <c r="I1553">
        <f t="shared" si="193"/>
        <v>132.42074806797612</v>
      </c>
      <c r="J1553">
        <f t="shared" si="188"/>
        <v>480.09341275733209</v>
      </c>
      <c r="K1553" s="27">
        <f t="shared" si="189"/>
        <v>4280.9174843859701</v>
      </c>
    </row>
    <row r="1554" spans="1:11" x14ac:dyDescent="0.25">
      <c r="A1554" s="26">
        <v>1504</v>
      </c>
      <c r="B1554" s="82">
        <f t="shared" si="190"/>
        <v>0</v>
      </c>
      <c r="C1554" s="58">
        <f t="shared" si="194"/>
        <v>104.50616427295054</v>
      </c>
      <c r="D1554" s="83">
        <f t="shared" si="191"/>
        <v>445.77777777777789</v>
      </c>
      <c r="E1554">
        <f t="shared" si="187"/>
        <v>0</v>
      </c>
      <c r="G1554">
        <v>1504</v>
      </c>
      <c r="H1554" s="13">
        <f t="shared" si="192"/>
        <v>1.8572577375266519E-2</v>
      </c>
      <c r="I1554">
        <f t="shared" si="193"/>
        <v>132.43932064535139</v>
      </c>
      <c r="J1554">
        <f t="shared" si="188"/>
        <v>480.10798951487948</v>
      </c>
      <c r="K1554" s="27">
        <f t="shared" si="189"/>
        <v>4281.177378716583</v>
      </c>
    </row>
    <row r="1555" spans="1:11" x14ac:dyDescent="0.25">
      <c r="A1555" s="26">
        <v>1505</v>
      </c>
      <c r="B1555" s="82">
        <f t="shared" si="190"/>
        <v>0</v>
      </c>
      <c r="C1555" s="58">
        <f t="shared" si="194"/>
        <v>104.50616427295054</v>
      </c>
      <c r="D1555" s="83">
        <f t="shared" si="191"/>
        <v>445.77777777777789</v>
      </c>
      <c r="E1555">
        <f t="shared" si="187"/>
        <v>0</v>
      </c>
      <c r="G1555">
        <v>1505</v>
      </c>
      <c r="H1555" s="13">
        <f t="shared" si="192"/>
        <v>1.8572577375266519E-2</v>
      </c>
      <c r="I1555">
        <f t="shared" si="193"/>
        <v>132.45789322272665</v>
      </c>
      <c r="J1555">
        <f t="shared" si="188"/>
        <v>480.12255920952271</v>
      </c>
      <c r="K1555" s="27">
        <f t="shared" si="189"/>
        <v>4281.4371550075748</v>
      </c>
    </row>
    <row r="1556" spans="1:11" x14ac:dyDescent="0.25">
      <c r="A1556" s="26">
        <v>1506</v>
      </c>
      <c r="B1556" s="82">
        <f t="shared" si="190"/>
        <v>0</v>
      </c>
      <c r="C1556" s="58">
        <f t="shared" si="194"/>
        <v>104.50616427295054</v>
      </c>
      <c r="D1556" s="83">
        <f t="shared" si="191"/>
        <v>445.77777777777789</v>
      </c>
      <c r="E1556">
        <f t="shared" si="187"/>
        <v>0</v>
      </c>
      <c r="G1556">
        <v>1506</v>
      </c>
      <c r="H1556" s="13">
        <f t="shared" si="192"/>
        <v>1.8572577375266519E-2</v>
      </c>
      <c r="I1556">
        <f t="shared" si="193"/>
        <v>132.47646580010192</v>
      </c>
      <c r="J1556">
        <f t="shared" si="188"/>
        <v>480.13712184517277</v>
      </c>
      <c r="K1556" s="27">
        <f t="shared" si="189"/>
        <v>4281.6968133171913</v>
      </c>
    </row>
    <row r="1557" spans="1:11" x14ac:dyDescent="0.25">
      <c r="A1557" s="26">
        <v>1507</v>
      </c>
      <c r="B1557" s="82">
        <f t="shared" si="190"/>
        <v>0</v>
      </c>
      <c r="C1557" s="58">
        <f t="shared" si="194"/>
        <v>104.50616427295054</v>
      </c>
      <c r="D1557" s="83">
        <f t="shared" si="191"/>
        <v>445.77777777777789</v>
      </c>
      <c r="E1557">
        <f t="shared" si="187"/>
        <v>0</v>
      </c>
      <c r="G1557">
        <v>1507</v>
      </c>
      <c r="H1557" s="13">
        <f t="shared" si="192"/>
        <v>1.8572577375266519E-2</v>
      </c>
      <c r="I1557">
        <f t="shared" si="193"/>
        <v>132.49503837747719</v>
      </c>
      <c r="J1557">
        <f t="shared" si="188"/>
        <v>480.15167742573573</v>
      </c>
      <c r="K1557" s="27">
        <f t="shared" si="189"/>
        <v>4281.9563537036083</v>
      </c>
    </row>
    <row r="1558" spans="1:11" x14ac:dyDescent="0.25">
      <c r="A1558" s="26">
        <v>1508</v>
      </c>
      <c r="B1558" s="82">
        <f t="shared" si="190"/>
        <v>0</v>
      </c>
      <c r="C1558" s="58">
        <f t="shared" si="194"/>
        <v>104.50616427295054</v>
      </c>
      <c r="D1558" s="83">
        <f t="shared" si="191"/>
        <v>445.77777777777789</v>
      </c>
      <c r="E1558">
        <f t="shared" si="187"/>
        <v>0</v>
      </c>
      <c r="G1558">
        <v>1508</v>
      </c>
      <c r="H1558" s="13">
        <f t="shared" si="192"/>
        <v>1.8572577375266519E-2</v>
      </c>
      <c r="I1558">
        <f t="shared" si="193"/>
        <v>132.51361095485245</v>
      </c>
      <c r="J1558">
        <f t="shared" si="188"/>
        <v>480.16622595511285</v>
      </c>
      <c r="K1558" s="27">
        <f t="shared" si="189"/>
        <v>4282.215776224929</v>
      </c>
    </row>
    <row r="1559" spans="1:11" x14ac:dyDescent="0.25">
      <c r="A1559" s="26">
        <v>1509</v>
      </c>
      <c r="B1559" s="82">
        <f t="shared" si="190"/>
        <v>0</v>
      </c>
      <c r="C1559" s="58">
        <f t="shared" si="194"/>
        <v>104.50616427295054</v>
      </c>
      <c r="D1559" s="83">
        <f t="shared" si="191"/>
        <v>445.77777777777789</v>
      </c>
      <c r="E1559">
        <f t="shared" si="187"/>
        <v>0</v>
      </c>
      <c r="G1559">
        <v>1509</v>
      </c>
      <c r="H1559" s="13">
        <f t="shared" si="192"/>
        <v>1.8572577375266519E-2</v>
      </c>
      <c r="I1559">
        <f t="shared" si="193"/>
        <v>132.53218353222772</v>
      </c>
      <c r="J1559">
        <f t="shared" si="188"/>
        <v>480.18076743720076</v>
      </c>
      <c r="K1559" s="27">
        <f t="shared" si="189"/>
        <v>4282.475080939189</v>
      </c>
    </row>
    <row r="1560" spans="1:11" x14ac:dyDescent="0.25">
      <c r="A1560" s="26">
        <v>1510</v>
      </c>
      <c r="B1560" s="82">
        <f t="shared" si="190"/>
        <v>0</v>
      </c>
      <c r="C1560" s="58">
        <f t="shared" si="194"/>
        <v>104.50616427295054</v>
      </c>
      <c r="D1560" s="83">
        <f t="shared" si="191"/>
        <v>445.77777777777789</v>
      </c>
      <c r="E1560">
        <f t="shared" si="187"/>
        <v>0</v>
      </c>
      <c r="G1560">
        <v>1510</v>
      </c>
      <c r="H1560" s="13">
        <f t="shared" si="192"/>
        <v>1.8572577375266519E-2</v>
      </c>
      <c r="I1560">
        <f t="shared" si="193"/>
        <v>132.55075610960299</v>
      </c>
      <c r="J1560">
        <f t="shared" si="188"/>
        <v>480.19530187589123</v>
      </c>
      <c r="K1560" s="27">
        <f t="shared" si="189"/>
        <v>4282.7342679043495</v>
      </c>
    </row>
    <row r="1561" spans="1:11" x14ac:dyDescent="0.25">
      <c r="A1561" s="26">
        <v>1511</v>
      </c>
      <c r="B1561" s="82">
        <f t="shared" si="190"/>
        <v>0</v>
      </c>
      <c r="C1561" s="58">
        <f t="shared" si="194"/>
        <v>104.50616427295054</v>
      </c>
      <c r="D1561" s="83">
        <f t="shared" si="191"/>
        <v>445.77777777777789</v>
      </c>
      <c r="E1561">
        <f t="shared" si="187"/>
        <v>0</v>
      </c>
      <c r="G1561">
        <v>1511</v>
      </c>
      <c r="H1561" s="13">
        <f t="shared" si="192"/>
        <v>1.8572577375266519E-2</v>
      </c>
      <c r="I1561">
        <f t="shared" si="193"/>
        <v>132.56932868697825</v>
      </c>
      <c r="J1561">
        <f t="shared" si="188"/>
        <v>480.20982927507129</v>
      </c>
      <c r="K1561" s="27">
        <f t="shared" si="189"/>
        <v>4282.9933371783036</v>
      </c>
    </row>
    <row r="1562" spans="1:11" x14ac:dyDescent="0.25">
      <c r="A1562" s="26">
        <v>1512</v>
      </c>
      <c r="B1562" s="82">
        <f t="shared" si="190"/>
        <v>0</v>
      </c>
      <c r="C1562" s="58">
        <f t="shared" si="194"/>
        <v>104.50616427295054</v>
      </c>
      <c r="D1562" s="83">
        <f t="shared" si="191"/>
        <v>445.77777777777789</v>
      </c>
      <c r="E1562">
        <f t="shared" si="187"/>
        <v>0</v>
      </c>
      <c r="G1562">
        <v>1512</v>
      </c>
      <c r="H1562" s="13">
        <f t="shared" si="192"/>
        <v>1.8572577375266519E-2</v>
      </c>
      <c r="I1562">
        <f t="shared" si="193"/>
        <v>132.58790126435352</v>
      </c>
      <c r="J1562">
        <f t="shared" si="188"/>
        <v>480.22434963862327</v>
      </c>
      <c r="K1562" s="27">
        <f t="shared" si="189"/>
        <v>4283.2522888188723</v>
      </c>
    </row>
    <row r="1563" spans="1:11" x14ac:dyDescent="0.25">
      <c r="A1563" s="26">
        <v>1513</v>
      </c>
      <c r="B1563" s="82">
        <f t="shared" si="190"/>
        <v>0</v>
      </c>
      <c r="C1563" s="58">
        <f t="shared" si="194"/>
        <v>104.50616427295054</v>
      </c>
      <c r="D1563" s="83">
        <f t="shared" si="191"/>
        <v>445.77777777777789</v>
      </c>
      <c r="E1563">
        <f t="shared" si="187"/>
        <v>0</v>
      </c>
      <c r="G1563">
        <v>1513</v>
      </c>
      <c r="H1563" s="13">
        <f t="shared" si="192"/>
        <v>1.8572577375266519E-2</v>
      </c>
      <c r="I1563">
        <f t="shared" si="193"/>
        <v>132.60647384172879</v>
      </c>
      <c r="J1563">
        <f t="shared" si="188"/>
        <v>480.2388629704248</v>
      </c>
      <c r="K1563" s="27">
        <f t="shared" si="189"/>
        <v>4283.5111228838068</v>
      </c>
    </row>
    <row r="1564" spans="1:11" x14ac:dyDescent="0.25">
      <c r="A1564" s="26">
        <v>1514</v>
      </c>
      <c r="B1564" s="82">
        <f t="shared" si="190"/>
        <v>0</v>
      </c>
      <c r="C1564" s="58">
        <f t="shared" si="194"/>
        <v>104.50616427295054</v>
      </c>
      <c r="D1564" s="83">
        <f t="shared" si="191"/>
        <v>445.77777777777789</v>
      </c>
      <c r="E1564">
        <f t="shared" si="187"/>
        <v>0</v>
      </c>
      <c r="G1564">
        <v>1514</v>
      </c>
      <c r="H1564" s="13">
        <f t="shared" si="192"/>
        <v>1.8572577375266519E-2</v>
      </c>
      <c r="I1564">
        <f t="shared" si="193"/>
        <v>132.62504641910405</v>
      </c>
      <c r="J1564">
        <f t="shared" si="188"/>
        <v>480.2533692743487</v>
      </c>
      <c r="K1564" s="27">
        <f t="shared" si="189"/>
        <v>4283.7698394307872</v>
      </c>
    </row>
    <row r="1565" spans="1:11" x14ac:dyDescent="0.25">
      <c r="A1565" s="26">
        <v>1515</v>
      </c>
      <c r="B1565" s="82">
        <f t="shared" si="190"/>
        <v>0</v>
      </c>
      <c r="C1565" s="58">
        <f t="shared" si="194"/>
        <v>104.50616427295054</v>
      </c>
      <c r="D1565" s="83">
        <f t="shared" si="191"/>
        <v>445.77777777777789</v>
      </c>
      <c r="E1565">
        <f t="shared" si="187"/>
        <v>0</v>
      </c>
      <c r="G1565">
        <v>1515</v>
      </c>
      <c r="H1565" s="13">
        <f t="shared" si="192"/>
        <v>1.8572577375266519E-2</v>
      </c>
      <c r="I1565">
        <f t="shared" si="193"/>
        <v>132.64361899647932</v>
      </c>
      <c r="J1565">
        <f t="shared" si="188"/>
        <v>480.26786855426309</v>
      </c>
      <c r="K1565" s="27">
        <f t="shared" si="189"/>
        <v>4284.0284385174245</v>
      </c>
    </row>
    <row r="1566" spans="1:11" x14ac:dyDescent="0.25">
      <c r="A1566" s="26">
        <v>1516</v>
      </c>
      <c r="B1566" s="82">
        <f t="shared" si="190"/>
        <v>0</v>
      </c>
      <c r="C1566" s="58">
        <f t="shared" si="194"/>
        <v>104.50616427295054</v>
      </c>
      <c r="D1566" s="83">
        <f t="shared" si="191"/>
        <v>445.77777777777789</v>
      </c>
      <c r="E1566">
        <f t="shared" si="187"/>
        <v>0</v>
      </c>
      <c r="G1566">
        <v>1516</v>
      </c>
      <c r="H1566" s="13">
        <f t="shared" si="192"/>
        <v>1.8572577375266519E-2</v>
      </c>
      <c r="I1566">
        <f t="shared" si="193"/>
        <v>132.66219157385459</v>
      </c>
      <c r="J1566">
        <f t="shared" si="188"/>
        <v>480.28236081403139</v>
      </c>
      <c r="K1566" s="27">
        <f t="shared" si="189"/>
        <v>4284.286920201258</v>
      </c>
    </row>
    <row r="1567" spans="1:11" x14ac:dyDescent="0.25">
      <c r="A1567" s="26">
        <v>1517</v>
      </c>
      <c r="B1567" s="82">
        <f t="shared" si="190"/>
        <v>0</v>
      </c>
      <c r="C1567" s="58">
        <f t="shared" si="194"/>
        <v>104.50616427295054</v>
      </c>
      <c r="D1567" s="83">
        <f t="shared" si="191"/>
        <v>445.77777777777789</v>
      </c>
      <c r="E1567">
        <f t="shared" si="187"/>
        <v>0</v>
      </c>
      <c r="G1567">
        <v>1517</v>
      </c>
      <c r="H1567" s="13">
        <f t="shared" si="192"/>
        <v>1.8572577375266519E-2</v>
      </c>
      <c r="I1567">
        <f t="shared" si="193"/>
        <v>132.68076415122985</v>
      </c>
      <c r="J1567">
        <f t="shared" si="188"/>
        <v>480.29684605751243</v>
      </c>
      <c r="K1567" s="27">
        <f t="shared" si="189"/>
        <v>4284.5452845397585</v>
      </c>
    </row>
    <row r="1568" spans="1:11" x14ac:dyDescent="0.25">
      <c r="A1568" s="26">
        <v>1518</v>
      </c>
      <c r="B1568" s="82">
        <f t="shared" si="190"/>
        <v>0</v>
      </c>
      <c r="C1568" s="58">
        <f t="shared" si="194"/>
        <v>104.50616427295054</v>
      </c>
      <c r="D1568" s="83">
        <f t="shared" si="191"/>
        <v>445.77777777777789</v>
      </c>
      <c r="E1568">
        <f t="shared" si="187"/>
        <v>0</v>
      </c>
      <c r="G1568">
        <v>1518</v>
      </c>
      <c r="H1568" s="13">
        <f t="shared" si="192"/>
        <v>1.8572577375266519E-2</v>
      </c>
      <c r="I1568">
        <f t="shared" si="193"/>
        <v>132.69933672860512</v>
      </c>
      <c r="J1568">
        <f t="shared" si="188"/>
        <v>480.31132428856012</v>
      </c>
      <c r="K1568" s="27">
        <f t="shared" si="189"/>
        <v>4284.8035315903271</v>
      </c>
    </row>
    <row r="1569" spans="1:11" x14ac:dyDescent="0.25">
      <c r="A1569" s="26">
        <v>1519</v>
      </c>
      <c r="B1569" s="82">
        <f t="shared" si="190"/>
        <v>0</v>
      </c>
      <c r="C1569" s="58">
        <f t="shared" si="194"/>
        <v>104.50616427295054</v>
      </c>
      <c r="D1569" s="83">
        <f t="shared" si="191"/>
        <v>445.77777777777789</v>
      </c>
      <c r="E1569">
        <f t="shared" si="187"/>
        <v>0</v>
      </c>
      <c r="G1569">
        <v>1519</v>
      </c>
      <c r="H1569" s="13">
        <f t="shared" si="192"/>
        <v>1.8572577375266519E-2</v>
      </c>
      <c r="I1569">
        <f t="shared" si="193"/>
        <v>132.71790930598038</v>
      </c>
      <c r="J1569">
        <f t="shared" si="188"/>
        <v>480.32579551102384</v>
      </c>
      <c r="K1569" s="27">
        <f t="shared" si="189"/>
        <v>4285.0616614102937</v>
      </c>
    </row>
    <row r="1570" spans="1:11" x14ac:dyDescent="0.25">
      <c r="A1570" s="26">
        <v>1520</v>
      </c>
      <c r="B1570" s="82">
        <f t="shared" si="190"/>
        <v>0</v>
      </c>
      <c r="C1570" s="58">
        <f t="shared" si="194"/>
        <v>104.50616427295054</v>
      </c>
      <c r="D1570" s="83">
        <f t="shared" si="191"/>
        <v>445.77777777777789</v>
      </c>
      <c r="E1570">
        <f t="shared" si="187"/>
        <v>0</v>
      </c>
      <c r="G1570">
        <v>1520</v>
      </c>
      <c r="H1570" s="13">
        <f t="shared" si="192"/>
        <v>1.8572577375266519E-2</v>
      </c>
      <c r="I1570">
        <f t="shared" si="193"/>
        <v>132.73648188335565</v>
      </c>
      <c r="J1570">
        <f t="shared" si="188"/>
        <v>480.34025972874832</v>
      </c>
      <c r="K1570" s="27">
        <f t="shared" si="189"/>
        <v>4285.3196740569192</v>
      </c>
    </row>
    <row r="1571" spans="1:11" x14ac:dyDescent="0.25">
      <c r="A1571" s="26">
        <v>1521</v>
      </c>
      <c r="B1571" s="82">
        <f t="shared" si="190"/>
        <v>0</v>
      </c>
      <c r="C1571" s="58">
        <f t="shared" si="194"/>
        <v>104.50616427295054</v>
      </c>
      <c r="D1571" s="83">
        <f t="shared" si="191"/>
        <v>445.77777777777789</v>
      </c>
      <c r="E1571">
        <f t="shared" si="187"/>
        <v>0</v>
      </c>
      <c r="G1571">
        <v>1521</v>
      </c>
      <c r="H1571" s="13">
        <f t="shared" si="192"/>
        <v>1.8572577375266519E-2</v>
      </c>
      <c r="I1571">
        <f t="shared" si="193"/>
        <v>132.75505446073092</v>
      </c>
      <c r="J1571">
        <f t="shared" si="188"/>
        <v>480.35471694557356</v>
      </c>
      <c r="K1571" s="27">
        <f t="shared" si="189"/>
        <v>4285.5775695873945</v>
      </c>
    </row>
    <row r="1572" spans="1:11" x14ac:dyDescent="0.25">
      <c r="A1572" s="26">
        <v>1522</v>
      </c>
      <c r="B1572" s="82">
        <f t="shared" si="190"/>
        <v>0</v>
      </c>
      <c r="C1572" s="58">
        <f t="shared" si="194"/>
        <v>104.50616427295054</v>
      </c>
      <c r="D1572" s="83">
        <f t="shared" si="191"/>
        <v>445.77777777777789</v>
      </c>
      <c r="E1572">
        <f t="shared" si="187"/>
        <v>0</v>
      </c>
      <c r="G1572">
        <v>1522</v>
      </c>
      <c r="H1572" s="13">
        <f t="shared" si="192"/>
        <v>1.8572577375266519E-2</v>
      </c>
      <c r="I1572">
        <f t="shared" si="193"/>
        <v>132.77362703810618</v>
      </c>
      <c r="J1572">
        <f t="shared" si="188"/>
        <v>480.36916716533483</v>
      </c>
      <c r="K1572" s="27">
        <f t="shared" si="189"/>
        <v>4285.835348058843</v>
      </c>
    </row>
    <row r="1573" spans="1:11" x14ac:dyDescent="0.25">
      <c r="A1573" s="26">
        <v>1523</v>
      </c>
      <c r="B1573" s="82">
        <f t="shared" si="190"/>
        <v>0</v>
      </c>
      <c r="C1573" s="58">
        <f t="shared" si="194"/>
        <v>104.50616427295054</v>
      </c>
      <c r="D1573" s="83">
        <f t="shared" si="191"/>
        <v>445.77777777777789</v>
      </c>
      <c r="E1573">
        <f t="shared" si="187"/>
        <v>0</v>
      </c>
      <c r="G1573">
        <v>1523</v>
      </c>
      <c r="H1573" s="13">
        <f t="shared" si="192"/>
        <v>1.8572577375266519E-2</v>
      </c>
      <c r="I1573">
        <f t="shared" si="193"/>
        <v>132.79219961548145</v>
      </c>
      <c r="J1573">
        <f t="shared" si="188"/>
        <v>480.38361039186287</v>
      </c>
      <c r="K1573" s="27">
        <f t="shared" si="189"/>
        <v>4286.0930095283175</v>
      </c>
    </row>
    <row r="1574" spans="1:11" x14ac:dyDescent="0.25">
      <c r="A1574" s="26">
        <v>1524</v>
      </c>
      <c r="B1574" s="82">
        <f t="shared" si="190"/>
        <v>0</v>
      </c>
      <c r="C1574" s="58">
        <f t="shared" si="194"/>
        <v>104.50616427295054</v>
      </c>
      <c r="D1574" s="83">
        <f t="shared" si="191"/>
        <v>445.77777777777789</v>
      </c>
      <c r="E1574">
        <f t="shared" si="187"/>
        <v>0</v>
      </c>
      <c r="G1574">
        <v>1524</v>
      </c>
      <c r="H1574" s="13">
        <f t="shared" si="192"/>
        <v>1.8572577375266519E-2</v>
      </c>
      <c r="I1574">
        <f t="shared" si="193"/>
        <v>132.81077219285672</v>
      </c>
      <c r="J1574">
        <f t="shared" si="188"/>
        <v>480.39804662898371</v>
      </c>
      <c r="K1574" s="27">
        <f t="shared" si="189"/>
        <v>4286.3505540527995</v>
      </c>
    </row>
    <row r="1575" spans="1:11" x14ac:dyDescent="0.25">
      <c r="A1575" s="26">
        <v>1525</v>
      </c>
      <c r="B1575" s="82">
        <f t="shared" si="190"/>
        <v>0</v>
      </c>
      <c r="C1575" s="58">
        <f t="shared" si="194"/>
        <v>104.50616427295054</v>
      </c>
      <c r="D1575" s="83">
        <f t="shared" si="191"/>
        <v>445.77777777777789</v>
      </c>
      <c r="E1575">
        <f t="shared" si="187"/>
        <v>0</v>
      </c>
      <c r="G1575">
        <v>1525</v>
      </c>
      <c r="H1575" s="13">
        <f t="shared" si="192"/>
        <v>1.8572577375266519E-2</v>
      </c>
      <c r="I1575">
        <f t="shared" si="193"/>
        <v>132.82934477023198</v>
      </c>
      <c r="J1575">
        <f t="shared" si="188"/>
        <v>480.41247588051868</v>
      </c>
      <c r="K1575" s="27">
        <f t="shared" si="189"/>
        <v>4286.6079816892043</v>
      </c>
    </row>
    <row r="1576" spans="1:11" x14ac:dyDescent="0.25">
      <c r="A1576" s="26">
        <v>1526</v>
      </c>
      <c r="B1576" s="82">
        <f t="shared" si="190"/>
        <v>0</v>
      </c>
      <c r="C1576" s="58">
        <f t="shared" si="194"/>
        <v>104.50616427295054</v>
      </c>
      <c r="D1576" s="83">
        <f t="shared" si="191"/>
        <v>445.77777777777789</v>
      </c>
      <c r="E1576">
        <f t="shared" si="187"/>
        <v>0</v>
      </c>
      <c r="G1576">
        <v>1526</v>
      </c>
      <c r="H1576" s="13">
        <f t="shared" si="192"/>
        <v>1.8572577375266519E-2</v>
      </c>
      <c r="I1576">
        <f t="shared" si="193"/>
        <v>132.84791734760725</v>
      </c>
      <c r="J1576">
        <f t="shared" si="188"/>
        <v>480.42689815028461</v>
      </c>
      <c r="K1576" s="27">
        <f t="shared" si="189"/>
        <v>4286.8652924943772</v>
      </c>
    </row>
    <row r="1577" spans="1:11" x14ac:dyDescent="0.25">
      <c r="A1577" s="26">
        <v>1527</v>
      </c>
      <c r="B1577" s="82">
        <f t="shared" si="190"/>
        <v>0</v>
      </c>
      <c r="C1577" s="58">
        <f t="shared" si="194"/>
        <v>104.50616427295054</v>
      </c>
      <c r="D1577" s="83">
        <f t="shared" si="191"/>
        <v>445.77777777777789</v>
      </c>
      <c r="E1577">
        <f t="shared" si="187"/>
        <v>0</v>
      </c>
      <c r="G1577">
        <v>1527</v>
      </c>
      <c r="H1577" s="13">
        <f t="shared" si="192"/>
        <v>1.8572577375266519E-2</v>
      </c>
      <c r="I1577">
        <f t="shared" si="193"/>
        <v>132.86648992498252</v>
      </c>
      <c r="J1577">
        <f t="shared" si="188"/>
        <v>480.44131344209364</v>
      </c>
      <c r="K1577" s="27">
        <f t="shared" si="189"/>
        <v>4287.1224865250952</v>
      </c>
    </row>
    <row r="1578" spans="1:11" x14ac:dyDescent="0.25">
      <c r="A1578" s="26">
        <v>1528</v>
      </c>
      <c r="B1578" s="82">
        <f t="shared" si="190"/>
        <v>0</v>
      </c>
      <c r="C1578" s="58">
        <f t="shared" si="194"/>
        <v>104.50616427295054</v>
      </c>
      <c r="D1578" s="83">
        <f t="shared" si="191"/>
        <v>445.77777777777789</v>
      </c>
      <c r="E1578">
        <f t="shared" si="187"/>
        <v>0</v>
      </c>
      <c r="G1578">
        <v>1528</v>
      </c>
      <c r="H1578" s="13">
        <f t="shared" si="192"/>
        <v>1.8572577375266519E-2</v>
      </c>
      <c r="I1578">
        <f t="shared" si="193"/>
        <v>132.88506250235778</v>
      </c>
      <c r="J1578">
        <f t="shared" si="188"/>
        <v>480.45572175975326</v>
      </c>
      <c r="K1578" s="27">
        <f t="shared" si="189"/>
        <v>4287.3795638380661</v>
      </c>
    </row>
    <row r="1579" spans="1:11" x14ac:dyDescent="0.25">
      <c r="A1579" s="26">
        <v>1529</v>
      </c>
      <c r="B1579" s="82">
        <f t="shared" si="190"/>
        <v>0</v>
      </c>
      <c r="C1579" s="58">
        <f t="shared" si="194"/>
        <v>104.50616427295054</v>
      </c>
      <c r="D1579" s="83">
        <f t="shared" si="191"/>
        <v>445.77777777777789</v>
      </c>
      <c r="E1579">
        <f t="shared" si="187"/>
        <v>0</v>
      </c>
      <c r="G1579">
        <v>1529</v>
      </c>
      <c r="H1579" s="13">
        <f t="shared" si="192"/>
        <v>1.8572577375266519E-2</v>
      </c>
      <c r="I1579">
        <f t="shared" si="193"/>
        <v>132.90363507973305</v>
      </c>
      <c r="J1579">
        <f t="shared" si="188"/>
        <v>480.4701231070664</v>
      </c>
      <c r="K1579" s="27">
        <f t="shared" si="189"/>
        <v>4287.6365244899271</v>
      </c>
    </row>
    <row r="1580" spans="1:11" x14ac:dyDescent="0.25">
      <c r="A1580" s="26">
        <v>1530</v>
      </c>
      <c r="B1580" s="82">
        <f t="shared" si="190"/>
        <v>0</v>
      </c>
      <c r="C1580" s="58">
        <f t="shared" si="194"/>
        <v>104.50616427295054</v>
      </c>
      <c r="D1580" s="83">
        <f t="shared" si="191"/>
        <v>445.77777777777789</v>
      </c>
      <c r="E1580">
        <f t="shared" si="187"/>
        <v>0</v>
      </c>
      <c r="G1580">
        <v>1530</v>
      </c>
      <c r="H1580" s="13">
        <f t="shared" si="192"/>
        <v>1.8572577375266519E-2</v>
      </c>
      <c r="I1580">
        <f t="shared" si="193"/>
        <v>132.92220765710832</v>
      </c>
      <c r="J1580">
        <f t="shared" si="188"/>
        <v>480.48451748783134</v>
      </c>
      <c r="K1580" s="27">
        <f t="shared" si="189"/>
        <v>4287.8933685372513</v>
      </c>
    </row>
    <row r="1581" spans="1:11" x14ac:dyDescent="0.25">
      <c r="A1581" s="26">
        <v>1531</v>
      </c>
      <c r="B1581" s="82">
        <f t="shared" si="190"/>
        <v>0</v>
      </c>
      <c r="C1581" s="58">
        <f t="shared" si="194"/>
        <v>104.50616427295054</v>
      </c>
      <c r="D1581" s="83">
        <f t="shared" si="191"/>
        <v>445.77777777777789</v>
      </c>
      <c r="E1581">
        <f t="shared" si="187"/>
        <v>0</v>
      </c>
      <c r="G1581">
        <v>1531</v>
      </c>
      <c r="H1581" s="13">
        <f t="shared" si="192"/>
        <v>1.8572577375266519E-2</v>
      </c>
      <c r="I1581">
        <f t="shared" si="193"/>
        <v>132.94078023448358</v>
      </c>
      <c r="J1581">
        <f t="shared" si="188"/>
        <v>480.49890490584187</v>
      </c>
      <c r="K1581" s="27">
        <f t="shared" si="189"/>
        <v>4288.1500960365411</v>
      </c>
    </row>
    <row r="1582" spans="1:11" x14ac:dyDescent="0.25">
      <c r="A1582" s="26">
        <v>1532</v>
      </c>
      <c r="B1582" s="82">
        <f t="shared" si="190"/>
        <v>0</v>
      </c>
      <c r="C1582" s="58">
        <f t="shared" si="194"/>
        <v>104.50616427295054</v>
      </c>
      <c r="D1582" s="83">
        <f t="shared" si="191"/>
        <v>445.77777777777789</v>
      </c>
      <c r="E1582">
        <f t="shared" si="187"/>
        <v>0</v>
      </c>
      <c r="G1582">
        <v>1532</v>
      </c>
      <c r="H1582" s="13">
        <f t="shared" si="192"/>
        <v>1.8572577375266519E-2</v>
      </c>
      <c r="I1582">
        <f t="shared" si="193"/>
        <v>132.95935281185885</v>
      </c>
      <c r="J1582">
        <f t="shared" si="188"/>
        <v>480.51328536488705</v>
      </c>
      <c r="K1582" s="27">
        <f t="shared" si="189"/>
        <v>4288.4067070442288</v>
      </c>
    </row>
    <row r="1583" spans="1:11" x14ac:dyDescent="0.25">
      <c r="A1583" s="26">
        <v>1533</v>
      </c>
      <c r="B1583" s="82">
        <f t="shared" si="190"/>
        <v>0</v>
      </c>
      <c r="C1583" s="58">
        <f t="shared" si="194"/>
        <v>104.50616427295054</v>
      </c>
      <c r="D1583" s="83">
        <f t="shared" si="191"/>
        <v>445.77777777777789</v>
      </c>
      <c r="E1583">
        <f t="shared" si="187"/>
        <v>0</v>
      </c>
      <c r="G1583">
        <v>1533</v>
      </c>
      <c r="H1583" s="13">
        <f t="shared" si="192"/>
        <v>1.8572577375266519E-2</v>
      </c>
      <c r="I1583">
        <f t="shared" si="193"/>
        <v>132.97792538923412</v>
      </c>
      <c r="J1583">
        <f t="shared" si="188"/>
        <v>480.52765886875147</v>
      </c>
      <c r="K1583" s="27">
        <f t="shared" si="189"/>
        <v>4288.6632016166795</v>
      </c>
    </row>
    <row r="1584" spans="1:11" x14ac:dyDescent="0.25">
      <c r="A1584" s="26">
        <v>1534</v>
      </c>
      <c r="B1584" s="82">
        <f t="shared" si="190"/>
        <v>0</v>
      </c>
      <c r="C1584" s="58">
        <f t="shared" si="194"/>
        <v>104.50616427295054</v>
      </c>
      <c r="D1584" s="83">
        <f t="shared" si="191"/>
        <v>445.77777777777789</v>
      </c>
      <c r="E1584">
        <f t="shared" si="187"/>
        <v>0</v>
      </c>
      <c r="G1584">
        <v>1534</v>
      </c>
      <c r="H1584" s="13">
        <f t="shared" si="192"/>
        <v>1.8572577375266519E-2</v>
      </c>
      <c r="I1584">
        <f t="shared" si="193"/>
        <v>132.99649796660938</v>
      </c>
      <c r="J1584">
        <f t="shared" si="188"/>
        <v>480.54202542121504</v>
      </c>
      <c r="K1584" s="27">
        <f t="shared" si="189"/>
        <v>4288.919579810191</v>
      </c>
    </row>
    <row r="1585" spans="1:11" x14ac:dyDescent="0.25">
      <c r="A1585" s="26">
        <v>1535</v>
      </c>
      <c r="B1585" s="82">
        <f t="shared" si="190"/>
        <v>0</v>
      </c>
      <c r="C1585" s="58">
        <f t="shared" si="194"/>
        <v>104.50616427295054</v>
      </c>
      <c r="D1585" s="83">
        <f t="shared" si="191"/>
        <v>445.77777777777789</v>
      </c>
      <c r="E1585">
        <f t="shared" si="187"/>
        <v>0</v>
      </c>
      <c r="G1585">
        <v>1535</v>
      </c>
      <c r="H1585" s="13">
        <f t="shared" si="192"/>
        <v>1.8572577375266519E-2</v>
      </c>
      <c r="I1585">
        <f t="shared" si="193"/>
        <v>133.01507054398465</v>
      </c>
      <c r="J1585">
        <f t="shared" si="188"/>
        <v>480.55638502605325</v>
      </c>
      <c r="K1585" s="27">
        <f t="shared" si="189"/>
        <v>4289.1758416809953</v>
      </c>
    </row>
    <row r="1586" spans="1:11" x14ac:dyDescent="0.25">
      <c r="A1586" s="26">
        <v>1536</v>
      </c>
      <c r="B1586" s="82">
        <f t="shared" si="190"/>
        <v>0</v>
      </c>
      <c r="C1586" s="58">
        <f t="shared" si="194"/>
        <v>104.50616427295054</v>
      </c>
      <c r="D1586" s="83">
        <f t="shared" si="191"/>
        <v>445.77777777777789</v>
      </c>
      <c r="E1586">
        <f t="shared" si="187"/>
        <v>0</v>
      </c>
      <c r="G1586">
        <v>1536</v>
      </c>
      <c r="H1586" s="13">
        <f t="shared" si="192"/>
        <v>1.8572577375266519E-2</v>
      </c>
      <c r="I1586">
        <f t="shared" si="193"/>
        <v>133.03364312135992</v>
      </c>
      <c r="J1586">
        <f t="shared" si="188"/>
        <v>480.57073768703691</v>
      </c>
      <c r="K1586" s="27">
        <f t="shared" si="189"/>
        <v>4289.431987285252</v>
      </c>
    </row>
    <row r="1587" spans="1:11" x14ac:dyDescent="0.25">
      <c r="A1587" s="26">
        <v>1537</v>
      </c>
      <c r="B1587" s="82">
        <f t="shared" si="190"/>
        <v>0</v>
      </c>
      <c r="C1587" s="58">
        <f t="shared" si="194"/>
        <v>104.50616427295054</v>
      </c>
      <c r="D1587" s="83">
        <f t="shared" si="191"/>
        <v>445.77777777777789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1.8572577375266519E-2</v>
      </c>
      <c r="I1587">
        <f t="shared" si="193"/>
        <v>133.05221569873518</v>
      </c>
      <c r="J1587">
        <f t="shared" ref="J1587:J1650" si="196">IF($G$28&lt;$C$14,0,((($C$11^2)-((I1587-$C$13)^2))^0.5)+$C$16)</f>
        <v>480.5850834079323</v>
      </c>
      <c r="K1587" s="27">
        <f t="shared" ref="K1587:K1650" si="197">((J1587^2)+(J1587*J1588)+(J1588^2))*H1588/3</f>
        <v>4289.6880166790552</v>
      </c>
    </row>
    <row r="1588" spans="1:11" x14ac:dyDescent="0.25">
      <c r="A1588" s="26">
        <v>1538</v>
      </c>
      <c r="B1588" s="82">
        <f t="shared" ref="B1588:B1651" si="198">C1588-C1587</f>
        <v>0</v>
      </c>
      <c r="C1588" s="58">
        <f t="shared" si="194"/>
        <v>104.50616427295054</v>
      </c>
      <c r="D1588" s="83">
        <f t="shared" ref="D1588:D1651" si="199">IF($G$28&lt;$C$14,0,((($C$11^2)-((C1588-$C$13)^2))^0.5)+$C$16)</f>
        <v>445.77777777777789</v>
      </c>
      <c r="E1588">
        <f t="shared" si="195"/>
        <v>0</v>
      </c>
      <c r="G1588">
        <v>1538</v>
      </c>
      <c r="H1588" s="13">
        <f t="shared" ref="H1588:H1651" si="200">I1588-I1587</f>
        <v>1.8572577375266519E-2</v>
      </c>
      <c r="I1588">
        <f t="shared" ref="I1588:I1651" si="201">($G$27-$C$14)/2000+I1587</f>
        <v>133.07078827611045</v>
      </c>
      <c r="J1588">
        <f t="shared" si="196"/>
        <v>480.59942219250127</v>
      </c>
      <c r="K1588" s="27">
        <f t="shared" si="197"/>
        <v>4289.9439299184332</v>
      </c>
    </row>
    <row r="1589" spans="1:11" x14ac:dyDescent="0.25">
      <c r="A1589" s="26">
        <v>1539</v>
      </c>
      <c r="B1589" s="82">
        <f t="shared" si="198"/>
        <v>0</v>
      </c>
      <c r="C1589" s="58">
        <f t="shared" si="194"/>
        <v>104.50616427295054</v>
      </c>
      <c r="D1589" s="83">
        <f t="shared" si="199"/>
        <v>445.77777777777789</v>
      </c>
      <c r="E1589">
        <f t="shared" si="195"/>
        <v>0</v>
      </c>
      <c r="G1589">
        <v>1539</v>
      </c>
      <c r="H1589" s="13">
        <f t="shared" si="200"/>
        <v>1.8572577375266519E-2</v>
      </c>
      <c r="I1589">
        <f t="shared" si="201"/>
        <v>133.08936085348572</v>
      </c>
      <c r="J1589">
        <f t="shared" si="196"/>
        <v>480.61375404450098</v>
      </c>
      <c r="K1589" s="27">
        <f t="shared" si="197"/>
        <v>4290.1997270593429</v>
      </c>
    </row>
    <row r="1590" spans="1:11" x14ac:dyDescent="0.25">
      <c r="A1590" s="26">
        <v>1540</v>
      </c>
      <c r="B1590" s="82">
        <f t="shared" si="198"/>
        <v>0</v>
      </c>
      <c r="C1590" s="58">
        <f t="shared" si="194"/>
        <v>104.50616427295054</v>
      </c>
      <c r="D1590" s="83">
        <f t="shared" si="199"/>
        <v>445.77777777777789</v>
      </c>
      <c r="E1590">
        <f t="shared" si="195"/>
        <v>0</v>
      </c>
      <c r="G1590">
        <v>1540</v>
      </c>
      <c r="H1590" s="13">
        <f t="shared" si="200"/>
        <v>1.8572577375266519E-2</v>
      </c>
      <c r="I1590">
        <f t="shared" si="201"/>
        <v>133.10793343086098</v>
      </c>
      <c r="J1590">
        <f t="shared" si="196"/>
        <v>480.62807896768413</v>
      </c>
      <c r="K1590" s="27">
        <f t="shared" si="197"/>
        <v>4290.4554081576744</v>
      </c>
    </row>
    <row r="1591" spans="1:11" x14ac:dyDescent="0.25">
      <c r="A1591" s="26">
        <v>1541</v>
      </c>
      <c r="B1591" s="82">
        <f t="shared" si="198"/>
        <v>0</v>
      </c>
      <c r="C1591" s="58">
        <f t="shared" si="194"/>
        <v>104.50616427295054</v>
      </c>
      <c r="D1591" s="83">
        <f t="shared" si="199"/>
        <v>445.77777777777789</v>
      </c>
      <c r="E1591">
        <f t="shared" si="195"/>
        <v>0</v>
      </c>
      <c r="G1591">
        <v>1541</v>
      </c>
      <c r="H1591" s="13">
        <f t="shared" si="200"/>
        <v>1.8572577375266519E-2</v>
      </c>
      <c r="I1591">
        <f t="shared" si="201"/>
        <v>133.12650600823625</v>
      </c>
      <c r="J1591">
        <f t="shared" si="196"/>
        <v>480.64239696579887</v>
      </c>
      <c r="K1591" s="27">
        <f t="shared" si="197"/>
        <v>4290.7109732692552</v>
      </c>
    </row>
    <row r="1592" spans="1:11" x14ac:dyDescent="0.25">
      <c r="A1592" s="26">
        <v>1542</v>
      </c>
      <c r="B1592" s="82">
        <f t="shared" si="198"/>
        <v>0</v>
      </c>
      <c r="C1592" s="58">
        <f t="shared" si="194"/>
        <v>104.50616427295054</v>
      </c>
      <c r="D1592" s="83">
        <f t="shared" si="199"/>
        <v>445.77777777777789</v>
      </c>
      <c r="E1592">
        <f t="shared" si="195"/>
        <v>0</v>
      </c>
      <c r="G1592">
        <v>1542</v>
      </c>
      <c r="H1592" s="13">
        <f t="shared" si="200"/>
        <v>1.8572577375266519E-2</v>
      </c>
      <c r="I1592">
        <f t="shared" si="201"/>
        <v>133.14507858561151</v>
      </c>
      <c r="J1592">
        <f t="shared" si="196"/>
        <v>480.65670804258895</v>
      </c>
      <c r="K1592" s="27">
        <f t="shared" si="197"/>
        <v>4290.9664224498401</v>
      </c>
    </row>
    <row r="1593" spans="1:11" x14ac:dyDescent="0.25">
      <c r="A1593" s="26">
        <v>1543</v>
      </c>
      <c r="B1593" s="82">
        <f t="shared" si="198"/>
        <v>0</v>
      </c>
      <c r="C1593" s="58">
        <f t="shared" si="194"/>
        <v>104.50616427295054</v>
      </c>
      <c r="D1593" s="83">
        <f t="shared" si="199"/>
        <v>445.77777777777789</v>
      </c>
      <c r="E1593">
        <f t="shared" si="195"/>
        <v>0</v>
      </c>
      <c r="G1593">
        <v>1543</v>
      </c>
      <c r="H1593" s="13">
        <f t="shared" si="200"/>
        <v>1.8572577375266519E-2</v>
      </c>
      <c r="I1593">
        <f t="shared" si="201"/>
        <v>133.16365116298678</v>
      </c>
      <c r="J1593">
        <f t="shared" si="196"/>
        <v>480.67101220179347</v>
      </c>
      <c r="K1593" s="27">
        <f t="shared" si="197"/>
        <v>4291.2217557551203</v>
      </c>
    </row>
    <row r="1594" spans="1:11" x14ac:dyDescent="0.25">
      <c r="A1594" s="26">
        <v>1544</v>
      </c>
      <c r="B1594" s="82">
        <f t="shared" si="198"/>
        <v>0</v>
      </c>
      <c r="C1594" s="58">
        <f t="shared" si="194"/>
        <v>104.50616427295054</v>
      </c>
      <c r="D1594" s="83">
        <f t="shared" si="199"/>
        <v>445.77777777777789</v>
      </c>
      <c r="E1594">
        <f t="shared" si="195"/>
        <v>0</v>
      </c>
      <c r="G1594">
        <v>1544</v>
      </c>
      <c r="H1594" s="13">
        <f t="shared" si="200"/>
        <v>1.8572577375266519E-2</v>
      </c>
      <c r="I1594">
        <f t="shared" si="201"/>
        <v>133.18222374036205</v>
      </c>
      <c r="J1594">
        <f t="shared" si="196"/>
        <v>480.68530944714706</v>
      </c>
      <c r="K1594" s="27">
        <f t="shared" si="197"/>
        <v>4291.4769732407158</v>
      </c>
    </row>
    <row r="1595" spans="1:11" x14ac:dyDescent="0.25">
      <c r="A1595" s="26">
        <v>1545</v>
      </c>
      <c r="B1595" s="82">
        <f t="shared" si="198"/>
        <v>0</v>
      </c>
      <c r="C1595" s="58">
        <f t="shared" si="194"/>
        <v>104.50616427295054</v>
      </c>
      <c r="D1595" s="83">
        <f t="shared" si="199"/>
        <v>445.77777777777789</v>
      </c>
      <c r="E1595">
        <f t="shared" si="195"/>
        <v>0</v>
      </c>
      <c r="G1595">
        <v>1545</v>
      </c>
      <c r="H1595" s="13">
        <f t="shared" si="200"/>
        <v>1.8572577375266519E-2</v>
      </c>
      <c r="I1595">
        <f t="shared" si="201"/>
        <v>133.20079631773731</v>
      </c>
      <c r="J1595">
        <f t="shared" si="196"/>
        <v>480.69959978238001</v>
      </c>
      <c r="K1595" s="27">
        <f t="shared" si="197"/>
        <v>4291.7320749621858</v>
      </c>
    </row>
    <row r="1596" spans="1:11" x14ac:dyDescent="0.25">
      <c r="A1596" s="26">
        <v>1546</v>
      </c>
      <c r="B1596" s="82">
        <f t="shared" si="198"/>
        <v>0</v>
      </c>
      <c r="C1596" s="58">
        <f t="shared" si="194"/>
        <v>104.50616427295054</v>
      </c>
      <c r="D1596" s="83">
        <f t="shared" si="199"/>
        <v>445.77777777777789</v>
      </c>
      <c r="E1596">
        <f t="shared" si="195"/>
        <v>0</v>
      </c>
      <c r="G1596">
        <v>1546</v>
      </c>
      <c r="H1596" s="13">
        <f t="shared" si="200"/>
        <v>1.8572577375266519E-2</v>
      </c>
      <c r="I1596">
        <f t="shared" si="201"/>
        <v>133.21936889511258</v>
      </c>
      <c r="J1596">
        <f t="shared" si="196"/>
        <v>480.71388321121788</v>
      </c>
      <c r="K1596" s="27">
        <f t="shared" si="197"/>
        <v>4291.9870609750187</v>
      </c>
    </row>
    <row r="1597" spans="1:11" x14ac:dyDescent="0.25">
      <c r="A1597" s="26">
        <v>1547</v>
      </c>
      <c r="B1597" s="82">
        <f t="shared" si="198"/>
        <v>0</v>
      </c>
      <c r="C1597" s="58">
        <f t="shared" si="194"/>
        <v>104.50616427295054</v>
      </c>
      <c r="D1597" s="83">
        <f t="shared" si="199"/>
        <v>445.77777777777789</v>
      </c>
      <c r="E1597">
        <f t="shared" si="195"/>
        <v>0</v>
      </c>
      <c r="G1597">
        <v>1547</v>
      </c>
      <c r="H1597" s="13">
        <f t="shared" si="200"/>
        <v>1.8572577375266519E-2</v>
      </c>
      <c r="I1597">
        <f t="shared" si="201"/>
        <v>133.23794147248785</v>
      </c>
      <c r="J1597">
        <f t="shared" si="196"/>
        <v>480.72815973738199</v>
      </c>
      <c r="K1597" s="27">
        <f t="shared" si="197"/>
        <v>4292.2419313346372</v>
      </c>
    </row>
    <row r="1598" spans="1:11" x14ac:dyDescent="0.25">
      <c r="A1598" s="26">
        <v>1548</v>
      </c>
      <c r="B1598" s="82">
        <f t="shared" si="198"/>
        <v>0</v>
      </c>
      <c r="C1598" s="58">
        <f t="shared" si="194"/>
        <v>104.50616427295054</v>
      </c>
      <c r="D1598" s="83">
        <f t="shared" si="199"/>
        <v>445.77777777777789</v>
      </c>
      <c r="E1598">
        <f t="shared" si="195"/>
        <v>0</v>
      </c>
      <c r="G1598">
        <v>1548</v>
      </c>
      <c r="H1598" s="13">
        <f t="shared" si="200"/>
        <v>1.8572577375266519E-2</v>
      </c>
      <c r="I1598">
        <f t="shared" si="201"/>
        <v>133.25651404986311</v>
      </c>
      <c r="J1598">
        <f t="shared" si="196"/>
        <v>480.74242936458899</v>
      </c>
      <c r="K1598" s="27">
        <f t="shared" si="197"/>
        <v>4292.496686096395</v>
      </c>
    </row>
    <row r="1599" spans="1:11" x14ac:dyDescent="0.25">
      <c r="A1599" s="26">
        <v>1549</v>
      </c>
      <c r="B1599" s="82">
        <f t="shared" si="198"/>
        <v>0</v>
      </c>
      <c r="C1599" s="58">
        <f t="shared" si="194"/>
        <v>104.50616427295054</v>
      </c>
      <c r="D1599" s="83">
        <f t="shared" si="199"/>
        <v>445.77777777777789</v>
      </c>
      <c r="E1599">
        <f t="shared" si="195"/>
        <v>0</v>
      </c>
      <c r="G1599">
        <v>1549</v>
      </c>
      <c r="H1599" s="13">
        <f t="shared" si="200"/>
        <v>1.8572577375266519E-2</v>
      </c>
      <c r="I1599">
        <f t="shared" si="201"/>
        <v>133.27508662723838</v>
      </c>
      <c r="J1599">
        <f t="shared" si="196"/>
        <v>480.75669209655121</v>
      </c>
      <c r="K1599" s="27">
        <f t="shared" si="197"/>
        <v>4292.7513253155839</v>
      </c>
    </row>
    <row r="1600" spans="1:11" x14ac:dyDescent="0.25">
      <c r="A1600" s="26">
        <v>1550</v>
      </c>
      <c r="B1600" s="82">
        <f t="shared" si="198"/>
        <v>0</v>
      </c>
      <c r="C1600" s="58">
        <f t="shared" si="194"/>
        <v>104.50616427295054</v>
      </c>
      <c r="D1600" s="83">
        <f t="shared" si="199"/>
        <v>445.77777777777789</v>
      </c>
      <c r="E1600">
        <f t="shared" si="195"/>
        <v>0</v>
      </c>
      <c r="G1600">
        <v>1550</v>
      </c>
      <c r="H1600" s="13">
        <f t="shared" si="200"/>
        <v>1.8572577375266519E-2</v>
      </c>
      <c r="I1600">
        <f t="shared" si="201"/>
        <v>133.29365920461365</v>
      </c>
      <c r="J1600">
        <f t="shared" si="196"/>
        <v>480.77094793697643</v>
      </c>
      <c r="K1600" s="27">
        <f t="shared" si="197"/>
        <v>4293.0058490474266</v>
      </c>
    </row>
    <row r="1601" spans="1:11" x14ac:dyDescent="0.25">
      <c r="A1601" s="26">
        <v>1551</v>
      </c>
      <c r="B1601" s="82">
        <f t="shared" si="198"/>
        <v>0</v>
      </c>
      <c r="C1601" s="58">
        <f t="shared" si="194"/>
        <v>104.50616427295054</v>
      </c>
      <c r="D1601" s="83">
        <f t="shared" si="199"/>
        <v>445.77777777777789</v>
      </c>
      <c r="E1601">
        <f t="shared" si="195"/>
        <v>0</v>
      </c>
      <c r="G1601">
        <v>1551</v>
      </c>
      <c r="H1601" s="13">
        <f t="shared" si="200"/>
        <v>1.8572577375266519E-2</v>
      </c>
      <c r="I1601">
        <f t="shared" si="201"/>
        <v>133.31223178198891</v>
      </c>
      <c r="J1601">
        <f t="shared" si="196"/>
        <v>480.78519688956806</v>
      </c>
      <c r="K1601" s="27">
        <f t="shared" si="197"/>
        <v>4293.2602573470804</v>
      </c>
    </row>
    <row r="1602" spans="1:11" x14ac:dyDescent="0.25">
      <c r="A1602" s="26">
        <v>1552</v>
      </c>
      <c r="B1602" s="82">
        <f t="shared" si="198"/>
        <v>0</v>
      </c>
      <c r="C1602" s="58">
        <f t="shared" si="194"/>
        <v>104.50616427295054</v>
      </c>
      <c r="D1602" s="83">
        <f t="shared" si="199"/>
        <v>445.77777777777789</v>
      </c>
      <c r="E1602">
        <f t="shared" si="195"/>
        <v>0</v>
      </c>
      <c r="G1602">
        <v>1552</v>
      </c>
      <c r="H1602" s="13">
        <f t="shared" si="200"/>
        <v>1.8572577375266519E-2</v>
      </c>
      <c r="I1602">
        <f t="shared" si="201"/>
        <v>133.33080435936418</v>
      </c>
      <c r="J1602">
        <f t="shared" si="196"/>
        <v>480.79943895802501</v>
      </c>
      <c r="K1602" s="27">
        <f t="shared" si="197"/>
        <v>4293.514550269635</v>
      </c>
    </row>
    <row r="1603" spans="1:11" x14ac:dyDescent="0.25">
      <c r="A1603" s="26">
        <v>1553</v>
      </c>
      <c r="B1603" s="82">
        <f t="shared" si="198"/>
        <v>0</v>
      </c>
      <c r="C1603" s="58">
        <f t="shared" si="194"/>
        <v>104.50616427295054</v>
      </c>
      <c r="D1603" s="83">
        <f t="shared" si="199"/>
        <v>445.77777777777789</v>
      </c>
      <c r="E1603">
        <f t="shared" si="195"/>
        <v>0</v>
      </c>
      <c r="G1603">
        <v>1553</v>
      </c>
      <c r="H1603" s="13">
        <f t="shared" si="200"/>
        <v>1.8572577375266519E-2</v>
      </c>
      <c r="I1603">
        <f t="shared" si="201"/>
        <v>133.34937693673945</v>
      </c>
      <c r="J1603">
        <f t="shared" si="196"/>
        <v>480.81367414604188</v>
      </c>
      <c r="K1603" s="27">
        <f t="shared" si="197"/>
        <v>4293.7687278701169</v>
      </c>
    </row>
    <row r="1604" spans="1:11" x14ac:dyDescent="0.25">
      <c r="A1604" s="26">
        <v>1554</v>
      </c>
      <c r="B1604" s="82">
        <f t="shared" si="198"/>
        <v>0</v>
      </c>
      <c r="C1604" s="58">
        <f t="shared" si="194"/>
        <v>104.50616427295054</v>
      </c>
      <c r="D1604" s="83">
        <f t="shared" si="199"/>
        <v>445.77777777777789</v>
      </c>
      <c r="E1604">
        <f t="shared" si="195"/>
        <v>0</v>
      </c>
      <c r="G1604">
        <v>1554</v>
      </c>
      <c r="H1604" s="13">
        <f t="shared" si="200"/>
        <v>1.8572577375266519E-2</v>
      </c>
      <c r="I1604">
        <f t="shared" si="201"/>
        <v>133.36794951411471</v>
      </c>
      <c r="J1604">
        <f t="shared" si="196"/>
        <v>480.8279024573086</v>
      </c>
      <c r="K1604" s="27">
        <f t="shared" si="197"/>
        <v>4294.022790203484</v>
      </c>
    </row>
    <row r="1605" spans="1:11" x14ac:dyDescent="0.25">
      <c r="A1605" s="26">
        <v>1555</v>
      </c>
      <c r="B1605" s="82">
        <f t="shared" si="198"/>
        <v>0</v>
      </c>
      <c r="C1605" s="58">
        <f t="shared" si="194"/>
        <v>104.50616427295054</v>
      </c>
      <c r="D1605" s="83">
        <f t="shared" si="199"/>
        <v>445.77777777777789</v>
      </c>
      <c r="E1605">
        <f t="shared" si="195"/>
        <v>0</v>
      </c>
      <c r="G1605">
        <v>1555</v>
      </c>
      <c r="H1605" s="13">
        <f t="shared" si="200"/>
        <v>1.8572577375266519E-2</v>
      </c>
      <c r="I1605">
        <f t="shared" si="201"/>
        <v>133.38652209148998</v>
      </c>
      <c r="J1605">
        <f t="shared" si="196"/>
        <v>480.84212389551089</v>
      </c>
      <c r="K1605" s="27">
        <f t="shared" si="197"/>
        <v>4294.2767373246288</v>
      </c>
    </row>
    <row r="1606" spans="1:11" x14ac:dyDescent="0.25">
      <c r="A1606" s="26">
        <v>1556</v>
      </c>
      <c r="B1606" s="82">
        <f t="shared" si="198"/>
        <v>0</v>
      </c>
      <c r="C1606" s="58">
        <f t="shared" si="194"/>
        <v>104.50616427295054</v>
      </c>
      <c r="D1606" s="83">
        <f t="shared" si="199"/>
        <v>445.77777777777789</v>
      </c>
      <c r="E1606">
        <f t="shared" si="195"/>
        <v>0</v>
      </c>
      <c r="G1606">
        <v>1556</v>
      </c>
      <c r="H1606" s="13">
        <f t="shared" si="200"/>
        <v>1.8572577375266519E-2</v>
      </c>
      <c r="I1606">
        <f t="shared" si="201"/>
        <v>133.40509466886525</v>
      </c>
      <c r="J1606">
        <f t="shared" si="196"/>
        <v>480.85633846433007</v>
      </c>
      <c r="K1606" s="27">
        <f t="shared" si="197"/>
        <v>4294.5305692883812</v>
      </c>
    </row>
    <row r="1607" spans="1:11" x14ac:dyDescent="0.25">
      <c r="A1607" s="26">
        <v>1557</v>
      </c>
      <c r="B1607" s="82">
        <f t="shared" si="198"/>
        <v>0</v>
      </c>
      <c r="C1607" s="58">
        <f t="shared" si="194"/>
        <v>104.50616427295054</v>
      </c>
      <c r="D1607" s="83">
        <f t="shared" si="199"/>
        <v>445.77777777777789</v>
      </c>
      <c r="E1607">
        <f t="shared" si="195"/>
        <v>0</v>
      </c>
      <c r="G1607">
        <v>1557</v>
      </c>
      <c r="H1607" s="13">
        <f t="shared" si="200"/>
        <v>1.8572577375266519E-2</v>
      </c>
      <c r="I1607">
        <f t="shared" si="201"/>
        <v>133.42366724624051</v>
      </c>
      <c r="J1607">
        <f t="shared" si="196"/>
        <v>480.87054616744285</v>
      </c>
      <c r="K1607" s="27">
        <f t="shared" si="197"/>
        <v>4294.7842861495001</v>
      </c>
    </row>
    <row r="1608" spans="1:11" x14ac:dyDescent="0.25">
      <c r="A1608" s="26">
        <v>1558</v>
      </c>
      <c r="B1608" s="82">
        <f t="shared" si="198"/>
        <v>0</v>
      </c>
      <c r="C1608" s="58">
        <f t="shared" si="194"/>
        <v>104.50616427295054</v>
      </c>
      <c r="D1608" s="83">
        <f t="shared" si="199"/>
        <v>445.77777777777789</v>
      </c>
      <c r="E1608">
        <f t="shared" si="195"/>
        <v>0</v>
      </c>
      <c r="G1608">
        <v>1558</v>
      </c>
      <c r="H1608" s="13">
        <f t="shared" si="200"/>
        <v>1.8572577375266519E-2</v>
      </c>
      <c r="I1608">
        <f t="shared" si="201"/>
        <v>133.44223982361578</v>
      </c>
      <c r="J1608">
        <f t="shared" si="196"/>
        <v>480.88474700852174</v>
      </c>
      <c r="K1608" s="27">
        <f t="shared" si="197"/>
        <v>4295.0378879626833</v>
      </c>
    </row>
    <row r="1609" spans="1:11" x14ac:dyDescent="0.25">
      <c r="A1609" s="26">
        <v>1559</v>
      </c>
      <c r="B1609" s="82">
        <f t="shared" si="198"/>
        <v>0</v>
      </c>
      <c r="C1609" s="58">
        <f t="shared" si="194"/>
        <v>104.50616427295054</v>
      </c>
      <c r="D1609" s="83">
        <f t="shared" si="199"/>
        <v>445.77777777777789</v>
      </c>
      <c r="E1609">
        <f t="shared" si="195"/>
        <v>0</v>
      </c>
      <c r="G1609">
        <v>1559</v>
      </c>
      <c r="H1609" s="13">
        <f t="shared" si="200"/>
        <v>1.8572577375266519E-2</v>
      </c>
      <c r="I1609">
        <f t="shared" si="201"/>
        <v>133.46081240099105</v>
      </c>
      <c r="J1609">
        <f t="shared" si="196"/>
        <v>480.89894099123484</v>
      </c>
      <c r="K1609" s="27">
        <f t="shared" si="197"/>
        <v>4295.2913747825623</v>
      </c>
    </row>
    <row r="1610" spans="1:11" x14ac:dyDescent="0.25">
      <c r="A1610" s="26">
        <v>1560</v>
      </c>
      <c r="B1610" s="82">
        <f t="shared" si="198"/>
        <v>0</v>
      </c>
      <c r="C1610" s="58">
        <f t="shared" si="194"/>
        <v>104.50616427295054</v>
      </c>
      <c r="D1610" s="83">
        <f t="shared" si="199"/>
        <v>445.77777777777789</v>
      </c>
      <c r="E1610">
        <f t="shared" si="195"/>
        <v>0</v>
      </c>
      <c r="G1610">
        <v>1560</v>
      </c>
      <c r="H1610" s="13">
        <f t="shared" si="200"/>
        <v>1.8572577375266519E-2</v>
      </c>
      <c r="I1610">
        <f t="shared" si="201"/>
        <v>133.47938497836631</v>
      </c>
      <c r="J1610">
        <f t="shared" si="196"/>
        <v>480.91312811924575</v>
      </c>
      <c r="K1610" s="27">
        <f t="shared" si="197"/>
        <v>4295.5447466637024</v>
      </c>
    </row>
    <row r="1611" spans="1:11" x14ac:dyDescent="0.25">
      <c r="A1611" s="26">
        <v>1561</v>
      </c>
      <c r="B1611" s="82">
        <f t="shared" si="198"/>
        <v>0</v>
      </c>
      <c r="C1611" s="58">
        <f t="shared" si="194"/>
        <v>104.50616427295054</v>
      </c>
      <c r="D1611" s="83">
        <f t="shared" si="199"/>
        <v>445.77777777777789</v>
      </c>
      <c r="E1611">
        <f t="shared" si="195"/>
        <v>0</v>
      </c>
      <c r="G1611">
        <v>1561</v>
      </c>
      <c r="H1611" s="13">
        <f t="shared" si="200"/>
        <v>1.8572577375266519E-2</v>
      </c>
      <c r="I1611">
        <f t="shared" si="201"/>
        <v>133.49795755574158</v>
      </c>
      <c r="J1611">
        <f t="shared" si="196"/>
        <v>480.92730839621379</v>
      </c>
      <c r="K1611" s="27">
        <f t="shared" si="197"/>
        <v>4295.7980036606032</v>
      </c>
    </row>
    <row r="1612" spans="1:11" x14ac:dyDescent="0.25">
      <c r="A1612" s="26">
        <v>1562</v>
      </c>
      <c r="B1612" s="82">
        <f t="shared" si="198"/>
        <v>0</v>
      </c>
      <c r="C1612" s="58">
        <f t="shared" si="194"/>
        <v>104.50616427295054</v>
      </c>
      <c r="D1612" s="83">
        <f t="shared" si="199"/>
        <v>445.77777777777789</v>
      </c>
      <c r="E1612">
        <f t="shared" si="195"/>
        <v>0</v>
      </c>
      <c r="G1612">
        <v>1562</v>
      </c>
      <c r="H1612" s="13">
        <f t="shared" si="200"/>
        <v>1.8572577375266519E-2</v>
      </c>
      <c r="I1612">
        <f t="shared" si="201"/>
        <v>133.51653013311685</v>
      </c>
      <c r="J1612">
        <f t="shared" si="196"/>
        <v>480.94148182579386</v>
      </c>
      <c r="K1612" s="27">
        <f t="shared" si="197"/>
        <v>4296.0511458277015</v>
      </c>
    </row>
    <row r="1613" spans="1:11" x14ac:dyDescent="0.25">
      <c r="A1613" s="26">
        <v>1563</v>
      </c>
      <c r="B1613" s="82">
        <f t="shared" si="198"/>
        <v>0</v>
      </c>
      <c r="C1613" s="58">
        <f t="shared" si="194"/>
        <v>104.50616427295054</v>
      </c>
      <c r="D1613" s="83">
        <f t="shared" si="199"/>
        <v>445.77777777777789</v>
      </c>
      <c r="E1613">
        <f t="shared" si="195"/>
        <v>0</v>
      </c>
      <c r="G1613">
        <v>1563</v>
      </c>
      <c r="H1613" s="13">
        <f t="shared" si="200"/>
        <v>1.8572577375266519E-2</v>
      </c>
      <c r="I1613">
        <f t="shared" si="201"/>
        <v>133.53510271049211</v>
      </c>
      <c r="J1613">
        <f t="shared" si="196"/>
        <v>480.95564841163656</v>
      </c>
      <c r="K1613" s="27">
        <f t="shared" si="197"/>
        <v>4296.3041732193678</v>
      </c>
    </row>
    <row r="1614" spans="1:11" x14ac:dyDescent="0.25">
      <c r="A1614" s="26">
        <v>1564</v>
      </c>
      <c r="B1614" s="82">
        <f t="shared" si="198"/>
        <v>0</v>
      </c>
      <c r="C1614" s="58">
        <f t="shared" si="194"/>
        <v>104.50616427295054</v>
      </c>
      <c r="D1614" s="83">
        <f t="shared" si="199"/>
        <v>445.77777777777789</v>
      </c>
      <c r="E1614">
        <f t="shared" si="195"/>
        <v>0</v>
      </c>
      <c r="G1614">
        <v>1564</v>
      </c>
      <c r="H1614" s="13">
        <f t="shared" si="200"/>
        <v>1.8572577375266519E-2</v>
      </c>
      <c r="I1614">
        <f t="shared" si="201"/>
        <v>133.55367528786738</v>
      </c>
      <c r="J1614">
        <f t="shared" si="196"/>
        <v>480.96980815738806</v>
      </c>
      <c r="K1614" s="27">
        <f t="shared" si="197"/>
        <v>4296.5570858899064</v>
      </c>
    </row>
    <row r="1615" spans="1:11" x14ac:dyDescent="0.25">
      <c r="A1615" s="26">
        <v>1565</v>
      </c>
      <c r="B1615" s="82">
        <f t="shared" si="198"/>
        <v>0</v>
      </c>
      <c r="C1615" s="58">
        <f t="shared" si="194"/>
        <v>104.50616427295054</v>
      </c>
      <c r="D1615" s="83">
        <f t="shared" si="199"/>
        <v>445.77777777777789</v>
      </c>
      <c r="E1615">
        <f t="shared" si="195"/>
        <v>0</v>
      </c>
      <c r="G1615">
        <v>1565</v>
      </c>
      <c r="H1615" s="13">
        <f t="shared" si="200"/>
        <v>1.8572577375266519E-2</v>
      </c>
      <c r="I1615">
        <f t="shared" si="201"/>
        <v>133.57224786524264</v>
      </c>
      <c r="J1615">
        <f t="shared" si="196"/>
        <v>480.98396106669026</v>
      </c>
      <c r="K1615" s="27">
        <f t="shared" si="197"/>
        <v>4296.8098838935593</v>
      </c>
    </row>
    <row r="1616" spans="1:11" x14ac:dyDescent="0.25">
      <c r="A1616" s="26">
        <v>1566</v>
      </c>
      <c r="B1616" s="82">
        <f t="shared" si="198"/>
        <v>0</v>
      </c>
      <c r="C1616" s="58">
        <f t="shared" ref="C1616:C1679" si="202">($C$37-$C$36)/2000+C1615</f>
        <v>104.50616427295054</v>
      </c>
      <c r="D1616" s="83">
        <f t="shared" si="199"/>
        <v>445.77777777777789</v>
      </c>
      <c r="E1616">
        <f t="shared" si="195"/>
        <v>0</v>
      </c>
      <c r="G1616">
        <v>1566</v>
      </c>
      <c r="H1616" s="13">
        <f t="shared" si="200"/>
        <v>1.8572577375266519E-2</v>
      </c>
      <c r="I1616">
        <f t="shared" si="201"/>
        <v>133.59082044261791</v>
      </c>
      <c r="J1616">
        <f t="shared" si="196"/>
        <v>480.99810714318062</v>
      </c>
      <c r="K1616" s="27">
        <f t="shared" si="197"/>
        <v>4297.0625672845035</v>
      </c>
    </row>
    <row r="1617" spans="1:11" x14ac:dyDescent="0.25">
      <c r="A1617" s="26">
        <v>1567</v>
      </c>
      <c r="B1617" s="82">
        <f t="shared" si="198"/>
        <v>0</v>
      </c>
      <c r="C1617" s="58">
        <f t="shared" si="202"/>
        <v>104.50616427295054</v>
      </c>
      <c r="D1617" s="83">
        <f t="shared" si="199"/>
        <v>445.77777777777789</v>
      </c>
      <c r="E1617">
        <f t="shared" si="195"/>
        <v>0</v>
      </c>
      <c r="G1617">
        <v>1567</v>
      </c>
      <c r="H1617" s="13">
        <f t="shared" si="200"/>
        <v>1.8572577375266519E-2</v>
      </c>
      <c r="I1617">
        <f t="shared" si="201"/>
        <v>133.60939301999318</v>
      </c>
      <c r="J1617">
        <f t="shared" si="196"/>
        <v>481.01224639049241</v>
      </c>
      <c r="K1617" s="27">
        <f t="shared" si="197"/>
        <v>4297.3151361168502</v>
      </c>
    </row>
    <row r="1618" spans="1:11" x14ac:dyDescent="0.25">
      <c r="A1618" s="26">
        <v>1568</v>
      </c>
      <c r="B1618" s="82">
        <f t="shared" si="198"/>
        <v>0</v>
      </c>
      <c r="C1618" s="58">
        <f t="shared" si="202"/>
        <v>104.50616427295054</v>
      </c>
      <c r="D1618" s="83">
        <f t="shared" si="199"/>
        <v>445.77777777777789</v>
      </c>
      <c r="E1618">
        <f t="shared" si="195"/>
        <v>0</v>
      </c>
      <c r="G1618">
        <v>1568</v>
      </c>
      <c r="H1618" s="13">
        <f t="shared" si="200"/>
        <v>1.8572577375266519E-2</v>
      </c>
      <c r="I1618">
        <f t="shared" si="201"/>
        <v>133.62796559736844</v>
      </c>
      <c r="J1618">
        <f t="shared" si="196"/>
        <v>481.02637881225439</v>
      </c>
      <c r="K1618" s="27">
        <f t="shared" si="197"/>
        <v>4297.5675904446462</v>
      </c>
    </row>
    <row r="1619" spans="1:11" x14ac:dyDescent="0.25">
      <c r="A1619" s="26">
        <v>1569</v>
      </c>
      <c r="B1619" s="82">
        <f t="shared" si="198"/>
        <v>0</v>
      </c>
      <c r="C1619" s="58">
        <f t="shared" si="202"/>
        <v>104.50616427295054</v>
      </c>
      <c r="D1619" s="83">
        <f t="shared" si="199"/>
        <v>445.77777777777789</v>
      </c>
      <c r="E1619">
        <f t="shared" si="195"/>
        <v>0</v>
      </c>
      <c r="G1619">
        <v>1569</v>
      </c>
      <c r="H1619" s="13">
        <f t="shared" si="200"/>
        <v>1.8572577375266519E-2</v>
      </c>
      <c r="I1619">
        <f t="shared" si="201"/>
        <v>133.64653817474371</v>
      </c>
      <c r="J1619">
        <f t="shared" si="196"/>
        <v>481.04050441209114</v>
      </c>
      <c r="K1619" s="27">
        <f t="shared" si="197"/>
        <v>4297.8199303218744</v>
      </c>
    </row>
    <row r="1620" spans="1:11" x14ac:dyDescent="0.25">
      <c r="A1620" s="26">
        <v>1570</v>
      </c>
      <c r="B1620" s="82">
        <f t="shared" si="198"/>
        <v>0</v>
      </c>
      <c r="C1620" s="58">
        <f t="shared" si="202"/>
        <v>104.50616427295054</v>
      </c>
      <c r="D1620" s="83">
        <f t="shared" si="199"/>
        <v>445.77777777777789</v>
      </c>
      <c r="E1620">
        <f t="shared" si="195"/>
        <v>0</v>
      </c>
      <c r="G1620">
        <v>1570</v>
      </c>
      <c r="H1620" s="13">
        <f t="shared" si="200"/>
        <v>1.8572577375266519E-2</v>
      </c>
      <c r="I1620">
        <f t="shared" si="201"/>
        <v>133.66511075211898</v>
      </c>
      <c r="J1620">
        <f t="shared" si="196"/>
        <v>481.05462319362289</v>
      </c>
      <c r="K1620" s="27">
        <f t="shared" si="197"/>
        <v>4298.0721558024534</v>
      </c>
    </row>
    <row r="1621" spans="1:11" x14ac:dyDescent="0.25">
      <c r="A1621" s="26">
        <v>1571</v>
      </c>
      <c r="B1621" s="82">
        <f t="shared" si="198"/>
        <v>0</v>
      </c>
      <c r="C1621" s="58">
        <f t="shared" si="202"/>
        <v>104.50616427295054</v>
      </c>
      <c r="D1621" s="83">
        <f t="shared" si="199"/>
        <v>445.77777777777789</v>
      </c>
      <c r="E1621">
        <f t="shared" si="195"/>
        <v>0</v>
      </c>
      <c r="G1621">
        <v>1571</v>
      </c>
      <c r="H1621" s="13">
        <f t="shared" si="200"/>
        <v>1.8572577375266519E-2</v>
      </c>
      <c r="I1621">
        <f t="shared" si="201"/>
        <v>133.68368332949424</v>
      </c>
      <c r="J1621">
        <f t="shared" si="196"/>
        <v>481.06873516046551</v>
      </c>
      <c r="K1621" s="27">
        <f t="shared" si="197"/>
        <v>4298.324266940238</v>
      </c>
    </row>
    <row r="1622" spans="1:11" x14ac:dyDescent="0.25">
      <c r="A1622" s="26">
        <v>1572</v>
      </c>
      <c r="B1622" s="82">
        <f t="shared" si="198"/>
        <v>0</v>
      </c>
      <c r="C1622" s="58">
        <f t="shared" si="202"/>
        <v>104.50616427295054</v>
      </c>
      <c r="D1622" s="83">
        <f t="shared" si="199"/>
        <v>445.77777777777789</v>
      </c>
      <c r="E1622">
        <f t="shared" si="195"/>
        <v>0</v>
      </c>
      <c r="G1622">
        <v>1572</v>
      </c>
      <c r="H1622" s="13">
        <f t="shared" si="200"/>
        <v>1.8572577375266519E-2</v>
      </c>
      <c r="I1622">
        <f t="shared" si="201"/>
        <v>133.70225590686951</v>
      </c>
      <c r="J1622">
        <f t="shared" si="196"/>
        <v>481.08284031623066</v>
      </c>
      <c r="K1622" s="27">
        <f t="shared" si="197"/>
        <v>4298.5762637890193</v>
      </c>
    </row>
    <row r="1623" spans="1:11" x14ac:dyDescent="0.25">
      <c r="A1623" s="26">
        <v>1573</v>
      </c>
      <c r="B1623" s="82">
        <f t="shared" si="198"/>
        <v>0</v>
      </c>
      <c r="C1623" s="58">
        <f t="shared" si="202"/>
        <v>104.50616427295054</v>
      </c>
      <c r="D1623" s="83">
        <f t="shared" si="199"/>
        <v>445.77777777777789</v>
      </c>
      <c r="E1623">
        <f t="shared" si="195"/>
        <v>0</v>
      </c>
      <c r="G1623">
        <v>1573</v>
      </c>
      <c r="H1623" s="13">
        <f t="shared" si="200"/>
        <v>1.8572577375266519E-2</v>
      </c>
      <c r="I1623">
        <f t="shared" si="201"/>
        <v>133.72082848424478</v>
      </c>
      <c r="J1623">
        <f t="shared" si="196"/>
        <v>481.09693866452562</v>
      </c>
      <c r="K1623" s="27">
        <f t="shared" si="197"/>
        <v>4298.8281464025249</v>
      </c>
    </row>
    <row r="1624" spans="1:11" x14ac:dyDescent="0.25">
      <c r="A1624" s="26">
        <v>1574</v>
      </c>
      <c r="B1624" s="82">
        <f t="shared" si="198"/>
        <v>0</v>
      </c>
      <c r="C1624" s="58">
        <f t="shared" si="202"/>
        <v>104.50616427295054</v>
      </c>
      <c r="D1624" s="83">
        <f t="shared" si="199"/>
        <v>445.77777777777789</v>
      </c>
      <c r="E1624">
        <f t="shared" si="195"/>
        <v>0</v>
      </c>
      <c r="G1624">
        <v>1574</v>
      </c>
      <c r="H1624" s="13">
        <f t="shared" si="200"/>
        <v>1.8572577375266519E-2</v>
      </c>
      <c r="I1624">
        <f t="shared" si="201"/>
        <v>133.73940106162004</v>
      </c>
      <c r="J1624">
        <f t="shared" si="196"/>
        <v>481.11103020895348</v>
      </c>
      <c r="K1624" s="27">
        <f t="shared" si="197"/>
        <v>4299.0799148344149</v>
      </c>
    </row>
    <row r="1625" spans="1:11" x14ac:dyDescent="0.25">
      <c r="A1625" s="26">
        <v>1575</v>
      </c>
      <c r="B1625" s="82">
        <f t="shared" si="198"/>
        <v>0</v>
      </c>
      <c r="C1625" s="58">
        <f t="shared" si="202"/>
        <v>104.50616427295054</v>
      </c>
      <c r="D1625" s="83">
        <f t="shared" si="199"/>
        <v>445.77777777777789</v>
      </c>
      <c r="E1625">
        <f t="shared" si="195"/>
        <v>0</v>
      </c>
      <c r="G1625">
        <v>1575</v>
      </c>
      <c r="H1625" s="13">
        <f t="shared" si="200"/>
        <v>1.8572577375266519E-2</v>
      </c>
      <c r="I1625">
        <f t="shared" si="201"/>
        <v>133.75797363899531</v>
      </c>
      <c r="J1625">
        <f t="shared" si="196"/>
        <v>481.12511495311293</v>
      </c>
      <c r="K1625" s="27">
        <f t="shared" si="197"/>
        <v>4299.3315691382913</v>
      </c>
    </row>
    <row r="1626" spans="1:11" x14ac:dyDescent="0.25">
      <c r="A1626" s="26">
        <v>1576</v>
      </c>
      <c r="B1626" s="82">
        <f t="shared" si="198"/>
        <v>0</v>
      </c>
      <c r="C1626" s="58">
        <f t="shared" si="202"/>
        <v>104.50616427295054</v>
      </c>
      <c r="D1626" s="83">
        <f t="shared" si="199"/>
        <v>445.77777777777789</v>
      </c>
      <c r="E1626">
        <f t="shared" si="195"/>
        <v>0</v>
      </c>
      <c r="G1626">
        <v>1576</v>
      </c>
      <c r="H1626" s="13">
        <f t="shared" si="200"/>
        <v>1.8572577375266519E-2</v>
      </c>
      <c r="I1626">
        <f t="shared" si="201"/>
        <v>133.77654621637058</v>
      </c>
      <c r="J1626">
        <f t="shared" si="196"/>
        <v>481.13919290059852</v>
      </c>
      <c r="K1626" s="27">
        <f t="shared" si="197"/>
        <v>4299.583109367687</v>
      </c>
    </row>
    <row r="1627" spans="1:11" x14ac:dyDescent="0.25">
      <c r="A1627" s="26">
        <v>1577</v>
      </c>
      <c r="B1627" s="82">
        <f t="shared" si="198"/>
        <v>0</v>
      </c>
      <c r="C1627" s="58">
        <f t="shared" si="202"/>
        <v>104.50616427295054</v>
      </c>
      <c r="D1627" s="83">
        <f t="shared" si="199"/>
        <v>445.77777777777789</v>
      </c>
      <c r="E1627">
        <f t="shared" si="195"/>
        <v>0</v>
      </c>
      <c r="G1627">
        <v>1577</v>
      </c>
      <c r="H1627" s="13">
        <f t="shared" si="200"/>
        <v>1.8572577375266519E-2</v>
      </c>
      <c r="I1627">
        <f t="shared" si="201"/>
        <v>133.79511879374584</v>
      </c>
      <c r="J1627">
        <f t="shared" si="196"/>
        <v>481.15326405500042</v>
      </c>
      <c r="K1627" s="27">
        <f t="shared" si="197"/>
        <v>4299.8345355760766</v>
      </c>
    </row>
    <row r="1628" spans="1:11" x14ac:dyDescent="0.25">
      <c r="A1628" s="26">
        <v>1578</v>
      </c>
      <c r="B1628" s="82">
        <f t="shared" si="198"/>
        <v>0</v>
      </c>
      <c r="C1628" s="58">
        <f t="shared" si="202"/>
        <v>104.50616427295054</v>
      </c>
      <c r="D1628" s="83">
        <f t="shared" si="199"/>
        <v>445.77777777777789</v>
      </c>
      <c r="E1628">
        <f t="shared" si="195"/>
        <v>0</v>
      </c>
      <c r="G1628">
        <v>1578</v>
      </c>
      <c r="H1628" s="13">
        <f t="shared" si="200"/>
        <v>1.8572577375266519E-2</v>
      </c>
      <c r="I1628">
        <f t="shared" si="201"/>
        <v>133.81369137112111</v>
      </c>
      <c r="J1628">
        <f t="shared" si="196"/>
        <v>481.16732841990461</v>
      </c>
      <c r="K1628" s="27">
        <f t="shared" si="197"/>
        <v>4300.0858478168666</v>
      </c>
    </row>
    <row r="1629" spans="1:11" x14ac:dyDescent="0.25">
      <c r="A1629" s="26">
        <v>1579</v>
      </c>
      <c r="B1629" s="82">
        <f t="shared" si="198"/>
        <v>0</v>
      </c>
      <c r="C1629" s="58">
        <f t="shared" si="202"/>
        <v>104.50616427295054</v>
      </c>
      <c r="D1629" s="83">
        <f t="shared" si="199"/>
        <v>445.77777777777789</v>
      </c>
      <c r="E1629">
        <f t="shared" si="195"/>
        <v>0</v>
      </c>
      <c r="G1629">
        <v>1579</v>
      </c>
      <c r="H1629" s="13">
        <f t="shared" si="200"/>
        <v>1.8572577375266519E-2</v>
      </c>
      <c r="I1629">
        <f t="shared" si="201"/>
        <v>133.83226394849638</v>
      </c>
      <c r="J1629">
        <f t="shared" si="196"/>
        <v>481.18138599889278</v>
      </c>
      <c r="K1629" s="27">
        <f t="shared" si="197"/>
        <v>4300.3370461434024</v>
      </c>
    </row>
    <row r="1630" spans="1:11" x14ac:dyDescent="0.25">
      <c r="A1630" s="26">
        <v>1580</v>
      </c>
      <c r="B1630" s="82">
        <f t="shared" si="198"/>
        <v>0</v>
      </c>
      <c r="C1630" s="58">
        <f t="shared" si="202"/>
        <v>104.50616427295054</v>
      </c>
      <c r="D1630" s="83">
        <f t="shared" si="199"/>
        <v>445.77777777777789</v>
      </c>
      <c r="E1630">
        <f t="shared" si="195"/>
        <v>0</v>
      </c>
      <c r="G1630">
        <v>1580</v>
      </c>
      <c r="H1630" s="13">
        <f t="shared" si="200"/>
        <v>1.8572577375266519E-2</v>
      </c>
      <c r="I1630">
        <f t="shared" si="201"/>
        <v>133.85083652587164</v>
      </c>
      <c r="J1630">
        <f t="shared" si="196"/>
        <v>481.19543679554243</v>
      </c>
      <c r="K1630" s="27">
        <f t="shared" si="197"/>
        <v>4300.5881306089677</v>
      </c>
    </row>
    <row r="1631" spans="1:11" x14ac:dyDescent="0.25">
      <c r="A1631" s="26">
        <v>1581</v>
      </c>
      <c r="B1631" s="82">
        <f t="shared" si="198"/>
        <v>0</v>
      </c>
      <c r="C1631" s="58">
        <f t="shared" si="202"/>
        <v>104.50616427295054</v>
      </c>
      <c r="D1631" s="83">
        <f t="shared" si="199"/>
        <v>445.77777777777789</v>
      </c>
      <c r="E1631">
        <f t="shared" si="195"/>
        <v>0</v>
      </c>
      <c r="G1631">
        <v>1581</v>
      </c>
      <c r="H1631" s="13">
        <f t="shared" si="200"/>
        <v>1.8572577375266519E-2</v>
      </c>
      <c r="I1631">
        <f t="shared" si="201"/>
        <v>133.86940910324691</v>
      </c>
      <c r="J1631">
        <f t="shared" si="196"/>
        <v>481.20948081342675</v>
      </c>
      <c r="K1631" s="27">
        <f t="shared" si="197"/>
        <v>4300.8391012667798</v>
      </c>
    </row>
    <row r="1632" spans="1:11" x14ac:dyDescent="0.25">
      <c r="A1632" s="26">
        <v>1582</v>
      </c>
      <c r="B1632" s="82">
        <f t="shared" si="198"/>
        <v>0</v>
      </c>
      <c r="C1632" s="58">
        <f t="shared" si="202"/>
        <v>104.50616427295054</v>
      </c>
      <c r="D1632" s="83">
        <f t="shared" si="199"/>
        <v>445.77777777777789</v>
      </c>
      <c r="E1632">
        <f t="shared" si="195"/>
        <v>0</v>
      </c>
      <c r="G1632">
        <v>1582</v>
      </c>
      <c r="H1632" s="13">
        <f t="shared" si="200"/>
        <v>1.8572577375266519E-2</v>
      </c>
      <c r="I1632">
        <f t="shared" si="201"/>
        <v>133.88798168062218</v>
      </c>
      <c r="J1632">
        <f t="shared" si="196"/>
        <v>481.22351805611476</v>
      </c>
      <c r="K1632" s="27">
        <f t="shared" si="197"/>
        <v>4301.089958169995</v>
      </c>
    </row>
    <row r="1633" spans="1:11" x14ac:dyDescent="0.25">
      <c r="A1633" s="26">
        <v>1583</v>
      </c>
      <c r="B1633" s="82">
        <f t="shared" si="198"/>
        <v>0</v>
      </c>
      <c r="C1633" s="58">
        <f t="shared" si="202"/>
        <v>104.50616427295054</v>
      </c>
      <c r="D1633" s="83">
        <f t="shared" si="199"/>
        <v>445.77777777777789</v>
      </c>
      <c r="E1633">
        <f t="shared" si="195"/>
        <v>0</v>
      </c>
      <c r="G1633">
        <v>1583</v>
      </c>
      <c r="H1633" s="13">
        <f t="shared" si="200"/>
        <v>1.8572577375266519E-2</v>
      </c>
      <c r="I1633">
        <f t="shared" si="201"/>
        <v>133.90655425799744</v>
      </c>
      <c r="J1633">
        <f t="shared" si="196"/>
        <v>481.23754852717116</v>
      </c>
      <c r="K1633" s="27">
        <f t="shared" si="197"/>
        <v>4301.3407013717069</v>
      </c>
    </row>
    <row r="1634" spans="1:11" x14ac:dyDescent="0.25">
      <c r="A1634" s="26">
        <v>1584</v>
      </c>
      <c r="B1634" s="82">
        <f t="shared" si="198"/>
        <v>0</v>
      </c>
      <c r="C1634" s="58">
        <f t="shared" si="202"/>
        <v>104.50616427295054</v>
      </c>
      <c r="D1634" s="83">
        <f t="shared" si="199"/>
        <v>445.77777777777789</v>
      </c>
      <c r="E1634">
        <f t="shared" si="195"/>
        <v>0</v>
      </c>
      <c r="G1634">
        <v>1584</v>
      </c>
      <c r="H1634" s="13">
        <f t="shared" si="200"/>
        <v>1.8572577375266519E-2</v>
      </c>
      <c r="I1634">
        <f t="shared" si="201"/>
        <v>133.92512683537271</v>
      </c>
      <c r="J1634">
        <f t="shared" si="196"/>
        <v>481.25157223015663</v>
      </c>
      <c r="K1634" s="27">
        <f t="shared" si="197"/>
        <v>4301.5913309249454</v>
      </c>
    </row>
    <row r="1635" spans="1:11" x14ac:dyDescent="0.25">
      <c r="A1635" s="26">
        <v>1585</v>
      </c>
      <c r="B1635" s="82">
        <f t="shared" si="198"/>
        <v>0</v>
      </c>
      <c r="C1635" s="58">
        <f t="shared" si="202"/>
        <v>104.50616427295054</v>
      </c>
      <c r="D1635" s="83">
        <f t="shared" si="199"/>
        <v>445.77777777777789</v>
      </c>
      <c r="E1635">
        <f t="shared" si="195"/>
        <v>0</v>
      </c>
      <c r="G1635">
        <v>1585</v>
      </c>
      <c r="H1635" s="13">
        <f t="shared" si="200"/>
        <v>1.8572577375266519E-2</v>
      </c>
      <c r="I1635">
        <f t="shared" si="201"/>
        <v>133.94369941274797</v>
      </c>
      <c r="J1635">
        <f t="shared" si="196"/>
        <v>481.26558916862734</v>
      </c>
      <c r="K1635" s="27">
        <f t="shared" si="197"/>
        <v>4301.8418468826767</v>
      </c>
    </row>
    <row r="1636" spans="1:11" x14ac:dyDescent="0.25">
      <c r="A1636" s="26">
        <v>1586</v>
      </c>
      <c r="B1636" s="82">
        <f t="shared" si="198"/>
        <v>0</v>
      </c>
      <c r="C1636" s="58">
        <f t="shared" si="202"/>
        <v>104.50616427295054</v>
      </c>
      <c r="D1636" s="83">
        <f t="shared" si="199"/>
        <v>445.77777777777789</v>
      </c>
      <c r="E1636">
        <f t="shared" si="195"/>
        <v>0</v>
      </c>
      <c r="G1636">
        <v>1586</v>
      </c>
      <c r="H1636" s="13">
        <f t="shared" si="200"/>
        <v>1.8572577375266519E-2</v>
      </c>
      <c r="I1636">
        <f t="shared" si="201"/>
        <v>133.96227199012324</v>
      </c>
      <c r="J1636">
        <f t="shared" si="196"/>
        <v>481.27959934613557</v>
      </c>
      <c r="K1636" s="27">
        <f t="shared" si="197"/>
        <v>4302.092249297807</v>
      </c>
    </row>
    <row r="1637" spans="1:11" x14ac:dyDescent="0.25">
      <c r="A1637" s="26">
        <v>1587</v>
      </c>
      <c r="B1637" s="82">
        <f t="shared" si="198"/>
        <v>0</v>
      </c>
      <c r="C1637" s="58">
        <f t="shared" si="202"/>
        <v>104.50616427295054</v>
      </c>
      <c r="D1637" s="83">
        <f t="shared" si="199"/>
        <v>445.77777777777789</v>
      </c>
      <c r="E1637">
        <f t="shared" si="195"/>
        <v>0</v>
      </c>
      <c r="G1637">
        <v>1587</v>
      </c>
      <c r="H1637" s="13">
        <f t="shared" si="200"/>
        <v>1.8572577375266519E-2</v>
      </c>
      <c r="I1637">
        <f t="shared" si="201"/>
        <v>133.98084456749851</v>
      </c>
      <c r="J1637">
        <f t="shared" si="196"/>
        <v>481.29360276622913</v>
      </c>
      <c r="K1637" s="27">
        <f t="shared" si="197"/>
        <v>4302.342538223179</v>
      </c>
    </row>
    <row r="1638" spans="1:11" x14ac:dyDescent="0.25">
      <c r="A1638" s="26">
        <v>1588</v>
      </c>
      <c r="B1638" s="82">
        <f t="shared" si="198"/>
        <v>0</v>
      </c>
      <c r="C1638" s="58">
        <f t="shared" si="202"/>
        <v>104.50616427295054</v>
      </c>
      <c r="D1638" s="83">
        <f t="shared" si="199"/>
        <v>445.77777777777789</v>
      </c>
      <c r="E1638">
        <f t="shared" si="195"/>
        <v>0</v>
      </c>
      <c r="G1638">
        <v>1588</v>
      </c>
      <c r="H1638" s="13">
        <f t="shared" si="200"/>
        <v>1.8572577375266519E-2</v>
      </c>
      <c r="I1638">
        <f t="shared" si="201"/>
        <v>133.99941714487377</v>
      </c>
      <c r="J1638">
        <f t="shared" si="196"/>
        <v>481.30759943245187</v>
      </c>
      <c r="K1638" s="27">
        <f t="shared" si="197"/>
        <v>4302.5927137115714</v>
      </c>
    </row>
    <row r="1639" spans="1:11" x14ac:dyDescent="0.25">
      <c r="A1639" s="26">
        <v>1589</v>
      </c>
      <c r="B1639" s="82">
        <f t="shared" si="198"/>
        <v>0</v>
      </c>
      <c r="C1639" s="58">
        <f t="shared" si="202"/>
        <v>104.50616427295054</v>
      </c>
      <c r="D1639" s="83">
        <f t="shared" si="199"/>
        <v>445.77777777777789</v>
      </c>
      <c r="E1639">
        <f t="shared" si="195"/>
        <v>0</v>
      </c>
      <c r="G1639">
        <v>1589</v>
      </c>
      <c r="H1639" s="13">
        <f t="shared" si="200"/>
        <v>1.8572577375266519E-2</v>
      </c>
      <c r="I1639">
        <f t="shared" si="201"/>
        <v>134.01798972224904</v>
      </c>
      <c r="J1639">
        <f t="shared" si="196"/>
        <v>481.32158934834325</v>
      </c>
      <c r="K1639" s="27">
        <f t="shared" si="197"/>
        <v>4302.8427758157022</v>
      </c>
    </row>
    <row r="1640" spans="1:11" x14ac:dyDescent="0.25">
      <c r="A1640" s="26">
        <v>1590</v>
      </c>
      <c r="B1640" s="82">
        <f t="shared" si="198"/>
        <v>0</v>
      </c>
      <c r="C1640" s="58">
        <f t="shared" si="202"/>
        <v>104.50616427295054</v>
      </c>
      <c r="D1640" s="83">
        <f t="shared" si="199"/>
        <v>445.77777777777789</v>
      </c>
      <c r="E1640">
        <f t="shared" si="195"/>
        <v>0</v>
      </c>
      <c r="G1640">
        <v>1590</v>
      </c>
      <c r="H1640" s="13">
        <f t="shared" si="200"/>
        <v>1.8572577375266519E-2</v>
      </c>
      <c r="I1640">
        <f t="shared" si="201"/>
        <v>134.03656229962431</v>
      </c>
      <c r="J1640">
        <f t="shared" si="196"/>
        <v>481.33557251743878</v>
      </c>
      <c r="K1640" s="27">
        <f t="shared" si="197"/>
        <v>4303.0927245882285</v>
      </c>
    </row>
    <row r="1641" spans="1:11" x14ac:dyDescent="0.25">
      <c r="A1641" s="26">
        <v>1591</v>
      </c>
      <c r="B1641" s="82">
        <f t="shared" si="198"/>
        <v>0</v>
      </c>
      <c r="C1641" s="58">
        <f t="shared" si="202"/>
        <v>104.50616427295054</v>
      </c>
      <c r="D1641" s="83">
        <f t="shared" si="199"/>
        <v>445.77777777777789</v>
      </c>
      <c r="E1641">
        <f t="shared" si="195"/>
        <v>0</v>
      </c>
      <c r="G1641">
        <v>1591</v>
      </c>
      <c r="H1641" s="13">
        <f t="shared" si="200"/>
        <v>1.8572577375266519E-2</v>
      </c>
      <c r="I1641">
        <f t="shared" si="201"/>
        <v>134.05513487699957</v>
      </c>
      <c r="J1641">
        <f t="shared" si="196"/>
        <v>481.34954894326955</v>
      </c>
      <c r="K1641" s="27">
        <f t="shared" si="197"/>
        <v>4303.34256008174</v>
      </c>
    </row>
    <row r="1642" spans="1:11" x14ac:dyDescent="0.25">
      <c r="A1642" s="26">
        <v>1592</v>
      </c>
      <c r="B1642" s="82">
        <f t="shared" si="198"/>
        <v>0</v>
      </c>
      <c r="C1642" s="58">
        <f t="shared" si="202"/>
        <v>104.50616427295054</v>
      </c>
      <c r="D1642" s="83">
        <f t="shared" si="199"/>
        <v>445.77777777777789</v>
      </c>
      <c r="E1642">
        <f t="shared" si="195"/>
        <v>0</v>
      </c>
      <c r="G1642">
        <v>1592</v>
      </c>
      <c r="H1642" s="13">
        <f t="shared" si="200"/>
        <v>1.8572577375266519E-2</v>
      </c>
      <c r="I1642">
        <f t="shared" si="201"/>
        <v>134.07370745437484</v>
      </c>
      <c r="J1642">
        <f t="shared" si="196"/>
        <v>481.3635186293626</v>
      </c>
      <c r="K1642" s="27">
        <f t="shared" si="197"/>
        <v>4303.5922823487708</v>
      </c>
    </row>
    <row r="1643" spans="1:11" x14ac:dyDescent="0.25">
      <c r="A1643" s="26">
        <v>1593</v>
      </c>
      <c r="B1643" s="82">
        <f t="shared" si="198"/>
        <v>0</v>
      </c>
      <c r="C1643" s="58">
        <f t="shared" si="202"/>
        <v>104.50616427295054</v>
      </c>
      <c r="D1643" s="83">
        <f t="shared" si="199"/>
        <v>445.77777777777789</v>
      </c>
      <c r="E1643">
        <f t="shared" si="195"/>
        <v>0</v>
      </c>
      <c r="G1643">
        <v>1593</v>
      </c>
      <c r="H1643" s="13">
        <f t="shared" si="200"/>
        <v>1.8572577375266519E-2</v>
      </c>
      <c r="I1643">
        <f t="shared" si="201"/>
        <v>134.09228003175011</v>
      </c>
      <c r="J1643">
        <f t="shared" si="196"/>
        <v>481.37748157924091</v>
      </c>
      <c r="K1643" s="27">
        <f t="shared" si="197"/>
        <v>4303.8418914417898</v>
      </c>
    </row>
    <row r="1644" spans="1:11" x14ac:dyDescent="0.25">
      <c r="A1644" s="26">
        <v>1594</v>
      </c>
      <c r="B1644" s="82">
        <f t="shared" si="198"/>
        <v>0</v>
      </c>
      <c r="C1644" s="58">
        <f t="shared" si="202"/>
        <v>104.50616427295054</v>
      </c>
      <c r="D1644" s="83">
        <f t="shared" si="199"/>
        <v>445.77777777777789</v>
      </c>
      <c r="E1644">
        <f t="shared" si="195"/>
        <v>0</v>
      </c>
      <c r="G1644">
        <v>1594</v>
      </c>
      <c r="H1644" s="13">
        <f t="shared" si="200"/>
        <v>1.8572577375266519E-2</v>
      </c>
      <c r="I1644">
        <f t="shared" si="201"/>
        <v>134.11085260912537</v>
      </c>
      <c r="J1644">
        <f t="shared" si="196"/>
        <v>481.39143779642319</v>
      </c>
      <c r="K1644" s="27">
        <f t="shared" si="197"/>
        <v>4304.0913874132048</v>
      </c>
    </row>
    <row r="1645" spans="1:11" x14ac:dyDescent="0.25">
      <c r="A1645" s="26">
        <v>1595</v>
      </c>
      <c r="B1645" s="82">
        <f t="shared" si="198"/>
        <v>0</v>
      </c>
      <c r="C1645" s="58">
        <f t="shared" si="202"/>
        <v>104.50616427295054</v>
      </c>
      <c r="D1645" s="83">
        <f t="shared" si="199"/>
        <v>445.77777777777789</v>
      </c>
      <c r="E1645">
        <f t="shared" si="195"/>
        <v>0</v>
      </c>
      <c r="G1645">
        <v>1595</v>
      </c>
      <c r="H1645" s="13">
        <f t="shared" si="200"/>
        <v>1.8572577375266519E-2</v>
      </c>
      <c r="I1645">
        <f t="shared" si="201"/>
        <v>134.12942518650064</v>
      </c>
      <c r="J1645">
        <f t="shared" si="196"/>
        <v>481.40538728442397</v>
      </c>
      <c r="K1645" s="27">
        <f t="shared" si="197"/>
        <v>4304.3407703153616</v>
      </c>
    </row>
    <row r="1646" spans="1:11" x14ac:dyDescent="0.25">
      <c r="A1646" s="26">
        <v>1596</v>
      </c>
      <c r="B1646" s="82">
        <f t="shared" si="198"/>
        <v>0</v>
      </c>
      <c r="C1646" s="58">
        <f t="shared" si="202"/>
        <v>104.50616427295054</v>
      </c>
      <c r="D1646" s="83">
        <f t="shared" si="199"/>
        <v>445.77777777777789</v>
      </c>
      <c r="E1646">
        <f t="shared" si="195"/>
        <v>0</v>
      </c>
      <c r="G1646">
        <v>1596</v>
      </c>
      <c r="H1646" s="13">
        <f t="shared" si="200"/>
        <v>1.8572577375266519E-2</v>
      </c>
      <c r="I1646">
        <f t="shared" si="201"/>
        <v>134.14799776387591</v>
      </c>
      <c r="J1646">
        <f t="shared" si="196"/>
        <v>481.41933004675377</v>
      </c>
      <c r="K1646" s="27">
        <f t="shared" si="197"/>
        <v>4304.5900402005418</v>
      </c>
    </row>
    <row r="1647" spans="1:11" x14ac:dyDescent="0.25">
      <c r="A1647" s="26">
        <v>1597</v>
      </c>
      <c r="B1647" s="82">
        <f t="shared" si="198"/>
        <v>0</v>
      </c>
      <c r="C1647" s="58">
        <f t="shared" si="202"/>
        <v>104.50616427295054</v>
      </c>
      <c r="D1647" s="83">
        <f t="shared" si="199"/>
        <v>445.77777777777789</v>
      </c>
      <c r="E1647">
        <f t="shared" si="195"/>
        <v>0</v>
      </c>
      <c r="G1647">
        <v>1597</v>
      </c>
      <c r="H1647" s="13">
        <f t="shared" si="200"/>
        <v>1.8572577375266519E-2</v>
      </c>
      <c r="I1647">
        <f t="shared" si="201"/>
        <v>134.16657034125117</v>
      </c>
      <c r="J1647">
        <f t="shared" si="196"/>
        <v>481.43326608691882</v>
      </c>
      <c r="K1647" s="27">
        <f t="shared" si="197"/>
        <v>4304.8391971209721</v>
      </c>
    </row>
    <row r="1648" spans="1:11" x14ac:dyDescent="0.25">
      <c r="A1648" s="26">
        <v>1598</v>
      </c>
      <c r="B1648" s="82">
        <f t="shared" si="198"/>
        <v>0</v>
      </c>
      <c r="C1648" s="58">
        <f t="shared" si="202"/>
        <v>104.50616427295054</v>
      </c>
      <c r="D1648" s="83">
        <f t="shared" si="199"/>
        <v>445.77777777777789</v>
      </c>
      <c r="E1648">
        <f t="shared" si="195"/>
        <v>0</v>
      </c>
      <c r="G1648">
        <v>1598</v>
      </c>
      <c r="H1648" s="13">
        <f t="shared" si="200"/>
        <v>1.8572577375266519E-2</v>
      </c>
      <c r="I1648">
        <f t="shared" si="201"/>
        <v>134.18514291862644</v>
      </c>
      <c r="J1648">
        <f t="shared" si="196"/>
        <v>481.44719540842135</v>
      </c>
      <c r="K1648" s="27">
        <f t="shared" si="197"/>
        <v>4305.0882411288094</v>
      </c>
    </row>
    <row r="1649" spans="1:11" x14ac:dyDescent="0.25">
      <c r="A1649" s="26">
        <v>1599</v>
      </c>
      <c r="B1649" s="82">
        <f t="shared" si="198"/>
        <v>0</v>
      </c>
      <c r="C1649" s="58">
        <f t="shared" si="202"/>
        <v>104.50616427295054</v>
      </c>
      <c r="D1649" s="83">
        <f t="shared" si="199"/>
        <v>445.77777777777789</v>
      </c>
      <c r="E1649">
        <f t="shared" si="195"/>
        <v>0</v>
      </c>
      <c r="G1649">
        <v>1599</v>
      </c>
      <c r="H1649" s="13">
        <f t="shared" si="200"/>
        <v>1.8572577375266519E-2</v>
      </c>
      <c r="I1649">
        <f t="shared" si="201"/>
        <v>134.20371549600171</v>
      </c>
      <c r="J1649">
        <f t="shared" si="196"/>
        <v>481.46111801475945</v>
      </c>
      <c r="K1649" s="27">
        <f t="shared" si="197"/>
        <v>4305.3371722761576</v>
      </c>
    </row>
    <row r="1650" spans="1:11" x14ac:dyDescent="0.25">
      <c r="A1650" s="26">
        <v>1600</v>
      </c>
      <c r="B1650" s="82">
        <f t="shared" si="198"/>
        <v>0</v>
      </c>
      <c r="C1650" s="58">
        <f t="shared" si="202"/>
        <v>104.50616427295054</v>
      </c>
      <c r="D1650" s="83">
        <f t="shared" si="199"/>
        <v>445.77777777777789</v>
      </c>
      <c r="E1650">
        <f t="shared" si="195"/>
        <v>0</v>
      </c>
      <c r="G1650">
        <v>1600</v>
      </c>
      <c r="H1650" s="13">
        <f t="shared" si="200"/>
        <v>1.8572577375266519E-2</v>
      </c>
      <c r="I1650">
        <f t="shared" si="201"/>
        <v>134.22228807337697</v>
      </c>
      <c r="J1650">
        <f t="shared" si="196"/>
        <v>481.47503390942711</v>
      </c>
      <c r="K1650" s="27">
        <f t="shared" si="197"/>
        <v>4305.5859906150527</v>
      </c>
    </row>
    <row r="1651" spans="1:11" x14ac:dyDescent="0.25">
      <c r="A1651" s="26">
        <v>1601</v>
      </c>
      <c r="B1651" s="82">
        <f t="shared" si="198"/>
        <v>0</v>
      </c>
      <c r="C1651" s="58">
        <f t="shared" si="202"/>
        <v>104.50616427295054</v>
      </c>
      <c r="D1651" s="83">
        <f t="shared" si="199"/>
        <v>445.77777777777789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1.8572577375266519E-2</v>
      </c>
      <c r="I1651">
        <f t="shared" si="201"/>
        <v>134.24086065075224</v>
      </c>
      <c r="J1651">
        <f t="shared" ref="J1651:J1714" si="204">IF($G$28&lt;$C$14,0,((($C$11^2)-((I1651-$C$13)^2))^0.5)+$C$16)</f>
        <v>481.48894309591412</v>
      </c>
      <c r="K1651" s="27">
        <f t="shared" ref="K1651:K1714" si="205">((J1651^2)+(J1651*J1652)+(J1652^2))*H1652/3</f>
        <v>4305.834696197473</v>
      </c>
    </row>
    <row r="1652" spans="1:11" x14ac:dyDescent="0.25">
      <c r="A1652" s="26">
        <v>1602</v>
      </c>
      <c r="B1652" s="82">
        <f t="shared" ref="B1652:B1715" si="206">C1652-C1651</f>
        <v>0</v>
      </c>
      <c r="C1652" s="58">
        <f t="shared" si="202"/>
        <v>104.50616427295054</v>
      </c>
      <c r="D1652" s="83">
        <f t="shared" ref="D1652:D1715" si="207">IF($G$28&lt;$C$14,0,((($C$11^2)-((C1652-$C$13)^2))^0.5)+$C$16)</f>
        <v>445.77777777777789</v>
      </c>
      <c r="E1652">
        <f t="shared" si="203"/>
        <v>0</v>
      </c>
      <c r="G1652">
        <v>1602</v>
      </c>
      <c r="H1652" s="13">
        <f t="shared" ref="H1652:H1715" si="208">I1652-I1651</f>
        <v>1.8572577375266519E-2</v>
      </c>
      <c r="I1652">
        <f t="shared" ref="I1652:I1715" si="209">($G$27-$C$14)/2000+I1651</f>
        <v>134.25943322812751</v>
      </c>
      <c r="J1652">
        <f t="shared" si="204"/>
        <v>481.5028455777063</v>
      </c>
      <c r="K1652" s="27">
        <f t="shared" si="205"/>
        <v>4306.0832890753345</v>
      </c>
    </row>
    <row r="1653" spans="1:11" x14ac:dyDescent="0.25">
      <c r="A1653" s="26">
        <v>1603</v>
      </c>
      <c r="B1653" s="82">
        <f t="shared" si="206"/>
        <v>0</v>
      </c>
      <c r="C1653" s="58">
        <f t="shared" si="202"/>
        <v>104.50616427295054</v>
      </c>
      <c r="D1653" s="83">
        <f t="shared" si="207"/>
        <v>445.77777777777789</v>
      </c>
      <c r="E1653">
        <f t="shared" si="203"/>
        <v>0</v>
      </c>
      <c r="G1653">
        <v>1603</v>
      </c>
      <c r="H1653" s="13">
        <f t="shared" si="208"/>
        <v>1.8572577375266519E-2</v>
      </c>
      <c r="I1653">
        <f t="shared" si="209"/>
        <v>134.27800580550277</v>
      </c>
      <c r="J1653">
        <f t="shared" si="204"/>
        <v>481.51674135828523</v>
      </c>
      <c r="K1653" s="27">
        <f t="shared" si="205"/>
        <v>4306.3317693004938</v>
      </c>
    </row>
    <row r="1654" spans="1:11" x14ac:dyDescent="0.25">
      <c r="A1654" s="26">
        <v>1604</v>
      </c>
      <c r="B1654" s="82">
        <f t="shared" si="206"/>
        <v>0</v>
      </c>
      <c r="C1654" s="58">
        <f t="shared" si="202"/>
        <v>104.50616427295054</v>
      </c>
      <c r="D1654" s="83">
        <f t="shared" si="207"/>
        <v>445.77777777777789</v>
      </c>
      <c r="E1654">
        <f t="shared" si="203"/>
        <v>0</v>
      </c>
      <c r="G1654">
        <v>1604</v>
      </c>
      <c r="H1654" s="13">
        <f t="shared" si="208"/>
        <v>1.8572577375266519E-2</v>
      </c>
      <c r="I1654">
        <f t="shared" si="209"/>
        <v>134.29657838287804</v>
      </c>
      <c r="J1654">
        <f t="shared" si="204"/>
        <v>481.53063044112855</v>
      </c>
      <c r="K1654" s="27">
        <f t="shared" si="205"/>
        <v>4306.5801369247447</v>
      </c>
    </row>
    <row r="1655" spans="1:11" x14ac:dyDescent="0.25">
      <c r="A1655" s="26">
        <v>1605</v>
      </c>
      <c r="B1655" s="82">
        <f t="shared" si="206"/>
        <v>0</v>
      </c>
      <c r="C1655" s="58">
        <f t="shared" si="202"/>
        <v>104.50616427295054</v>
      </c>
      <c r="D1655" s="83">
        <f t="shared" si="207"/>
        <v>445.77777777777789</v>
      </c>
      <c r="E1655">
        <f t="shared" si="203"/>
        <v>0</v>
      </c>
      <c r="G1655">
        <v>1605</v>
      </c>
      <c r="H1655" s="13">
        <f t="shared" si="208"/>
        <v>1.8572577375266519E-2</v>
      </c>
      <c r="I1655">
        <f t="shared" si="209"/>
        <v>134.31515096025331</v>
      </c>
      <c r="J1655">
        <f t="shared" si="204"/>
        <v>481.54451282970973</v>
      </c>
      <c r="K1655" s="27">
        <f t="shared" si="205"/>
        <v>4306.8283919998212</v>
      </c>
    </row>
    <row r="1656" spans="1:11" x14ac:dyDescent="0.25">
      <c r="A1656" s="26">
        <v>1606</v>
      </c>
      <c r="B1656" s="82">
        <f t="shared" si="206"/>
        <v>0</v>
      </c>
      <c r="C1656" s="58">
        <f t="shared" si="202"/>
        <v>104.50616427295054</v>
      </c>
      <c r="D1656" s="83">
        <f t="shared" si="207"/>
        <v>445.77777777777789</v>
      </c>
      <c r="E1656">
        <f t="shared" si="203"/>
        <v>0</v>
      </c>
      <c r="G1656">
        <v>1606</v>
      </c>
      <c r="H1656" s="13">
        <f t="shared" si="208"/>
        <v>1.8572577375266519E-2</v>
      </c>
      <c r="I1656">
        <f t="shared" si="209"/>
        <v>134.33372353762857</v>
      </c>
      <c r="J1656">
        <f t="shared" si="204"/>
        <v>481.55838852749821</v>
      </c>
      <c r="K1656" s="27">
        <f t="shared" si="205"/>
        <v>4307.0765345773971</v>
      </c>
    </row>
    <row r="1657" spans="1:11" x14ac:dyDescent="0.25">
      <c r="A1657" s="26">
        <v>1607</v>
      </c>
      <c r="B1657" s="82">
        <f t="shared" si="206"/>
        <v>0</v>
      </c>
      <c r="C1657" s="58">
        <f t="shared" si="202"/>
        <v>104.50616427295054</v>
      </c>
      <c r="D1657" s="83">
        <f t="shared" si="207"/>
        <v>445.77777777777789</v>
      </c>
      <c r="E1657">
        <f t="shared" si="203"/>
        <v>0</v>
      </c>
      <c r="G1657">
        <v>1607</v>
      </c>
      <c r="H1657" s="13">
        <f t="shared" si="208"/>
        <v>1.8572577375266519E-2</v>
      </c>
      <c r="I1657">
        <f t="shared" si="209"/>
        <v>134.35229611500384</v>
      </c>
      <c r="J1657">
        <f t="shared" si="204"/>
        <v>481.57225753795927</v>
      </c>
      <c r="K1657" s="27">
        <f t="shared" si="205"/>
        <v>4307.3245647090835</v>
      </c>
    </row>
    <row r="1658" spans="1:11" x14ac:dyDescent="0.25">
      <c r="A1658" s="26">
        <v>1608</v>
      </c>
      <c r="B1658" s="82">
        <f t="shared" si="206"/>
        <v>0</v>
      </c>
      <c r="C1658" s="58">
        <f t="shared" si="202"/>
        <v>104.50616427295054</v>
      </c>
      <c r="D1658" s="83">
        <f t="shared" si="207"/>
        <v>445.77777777777789</v>
      </c>
      <c r="E1658">
        <f t="shared" si="203"/>
        <v>0</v>
      </c>
      <c r="G1658">
        <v>1608</v>
      </c>
      <c r="H1658" s="13">
        <f t="shared" si="208"/>
        <v>1.8572577375266519E-2</v>
      </c>
      <c r="I1658">
        <f t="shared" si="209"/>
        <v>134.3708686923791</v>
      </c>
      <c r="J1658">
        <f t="shared" si="204"/>
        <v>481.58611986455435</v>
      </c>
      <c r="K1658" s="27">
        <f t="shared" si="205"/>
        <v>4307.5724824464332</v>
      </c>
    </row>
    <row r="1659" spans="1:11" x14ac:dyDescent="0.25">
      <c r="A1659" s="26">
        <v>1609</v>
      </c>
      <c r="B1659" s="82">
        <f t="shared" si="206"/>
        <v>0</v>
      </c>
      <c r="C1659" s="58">
        <f t="shared" si="202"/>
        <v>104.50616427295054</v>
      </c>
      <c r="D1659" s="83">
        <f t="shared" si="207"/>
        <v>445.77777777777789</v>
      </c>
      <c r="E1659">
        <f t="shared" si="203"/>
        <v>0</v>
      </c>
      <c r="G1659">
        <v>1609</v>
      </c>
      <c r="H1659" s="13">
        <f t="shared" si="208"/>
        <v>1.8572577375266519E-2</v>
      </c>
      <c r="I1659">
        <f t="shared" si="209"/>
        <v>134.38944126975437</v>
      </c>
      <c r="J1659">
        <f t="shared" si="204"/>
        <v>481.59997551074048</v>
      </c>
      <c r="K1659" s="27">
        <f t="shared" si="205"/>
        <v>4307.8202878409384</v>
      </c>
    </row>
    <row r="1660" spans="1:11" x14ac:dyDescent="0.25">
      <c r="A1660" s="26">
        <v>1610</v>
      </c>
      <c r="B1660" s="82">
        <f t="shared" si="206"/>
        <v>0</v>
      </c>
      <c r="C1660" s="58">
        <f t="shared" si="202"/>
        <v>104.50616427295054</v>
      </c>
      <c r="D1660" s="83">
        <f t="shared" si="207"/>
        <v>445.77777777777789</v>
      </c>
      <c r="E1660">
        <f t="shared" si="203"/>
        <v>0</v>
      </c>
      <c r="G1660">
        <v>1610</v>
      </c>
      <c r="H1660" s="13">
        <f t="shared" si="208"/>
        <v>1.8572577375266519E-2</v>
      </c>
      <c r="I1660">
        <f t="shared" si="209"/>
        <v>134.40801384712964</v>
      </c>
      <c r="J1660">
        <f t="shared" si="204"/>
        <v>481.61382447997107</v>
      </c>
      <c r="K1660" s="27">
        <f t="shared" si="205"/>
        <v>4308.0679809440317</v>
      </c>
    </row>
    <row r="1661" spans="1:11" x14ac:dyDescent="0.25">
      <c r="A1661" s="26">
        <v>1611</v>
      </c>
      <c r="B1661" s="82">
        <f t="shared" si="206"/>
        <v>0</v>
      </c>
      <c r="C1661" s="58">
        <f t="shared" si="202"/>
        <v>104.50616427295054</v>
      </c>
      <c r="D1661" s="83">
        <f t="shared" si="207"/>
        <v>445.77777777777789</v>
      </c>
      <c r="E1661">
        <f t="shared" si="203"/>
        <v>0</v>
      </c>
      <c r="G1661">
        <v>1611</v>
      </c>
      <c r="H1661" s="13">
        <f t="shared" si="208"/>
        <v>1.8572577375266519E-2</v>
      </c>
      <c r="I1661">
        <f t="shared" si="209"/>
        <v>134.4265864245049</v>
      </c>
      <c r="J1661">
        <f t="shared" si="204"/>
        <v>481.6276667756951</v>
      </c>
      <c r="K1661" s="27">
        <f t="shared" si="205"/>
        <v>4308.3155618070823</v>
      </c>
    </row>
    <row r="1662" spans="1:11" x14ac:dyDescent="0.25">
      <c r="A1662" s="26">
        <v>1612</v>
      </c>
      <c r="B1662" s="82">
        <f t="shared" si="206"/>
        <v>0</v>
      </c>
      <c r="C1662" s="58">
        <f t="shared" si="202"/>
        <v>104.50616427295054</v>
      </c>
      <c r="D1662" s="83">
        <f t="shared" si="207"/>
        <v>445.77777777777789</v>
      </c>
      <c r="E1662">
        <f t="shared" si="203"/>
        <v>0</v>
      </c>
      <c r="G1662">
        <v>1612</v>
      </c>
      <c r="H1662" s="13">
        <f t="shared" si="208"/>
        <v>1.8572577375266519E-2</v>
      </c>
      <c r="I1662">
        <f t="shared" si="209"/>
        <v>134.44515900188017</v>
      </c>
      <c r="J1662">
        <f t="shared" si="204"/>
        <v>481.64150240135774</v>
      </c>
      <c r="K1662" s="27">
        <f t="shared" si="205"/>
        <v>4308.5630304814013</v>
      </c>
    </row>
    <row r="1663" spans="1:11" x14ac:dyDescent="0.25">
      <c r="A1663" s="26">
        <v>1613</v>
      </c>
      <c r="B1663" s="82">
        <f t="shared" si="206"/>
        <v>0</v>
      </c>
      <c r="C1663" s="58">
        <f t="shared" si="202"/>
        <v>104.50616427295054</v>
      </c>
      <c r="D1663" s="83">
        <f t="shared" si="207"/>
        <v>445.77777777777789</v>
      </c>
      <c r="E1663">
        <f t="shared" si="203"/>
        <v>0</v>
      </c>
      <c r="G1663">
        <v>1613</v>
      </c>
      <c r="H1663" s="13">
        <f t="shared" si="208"/>
        <v>1.8572577375266519E-2</v>
      </c>
      <c r="I1663">
        <f t="shared" si="209"/>
        <v>134.46373157925544</v>
      </c>
      <c r="J1663">
        <f t="shared" si="204"/>
        <v>481.65533136040011</v>
      </c>
      <c r="K1663" s="27">
        <f t="shared" si="205"/>
        <v>4308.8103870182431</v>
      </c>
    </row>
    <row r="1664" spans="1:11" x14ac:dyDescent="0.25">
      <c r="A1664" s="26">
        <v>1614</v>
      </c>
      <c r="B1664" s="82">
        <f t="shared" si="206"/>
        <v>0</v>
      </c>
      <c r="C1664" s="58">
        <f t="shared" si="202"/>
        <v>104.50616427295054</v>
      </c>
      <c r="D1664" s="83">
        <f t="shared" si="207"/>
        <v>445.77777777777789</v>
      </c>
      <c r="E1664">
        <f t="shared" si="203"/>
        <v>0</v>
      </c>
      <c r="G1664">
        <v>1614</v>
      </c>
      <c r="H1664" s="13">
        <f t="shared" si="208"/>
        <v>1.8572577375266519E-2</v>
      </c>
      <c r="I1664">
        <f t="shared" si="209"/>
        <v>134.4823041566307</v>
      </c>
      <c r="J1664">
        <f t="shared" si="204"/>
        <v>481.66915365625925</v>
      </c>
      <c r="K1664" s="27">
        <f t="shared" si="205"/>
        <v>4309.057631468796</v>
      </c>
    </row>
    <row r="1665" spans="1:11" x14ac:dyDescent="0.25">
      <c r="A1665" s="26">
        <v>1615</v>
      </c>
      <c r="B1665" s="82">
        <f t="shared" si="206"/>
        <v>0</v>
      </c>
      <c r="C1665" s="58">
        <f t="shared" si="202"/>
        <v>104.50616427295054</v>
      </c>
      <c r="D1665" s="83">
        <f t="shared" si="207"/>
        <v>445.77777777777789</v>
      </c>
      <c r="E1665">
        <f t="shared" si="203"/>
        <v>0</v>
      </c>
      <c r="G1665">
        <v>1615</v>
      </c>
      <c r="H1665" s="13">
        <f t="shared" si="208"/>
        <v>1.8572577375266519E-2</v>
      </c>
      <c r="I1665">
        <f t="shared" si="209"/>
        <v>134.50087673400597</v>
      </c>
      <c r="J1665">
        <f t="shared" si="204"/>
        <v>481.68296929236817</v>
      </c>
      <c r="K1665" s="27">
        <f t="shared" si="205"/>
        <v>4309.3047638841917</v>
      </c>
    </row>
    <row r="1666" spans="1:11" x14ac:dyDescent="0.25">
      <c r="A1666" s="26">
        <v>1616</v>
      </c>
      <c r="B1666" s="82">
        <f t="shared" si="206"/>
        <v>0</v>
      </c>
      <c r="C1666" s="58">
        <f t="shared" si="202"/>
        <v>104.50616427295054</v>
      </c>
      <c r="D1666" s="83">
        <f t="shared" si="207"/>
        <v>445.77777777777789</v>
      </c>
      <c r="E1666">
        <f t="shared" si="203"/>
        <v>0</v>
      </c>
      <c r="G1666">
        <v>1616</v>
      </c>
      <c r="H1666" s="13">
        <f t="shared" si="208"/>
        <v>1.8572577375266519E-2</v>
      </c>
      <c r="I1666">
        <f t="shared" si="209"/>
        <v>134.51944931138124</v>
      </c>
      <c r="J1666">
        <f t="shared" si="204"/>
        <v>481.69677827215588</v>
      </c>
      <c r="K1666" s="27">
        <f t="shared" si="205"/>
        <v>4309.551784315503</v>
      </c>
    </row>
    <row r="1667" spans="1:11" x14ac:dyDescent="0.25">
      <c r="A1667" s="26">
        <v>1617</v>
      </c>
      <c r="B1667" s="82">
        <f t="shared" si="206"/>
        <v>0</v>
      </c>
      <c r="C1667" s="58">
        <f t="shared" si="202"/>
        <v>104.50616427295054</v>
      </c>
      <c r="D1667" s="83">
        <f t="shared" si="207"/>
        <v>445.77777777777789</v>
      </c>
      <c r="E1667">
        <f t="shared" si="203"/>
        <v>0</v>
      </c>
      <c r="G1667">
        <v>1617</v>
      </c>
      <c r="H1667" s="13">
        <f t="shared" si="208"/>
        <v>1.8572577375266519E-2</v>
      </c>
      <c r="I1667">
        <f t="shared" si="209"/>
        <v>134.5380218887565</v>
      </c>
      <c r="J1667">
        <f t="shared" si="204"/>
        <v>481.71058059904749</v>
      </c>
      <c r="K1667" s="27">
        <f t="shared" si="205"/>
        <v>4309.7986928137425</v>
      </c>
    </row>
    <row r="1668" spans="1:11" x14ac:dyDescent="0.25">
      <c r="A1668" s="26">
        <v>1618</v>
      </c>
      <c r="B1668" s="82">
        <f t="shared" si="206"/>
        <v>0</v>
      </c>
      <c r="C1668" s="58">
        <f t="shared" si="202"/>
        <v>104.50616427295054</v>
      </c>
      <c r="D1668" s="83">
        <f t="shared" si="207"/>
        <v>445.77777777777789</v>
      </c>
      <c r="E1668">
        <f t="shared" si="203"/>
        <v>0</v>
      </c>
      <c r="G1668">
        <v>1618</v>
      </c>
      <c r="H1668" s="13">
        <f t="shared" si="208"/>
        <v>1.8572577375266519E-2</v>
      </c>
      <c r="I1668">
        <f t="shared" si="209"/>
        <v>134.55659446613177</v>
      </c>
      <c r="J1668">
        <f t="shared" si="204"/>
        <v>481.724376276464</v>
      </c>
      <c r="K1668" s="27">
        <f t="shared" si="205"/>
        <v>4310.0454894298609</v>
      </c>
    </row>
    <row r="1669" spans="1:11" x14ac:dyDescent="0.25">
      <c r="A1669" s="26">
        <v>1619</v>
      </c>
      <c r="B1669" s="82">
        <f t="shared" si="206"/>
        <v>0</v>
      </c>
      <c r="C1669" s="58">
        <f t="shared" si="202"/>
        <v>104.50616427295054</v>
      </c>
      <c r="D1669" s="83">
        <f t="shared" si="207"/>
        <v>445.77777777777789</v>
      </c>
      <c r="E1669">
        <f t="shared" si="203"/>
        <v>0</v>
      </c>
      <c r="G1669">
        <v>1619</v>
      </c>
      <c r="H1669" s="13">
        <f t="shared" si="208"/>
        <v>1.8572577375266519E-2</v>
      </c>
      <c r="I1669">
        <f t="shared" si="209"/>
        <v>134.57516704350704</v>
      </c>
      <c r="J1669">
        <f t="shared" si="204"/>
        <v>481.73816530782238</v>
      </c>
      <c r="K1669" s="27">
        <f t="shared" si="205"/>
        <v>4310.2921742147528</v>
      </c>
    </row>
    <row r="1670" spans="1:11" x14ac:dyDescent="0.25">
      <c r="A1670" s="26">
        <v>1620</v>
      </c>
      <c r="B1670" s="82">
        <f t="shared" si="206"/>
        <v>0</v>
      </c>
      <c r="C1670" s="58">
        <f t="shared" si="202"/>
        <v>104.50616427295054</v>
      </c>
      <c r="D1670" s="83">
        <f t="shared" si="207"/>
        <v>445.77777777777789</v>
      </c>
      <c r="E1670">
        <f t="shared" si="203"/>
        <v>0</v>
      </c>
      <c r="G1670">
        <v>1620</v>
      </c>
      <c r="H1670" s="13">
        <f t="shared" si="208"/>
        <v>1.8572577375266519E-2</v>
      </c>
      <c r="I1670">
        <f t="shared" si="209"/>
        <v>134.5937396208823</v>
      </c>
      <c r="J1670">
        <f t="shared" si="204"/>
        <v>481.75194769653581</v>
      </c>
      <c r="K1670" s="27">
        <f t="shared" si="205"/>
        <v>4310.5387472192515</v>
      </c>
    </row>
    <row r="1671" spans="1:11" x14ac:dyDescent="0.25">
      <c r="A1671" s="26">
        <v>1621</v>
      </c>
      <c r="B1671" s="82">
        <f t="shared" si="206"/>
        <v>0</v>
      </c>
      <c r="C1671" s="58">
        <f t="shared" si="202"/>
        <v>104.50616427295054</v>
      </c>
      <c r="D1671" s="83">
        <f t="shared" si="207"/>
        <v>445.77777777777789</v>
      </c>
      <c r="E1671">
        <f t="shared" si="203"/>
        <v>0</v>
      </c>
      <c r="G1671">
        <v>1621</v>
      </c>
      <c r="H1671" s="13">
        <f t="shared" si="208"/>
        <v>1.8572577375266519E-2</v>
      </c>
      <c r="I1671">
        <f t="shared" si="209"/>
        <v>134.61231219825757</v>
      </c>
      <c r="J1671">
        <f t="shared" si="204"/>
        <v>481.76572344601323</v>
      </c>
      <c r="K1671" s="27">
        <f t="shared" si="205"/>
        <v>4310.7852084941333</v>
      </c>
    </row>
    <row r="1672" spans="1:11" x14ac:dyDescent="0.25">
      <c r="A1672" s="26">
        <v>1622</v>
      </c>
      <c r="B1672" s="82">
        <f t="shared" si="206"/>
        <v>0</v>
      </c>
      <c r="C1672" s="58">
        <f t="shared" si="202"/>
        <v>104.50616427295054</v>
      </c>
      <c r="D1672" s="83">
        <f t="shared" si="207"/>
        <v>445.77777777777789</v>
      </c>
      <c r="E1672">
        <f t="shared" si="203"/>
        <v>0</v>
      </c>
      <c r="G1672">
        <v>1622</v>
      </c>
      <c r="H1672" s="13">
        <f t="shared" si="208"/>
        <v>1.8572577375266519E-2</v>
      </c>
      <c r="I1672">
        <f t="shared" si="209"/>
        <v>134.63088477563284</v>
      </c>
      <c r="J1672">
        <f t="shared" si="204"/>
        <v>481.77949255965984</v>
      </c>
      <c r="K1672" s="27">
        <f t="shared" si="205"/>
        <v>4311.0315580901106</v>
      </c>
    </row>
    <row r="1673" spans="1:11" x14ac:dyDescent="0.25">
      <c r="A1673" s="26">
        <v>1623</v>
      </c>
      <c r="B1673" s="82">
        <f t="shared" si="206"/>
        <v>0</v>
      </c>
      <c r="C1673" s="58">
        <f t="shared" si="202"/>
        <v>104.50616427295054</v>
      </c>
      <c r="D1673" s="83">
        <f t="shared" si="207"/>
        <v>445.77777777777789</v>
      </c>
      <c r="E1673">
        <f t="shared" si="203"/>
        <v>0</v>
      </c>
      <c r="G1673">
        <v>1623</v>
      </c>
      <c r="H1673" s="13">
        <f t="shared" si="208"/>
        <v>1.8572577375266519E-2</v>
      </c>
      <c r="I1673">
        <f t="shared" si="209"/>
        <v>134.6494573530081</v>
      </c>
      <c r="J1673">
        <f t="shared" si="204"/>
        <v>481.79325504087672</v>
      </c>
      <c r="K1673" s="27">
        <f t="shared" si="205"/>
        <v>4311.2777960578424</v>
      </c>
    </row>
    <row r="1674" spans="1:11" x14ac:dyDescent="0.25">
      <c r="A1674" s="26">
        <v>1624</v>
      </c>
      <c r="B1674" s="82">
        <f t="shared" si="206"/>
        <v>0</v>
      </c>
      <c r="C1674" s="58">
        <f t="shared" si="202"/>
        <v>104.50616427295054</v>
      </c>
      <c r="D1674" s="83">
        <f t="shared" si="207"/>
        <v>445.77777777777789</v>
      </c>
      <c r="E1674">
        <f t="shared" si="203"/>
        <v>0</v>
      </c>
      <c r="G1674">
        <v>1624</v>
      </c>
      <c r="H1674" s="13">
        <f t="shared" si="208"/>
        <v>1.8572577375266519E-2</v>
      </c>
      <c r="I1674">
        <f t="shared" si="209"/>
        <v>134.66802993038337</v>
      </c>
      <c r="J1674">
        <f t="shared" si="204"/>
        <v>481.80701089306115</v>
      </c>
      <c r="K1674" s="27">
        <f t="shared" si="205"/>
        <v>4311.5239224479255</v>
      </c>
    </row>
    <row r="1675" spans="1:11" x14ac:dyDescent="0.25">
      <c r="A1675" s="26">
        <v>1625</v>
      </c>
      <c r="B1675" s="82">
        <f t="shared" si="206"/>
        <v>0</v>
      </c>
      <c r="C1675" s="58">
        <f t="shared" si="202"/>
        <v>104.50616427295054</v>
      </c>
      <c r="D1675" s="83">
        <f t="shared" si="207"/>
        <v>445.77777777777789</v>
      </c>
      <c r="E1675">
        <f t="shared" si="203"/>
        <v>0</v>
      </c>
      <c r="G1675">
        <v>1625</v>
      </c>
      <c r="H1675" s="13">
        <f t="shared" si="208"/>
        <v>1.8572577375266519E-2</v>
      </c>
      <c r="I1675">
        <f t="shared" si="209"/>
        <v>134.68660250775864</v>
      </c>
      <c r="J1675">
        <f t="shared" si="204"/>
        <v>481.82076011960618</v>
      </c>
      <c r="K1675" s="27">
        <f t="shared" si="205"/>
        <v>4311.7699373108962</v>
      </c>
    </row>
    <row r="1676" spans="1:11" x14ac:dyDescent="0.25">
      <c r="A1676" s="26">
        <v>1626</v>
      </c>
      <c r="B1676" s="82">
        <f t="shared" si="206"/>
        <v>0</v>
      </c>
      <c r="C1676" s="58">
        <f t="shared" si="202"/>
        <v>104.50616427295054</v>
      </c>
      <c r="D1676" s="83">
        <f t="shared" si="207"/>
        <v>445.77777777777789</v>
      </c>
      <c r="E1676">
        <f t="shared" si="203"/>
        <v>0</v>
      </c>
      <c r="G1676">
        <v>1626</v>
      </c>
      <c r="H1676" s="13">
        <f t="shared" si="208"/>
        <v>1.8572577375266519E-2</v>
      </c>
      <c r="I1676">
        <f t="shared" si="209"/>
        <v>134.7051750851339</v>
      </c>
      <c r="J1676">
        <f t="shared" si="204"/>
        <v>481.83450272390121</v>
      </c>
      <c r="K1676" s="27">
        <f t="shared" si="205"/>
        <v>4312.0158406972378</v>
      </c>
    </row>
    <row r="1677" spans="1:11" x14ac:dyDescent="0.25">
      <c r="A1677" s="26">
        <v>1627</v>
      </c>
      <c r="B1677" s="82">
        <f t="shared" si="206"/>
        <v>0</v>
      </c>
      <c r="C1677" s="58">
        <f t="shared" si="202"/>
        <v>104.50616427295054</v>
      </c>
      <c r="D1677" s="83">
        <f t="shared" si="207"/>
        <v>445.77777777777789</v>
      </c>
      <c r="E1677">
        <f t="shared" si="203"/>
        <v>0</v>
      </c>
      <c r="G1677">
        <v>1627</v>
      </c>
      <c r="H1677" s="13">
        <f t="shared" si="208"/>
        <v>1.8572577375266519E-2</v>
      </c>
      <c r="I1677">
        <f t="shared" si="209"/>
        <v>134.72374766250917</v>
      </c>
      <c r="J1677">
        <f t="shared" si="204"/>
        <v>481.8482387093315</v>
      </c>
      <c r="K1677" s="27">
        <f t="shared" si="205"/>
        <v>4312.261632657368</v>
      </c>
    </row>
    <row r="1678" spans="1:11" x14ac:dyDescent="0.25">
      <c r="A1678" s="26">
        <v>1628</v>
      </c>
      <c r="B1678" s="82">
        <f t="shared" si="206"/>
        <v>0</v>
      </c>
      <c r="C1678" s="58">
        <f t="shared" si="202"/>
        <v>104.50616427295054</v>
      </c>
      <c r="D1678" s="83">
        <f t="shared" si="207"/>
        <v>445.77777777777789</v>
      </c>
      <c r="E1678">
        <f t="shared" si="203"/>
        <v>0</v>
      </c>
      <c r="G1678">
        <v>1628</v>
      </c>
      <c r="H1678" s="13">
        <f t="shared" si="208"/>
        <v>1.8572577375266519E-2</v>
      </c>
      <c r="I1678">
        <f t="shared" si="209"/>
        <v>134.74232023988444</v>
      </c>
      <c r="J1678">
        <f t="shared" si="204"/>
        <v>481.86196807927848</v>
      </c>
      <c r="K1678" s="27">
        <f t="shared" si="205"/>
        <v>4312.5073132416501</v>
      </c>
    </row>
    <row r="1679" spans="1:11" x14ac:dyDescent="0.25">
      <c r="A1679" s="26">
        <v>1629</v>
      </c>
      <c r="B1679" s="82">
        <f t="shared" si="206"/>
        <v>0</v>
      </c>
      <c r="C1679" s="58">
        <f t="shared" si="202"/>
        <v>104.50616427295054</v>
      </c>
      <c r="D1679" s="83">
        <f t="shared" si="207"/>
        <v>445.77777777777789</v>
      </c>
      <c r="E1679">
        <f t="shared" si="203"/>
        <v>0</v>
      </c>
      <c r="G1679">
        <v>1629</v>
      </c>
      <c r="H1679" s="13">
        <f t="shared" si="208"/>
        <v>1.8572577375266519E-2</v>
      </c>
      <c r="I1679">
        <f t="shared" si="209"/>
        <v>134.7608928172597</v>
      </c>
      <c r="J1679">
        <f t="shared" si="204"/>
        <v>481.87569083711958</v>
      </c>
      <c r="K1679" s="27">
        <f t="shared" si="205"/>
        <v>4312.752882500391</v>
      </c>
    </row>
    <row r="1680" spans="1:11" x14ac:dyDescent="0.25">
      <c r="A1680" s="26">
        <v>1630</v>
      </c>
      <c r="B1680" s="82">
        <f t="shared" si="206"/>
        <v>0</v>
      </c>
      <c r="C1680" s="58">
        <f t="shared" ref="C1680:C1743" si="210">($C$37-$C$36)/2000+C1679</f>
        <v>104.50616427295054</v>
      </c>
      <c r="D1680" s="83">
        <f t="shared" si="207"/>
        <v>445.77777777777789</v>
      </c>
      <c r="E1680">
        <f t="shared" si="203"/>
        <v>0</v>
      </c>
      <c r="G1680">
        <v>1630</v>
      </c>
      <c r="H1680" s="13">
        <f t="shared" si="208"/>
        <v>1.8572577375266519E-2</v>
      </c>
      <c r="I1680">
        <f t="shared" si="209"/>
        <v>134.77946539463497</v>
      </c>
      <c r="J1680">
        <f t="shared" si="204"/>
        <v>481.88940698622844</v>
      </c>
      <c r="K1680" s="27">
        <f t="shared" si="205"/>
        <v>4312.9983404838322</v>
      </c>
    </row>
    <row r="1681" spans="1:11" x14ac:dyDescent="0.25">
      <c r="A1681" s="26">
        <v>1631</v>
      </c>
      <c r="B1681" s="82">
        <f t="shared" si="206"/>
        <v>0</v>
      </c>
      <c r="C1681" s="58">
        <f t="shared" si="210"/>
        <v>104.50616427295054</v>
      </c>
      <c r="D1681" s="83">
        <f t="shared" si="207"/>
        <v>445.77777777777789</v>
      </c>
      <c r="E1681">
        <f t="shared" si="203"/>
        <v>0</v>
      </c>
      <c r="G1681">
        <v>1631</v>
      </c>
      <c r="H1681" s="13">
        <f t="shared" si="208"/>
        <v>1.8572577375266519E-2</v>
      </c>
      <c r="I1681">
        <f t="shared" si="209"/>
        <v>134.79803797201023</v>
      </c>
      <c r="J1681">
        <f t="shared" si="204"/>
        <v>481.90311652997457</v>
      </c>
      <c r="K1681" s="27">
        <f t="shared" si="205"/>
        <v>4313.2436872421631</v>
      </c>
    </row>
    <row r="1682" spans="1:11" x14ac:dyDescent="0.25">
      <c r="A1682" s="26">
        <v>1632</v>
      </c>
      <c r="B1682" s="82">
        <f t="shared" si="206"/>
        <v>0</v>
      </c>
      <c r="C1682" s="58">
        <f t="shared" si="210"/>
        <v>104.50616427295054</v>
      </c>
      <c r="D1682" s="83">
        <f t="shared" si="207"/>
        <v>445.77777777777789</v>
      </c>
      <c r="E1682">
        <f t="shared" si="203"/>
        <v>0</v>
      </c>
      <c r="G1682">
        <v>1632</v>
      </c>
      <c r="H1682" s="13">
        <f t="shared" si="208"/>
        <v>1.8572577375266519E-2</v>
      </c>
      <c r="I1682">
        <f t="shared" si="209"/>
        <v>134.8166105493855</v>
      </c>
      <c r="J1682">
        <f t="shared" si="204"/>
        <v>481.91681947172373</v>
      </c>
      <c r="K1682" s="27">
        <f t="shared" si="205"/>
        <v>4313.4889228255115</v>
      </c>
    </row>
    <row r="1683" spans="1:11" x14ac:dyDescent="0.25">
      <c r="A1683" s="26">
        <v>1633</v>
      </c>
      <c r="B1683" s="82">
        <f t="shared" si="206"/>
        <v>0</v>
      </c>
      <c r="C1683" s="58">
        <f t="shared" si="210"/>
        <v>104.50616427295054</v>
      </c>
      <c r="D1683" s="83">
        <f t="shared" si="207"/>
        <v>445.77777777777789</v>
      </c>
      <c r="E1683">
        <f t="shared" si="203"/>
        <v>0</v>
      </c>
      <c r="G1683">
        <v>1633</v>
      </c>
      <c r="H1683" s="13">
        <f t="shared" si="208"/>
        <v>1.8572577375266519E-2</v>
      </c>
      <c r="I1683">
        <f t="shared" si="209"/>
        <v>134.83518312676077</v>
      </c>
      <c r="J1683">
        <f t="shared" si="204"/>
        <v>481.93051581483769</v>
      </c>
      <c r="K1683" s="27">
        <f t="shared" si="205"/>
        <v>4313.7340472839487</v>
      </c>
    </row>
    <row r="1684" spans="1:11" x14ac:dyDescent="0.25">
      <c r="A1684" s="26">
        <v>1634</v>
      </c>
      <c r="B1684" s="82">
        <f t="shared" si="206"/>
        <v>0</v>
      </c>
      <c r="C1684" s="58">
        <f t="shared" si="210"/>
        <v>104.50616427295054</v>
      </c>
      <c r="D1684" s="83">
        <f t="shared" si="207"/>
        <v>445.77777777777789</v>
      </c>
      <c r="E1684">
        <f t="shared" si="203"/>
        <v>0</v>
      </c>
      <c r="G1684">
        <v>1634</v>
      </c>
      <c r="H1684" s="13">
        <f t="shared" si="208"/>
        <v>1.8572577375266519E-2</v>
      </c>
      <c r="I1684">
        <f t="shared" si="209"/>
        <v>134.85375570413603</v>
      </c>
      <c r="J1684">
        <f t="shared" si="204"/>
        <v>481.94420556267437</v>
      </c>
      <c r="K1684" s="27">
        <f t="shared" si="205"/>
        <v>4313.979060667486</v>
      </c>
    </row>
    <row r="1685" spans="1:11" x14ac:dyDescent="0.25">
      <c r="A1685" s="26">
        <v>1635</v>
      </c>
      <c r="B1685" s="82">
        <f t="shared" si="206"/>
        <v>0</v>
      </c>
      <c r="C1685" s="58">
        <f t="shared" si="210"/>
        <v>104.50616427295054</v>
      </c>
      <c r="D1685" s="83">
        <f t="shared" si="207"/>
        <v>445.77777777777789</v>
      </c>
      <c r="E1685">
        <f t="shared" si="203"/>
        <v>0</v>
      </c>
      <c r="G1685">
        <v>1635</v>
      </c>
      <c r="H1685" s="13">
        <f t="shared" si="208"/>
        <v>1.8572577375266519E-2</v>
      </c>
      <c r="I1685">
        <f t="shared" si="209"/>
        <v>134.8723282815113</v>
      </c>
      <c r="J1685">
        <f t="shared" si="204"/>
        <v>481.95788871858787</v>
      </c>
      <c r="K1685" s="27">
        <f t="shared" si="205"/>
        <v>4314.2239630260801</v>
      </c>
    </row>
    <row r="1686" spans="1:11" x14ac:dyDescent="0.25">
      <c r="A1686" s="26">
        <v>1636</v>
      </c>
      <c r="B1686" s="82">
        <f t="shared" si="206"/>
        <v>0</v>
      </c>
      <c r="C1686" s="58">
        <f t="shared" si="210"/>
        <v>104.50616427295054</v>
      </c>
      <c r="D1686" s="83">
        <f t="shared" si="207"/>
        <v>445.77777777777789</v>
      </c>
      <c r="E1686">
        <f t="shared" si="203"/>
        <v>0</v>
      </c>
      <c r="G1686">
        <v>1636</v>
      </c>
      <c r="H1686" s="13">
        <f t="shared" si="208"/>
        <v>1.8572577375266519E-2</v>
      </c>
      <c r="I1686">
        <f t="shared" si="209"/>
        <v>134.89090085888657</v>
      </c>
      <c r="J1686">
        <f t="shared" si="204"/>
        <v>481.97156528592819</v>
      </c>
      <c r="K1686" s="27">
        <f t="shared" si="205"/>
        <v>4314.4687544096259</v>
      </c>
    </row>
    <row r="1687" spans="1:11" x14ac:dyDescent="0.25">
      <c r="A1687" s="26">
        <v>1637</v>
      </c>
      <c r="B1687" s="82">
        <f t="shared" si="206"/>
        <v>0</v>
      </c>
      <c r="C1687" s="58">
        <f t="shared" si="210"/>
        <v>104.50616427295054</v>
      </c>
      <c r="D1687" s="83">
        <f t="shared" si="207"/>
        <v>445.77777777777789</v>
      </c>
      <c r="E1687">
        <f t="shared" si="203"/>
        <v>0</v>
      </c>
      <c r="G1687">
        <v>1637</v>
      </c>
      <c r="H1687" s="13">
        <f t="shared" si="208"/>
        <v>1.8572577375266519E-2</v>
      </c>
      <c r="I1687">
        <f t="shared" si="209"/>
        <v>134.90947343626183</v>
      </c>
      <c r="J1687">
        <f t="shared" si="204"/>
        <v>481.98523526804161</v>
      </c>
      <c r="K1687" s="27">
        <f t="shared" si="205"/>
        <v>4314.7134348679647</v>
      </c>
    </row>
    <row r="1688" spans="1:11" x14ac:dyDescent="0.25">
      <c r="A1688" s="26">
        <v>1638</v>
      </c>
      <c r="B1688" s="82">
        <f t="shared" si="206"/>
        <v>0</v>
      </c>
      <c r="C1688" s="58">
        <f t="shared" si="210"/>
        <v>104.50616427295054</v>
      </c>
      <c r="D1688" s="83">
        <f t="shared" si="207"/>
        <v>445.77777777777789</v>
      </c>
      <c r="E1688">
        <f t="shared" si="203"/>
        <v>0</v>
      </c>
      <c r="G1688">
        <v>1638</v>
      </c>
      <c r="H1688" s="13">
        <f t="shared" si="208"/>
        <v>1.8572577375266519E-2</v>
      </c>
      <c r="I1688">
        <f t="shared" si="209"/>
        <v>134.9280460136371</v>
      </c>
      <c r="J1688">
        <f t="shared" si="204"/>
        <v>481.99889866827056</v>
      </c>
      <c r="K1688" s="27">
        <f t="shared" si="205"/>
        <v>4314.9580044508757</v>
      </c>
    </row>
    <row r="1689" spans="1:11" x14ac:dyDescent="0.25">
      <c r="A1689" s="26">
        <v>1639</v>
      </c>
      <c r="B1689" s="82">
        <f t="shared" si="206"/>
        <v>0</v>
      </c>
      <c r="C1689" s="58">
        <f t="shared" si="210"/>
        <v>104.50616427295054</v>
      </c>
      <c r="D1689" s="83">
        <f t="shared" si="207"/>
        <v>445.77777777777789</v>
      </c>
      <c r="E1689">
        <f t="shared" si="203"/>
        <v>0</v>
      </c>
      <c r="G1689">
        <v>1639</v>
      </c>
      <c r="H1689" s="13">
        <f t="shared" si="208"/>
        <v>1.8572577375266519E-2</v>
      </c>
      <c r="I1689">
        <f t="shared" si="209"/>
        <v>134.94661859101237</v>
      </c>
      <c r="J1689">
        <f t="shared" si="204"/>
        <v>482.01255548995351</v>
      </c>
      <c r="K1689" s="27">
        <f t="shared" si="205"/>
        <v>4315.2024632080838</v>
      </c>
    </row>
    <row r="1690" spans="1:11" x14ac:dyDescent="0.25">
      <c r="A1690" s="26">
        <v>1640</v>
      </c>
      <c r="B1690" s="82">
        <f t="shared" si="206"/>
        <v>0</v>
      </c>
      <c r="C1690" s="58">
        <f t="shared" si="210"/>
        <v>104.50616427295054</v>
      </c>
      <c r="D1690" s="83">
        <f t="shared" si="207"/>
        <v>445.77777777777789</v>
      </c>
      <c r="E1690">
        <f t="shared" si="203"/>
        <v>0</v>
      </c>
      <c r="G1690">
        <v>1640</v>
      </c>
      <c r="H1690" s="13">
        <f t="shared" si="208"/>
        <v>1.8572577375266519E-2</v>
      </c>
      <c r="I1690">
        <f t="shared" si="209"/>
        <v>134.96519116838763</v>
      </c>
      <c r="J1690">
        <f t="shared" si="204"/>
        <v>482.02620573642503</v>
      </c>
      <c r="K1690" s="27">
        <f t="shared" si="205"/>
        <v>4315.4468111892538</v>
      </c>
    </row>
    <row r="1691" spans="1:11" x14ac:dyDescent="0.25">
      <c r="A1691" s="26">
        <v>1641</v>
      </c>
      <c r="B1691" s="82">
        <f t="shared" si="206"/>
        <v>0</v>
      </c>
      <c r="C1691" s="58">
        <f t="shared" si="210"/>
        <v>104.50616427295054</v>
      </c>
      <c r="D1691" s="83">
        <f t="shared" si="207"/>
        <v>445.77777777777789</v>
      </c>
      <c r="E1691">
        <f t="shared" si="203"/>
        <v>0</v>
      </c>
      <c r="G1691">
        <v>1641</v>
      </c>
      <c r="H1691" s="13">
        <f t="shared" si="208"/>
        <v>1.8572577375266519E-2</v>
      </c>
      <c r="I1691">
        <f t="shared" si="209"/>
        <v>134.9837637457629</v>
      </c>
      <c r="J1691">
        <f t="shared" si="204"/>
        <v>482.03984941101601</v>
      </c>
      <c r="K1691" s="27">
        <f t="shared" si="205"/>
        <v>4315.6910484439968</v>
      </c>
    </row>
    <row r="1692" spans="1:11" x14ac:dyDescent="0.25">
      <c r="A1692" s="26">
        <v>1642</v>
      </c>
      <c r="B1692" s="82">
        <f t="shared" si="206"/>
        <v>0</v>
      </c>
      <c r="C1692" s="58">
        <f t="shared" si="210"/>
        <v>104.50616427295054</v>
      </c>
      <c r="D1692" s="83">
        <f t="shared" si="207"/>
        <v>445.77777777777789</v>
      </c>
      <c r="E1692">
        <f t="shared" si="203"/>
        <v>0</v>
      </c>
      <c r="G1692">
        <v>1642</v>
      </c>
      <c r="H1692" s="13">
        <f t="shared" si="208"/>
        <v>1.8572577375266519E-2</v>
      </c>
      <c r="I1692">
        <f t="shared" si="209"/>
        <v>135.00233632313817</v>
      </c>
      <c r="J1692">
        <f t="shared" si="204"/>
        <v>482.05348651705333</v>
      </c>
      <c r="K1692" s="27">
        <f t="shared" si="205"/>
        <v>4315.9351750218621</v>
      </c>
    </row>
    <row r="1693" spans="1:11" x14ac:dyDescent="0.25">
      <c r="A1693" s="26">
        <v>1643</v>
      </c>
      <c r="B1693" s="82">
        <f t="shared" si="206"/>
        <v>0</v>
      </c>
      <c r="C1693" s="58">
        <f t="shared" si="210"/>
        <v>104.50616427295054</v>
      </c>
      <c r="D1693" s="83">
        <f t="shared" si="207"/>
        <v>445.77777777777789</v>
      </c>
      <c r="E1693">
        <f t="shared" si="203"/>
        <v>0</v>
      </c>
      <c r="G1693">
        <v>1643</v>
      </c>
      <c r="H1693" s="13">
        <f t="shared" si="208"/>
        <v>1.8572577375266519E-2</v>
      </c>
      <c r="I1693">
        <f t="shared" si="209"/>
        <v>135.02090890051343</v>
      </c>
      <c r="J1693">
        <f t="shared" si="204"/>
        <v>482.06711705786006</v>
      </c>
      <c r="K1693" s="27">
        <f t="shared" si="205"/>
        <v>4316.1791909723443</v>
      </c>
    </row>
    <row r="1694" spans="1:11" x14ac:dyDescent="0.25">
      <c r="A1694" s="26">
        <v>1644</v>
      </c>
      <c r="B1694" s="82">
        <f t="shared" si="206"/>
        <v>0</v>
      </c>
      <c r="C1694" s="58">
        <f t="shared" si="210"/>
        <v>104.50616427295054</v>
      </c>
      <c r="D1694" s="83">
        <f t="shared" si="207"/>
        <v>445.77777777777789</v>
      </c>
      <c r="E1694">
        <f t="shared" si="203"/>
        <v>0</v>
      </c>
      <c r="G1694">
        <v>1644</v>
      </c>
      <c r="H1694" s="13">
        <f t="shared" si="208"/>
        <v>1.8572577375266519E-2</v>
      </c>
      <c r="I1694">
        <f t="shared" si="209"/>
        <v>135.0394814778887</v>
      </c>
      <c r="J1694">
        <f t="shared" si="204"/>
        <v>482.0807410367554</v>
      </c>
      <c r="K1694" s="27">
        <f t="shared" si="205"/>
        <v>4316.4230963448781</v>
      </c>
    </row>
    <row r="1695" spans="1:11" x14ac:dyDescent="0.25">
      <c r="A1695" s="26">
        <v>1645</v>
      </c>
      <c r="B1695" s="82">
        <f t="shared" si="206"/>
        <v>0</v>
      </c>
      <c r="C1695" s="58">
        <f t="shared" si="210"/>
        <v>104.50616427295054</v>
      </c>
      <c r="D1695" s="83">
        <f t="shared" si="207"/>
        <v>445.77777777777789</v>
      </c>
      <c r="E1695">
        <f t="shared" si="203"/>
        <v>0</v>
      </c>
      <c r="G1695">
        <v>1645</v>
      </c>
      <c r="H1695" s="13">
        <f t="shared" si="208"/>
        <v>1.8572577375266519E-2</v>
      </c>
      <c r="I1695">
        <f t="shared" si="209"/>
        <v>135.05805405526397</v>
      </c>
      <c r="J1695">
        <f t="shared" si="204"/>
        <v>482.09435845705485</v>
      </c>
      <c r="K1695" s="27">
        <f t="shared" si="205"/>
        <v>4316.6668911888482</v>
      </c>
    </row>
    <row r="1696" spans="1:11" x14ac:dyDescent="0.25">
      <c r="A1696" s="26">
        <v>1646</v>
      </c>
      <c r="B1696" s="82">
        <f t="shared" si="206"/>
        <v>0</v>
      </c>
      <c r="C1696" s="58">
        <f t="shared" si="210"/>
        <v>104.50616427295054</v>
      </c>
      <c r="D1696" s="83">
        <f t="shared" si="207"/>
        <v>445.77777777777789</v>
      </c>
      <c r="E1696">
        <f t="shared" si="203"/>
        <v>0</v>
      </c>
      <c r="G1696">
        <v>1646</v>
      </c>
      <c r="H1696" s="13">
        <f t="shared" si="208"/>
        <v>1.8572577375266519E-2</v>
      </c>
      <c r="I1696">
        <f t="shared" si="209"/>
        <v>135.07662663263923</v>
      </c>
      <c r="J1696">
        <f t="shared" si="204"/>
        <v>482.10796932206995</v>
      </c>
      <c r="K1696" s="27">
        <f t="shared" si="205"/>
        <v>4316.9105755535738</v>
      </c>
    </row>
    <row r="1697" spans="1:11" x14ac:dyDescent="0.25">
      <c r="A1697" s="26">
        <v>1647</v>
      </c>
      <c r="B1697" s="82">
        <f t="shared" si="206"/>
        <v>0</v>
      </c>
      <c r="C1697" s="58">
        <f t="shared" si="210"/>
        <v>104.50616427295054</v>
      </c>
      <c r="D1697" s="83">
        <f t="shared" si="207"/>
        <v>445.77777777777789</v>
      </c>
      <c r="E1697">
        <f t="shared" si="203"/>
        <v>0</v>
      </c>
      <c r="G1697">
        <v>1647</v>
      </c>
      <c r="H1697" s="13">
        <f t="shared" si="208"/>
        <v>1.8572577375266519E-2</v>
      </c>
      <c r="I1697">
        <f t="shared" si="209"/>
        <v>135.0951992100145</v>
      </c>
      <c r="J1697">
        <f t="shared" si="204"/>
        <v>482.12157363510852</v>
      </c>
      <c r="K1697" s="27">
        <f t="shared" si="205"/>
        <v>4317.1541494883231</v>
      </c>
    </row>
    <row r="1698" spans="1:11" x14ac:dyDescent="0.25">
      <c r="A1698" s="26">
        <v>1648</v>
      </c>
      <c r="B1698" s="82">
        <f t="shared" si="206"/>
        <v>0</v>
      </c>
      <c r="C1698" s="58">
        <f t="shared" si="210"/>
        <v>104.50616427295054</v>
      </c>
      <c r="D1698" s="83">
        <f t="shared" si="207"/>
        <v>445.77777777777789</v>
      </c>
      <c r="E1698">
        <f t="shared" si="203"/>
        <v>0</v>
      </c>
      <c r="G1698">
        <v>1648</v>
      </c>
      <c r="H1698" s="13">
        <f t="shared" si="208"/>
        <v>1.8572577375266519E-2</v>
      </c>
      <c r="I1698">
        <f t="shared" si="209"/>
        <v>135.11377178738977</v>
      </c>
      <c r="J1698">
        <f t="shared" si="204"/>
        <v>482.13517139947442</v>
      </c>
      <c r="K1698" s="27">
        <f t="shared" si="205"/>
        <v>4317.3976130423025</v>
      </c>
    </row>
    <row r="1699" spans="1:11" x14ac:dyDescent="0.25">
      <c r="A1699" s="26">
        <v>1649</v>
      </c>
      <c r="B1699" s="82">
        <f t="shared" si="206"/>
        <v>0</v>
      </c>
      <c r="C1699" s="58">
        <f t="shared" si="210"/>
        <v>104.50616427295054</v>
      </c>
      <c r="D1699" s="83">
        <f t="shared" si="207"/>
        <v>445.77777777777789</v>
      </c>
      <c r="E1699">
        <f t="shared" si="203"/>
        <v>0</v>
      </c>
      <c r="G1699">
        <v>1649</v>
      </c>
      <c r="H1699" s="13">
        <f t="shared" si="208"/>
        <v>1.8572577375266519E-2</v>
      </c>
      <c r="I1699">
        <f t="shared" si="209"/>
        <v>135.13234436476503</v>
      </c>
      <c r="J1699">
        <f t="shared" si="204"/>
        <v>482.1487626184678</v>
      </c>
      <c r="K1699" s="27">
        <f t="shared" si="205"/>
        <v>4317.6409662646665</v>
      </c>
    </row>
    <row r="1700" spans="1:11" x14ac:dyDescent="0.25">
      <c r="A1700" s="26">
        <v>1650</v>
      </c>
      <c r="B1700" s="82">
        <f t="shared" si="206"/>
        <v>0</v>
      </c>
      <c r="C1700" s="58">
        <f t="shared" si="210"/>
        <v>104.50616427295054</v>
      </c>
      <c r="D1700" s="83">
        <f t="shared" si="207"/>
        <v>445.77777777777789</v>
      </c>
      <c r="E1700">
        <f t="shared" si="203"/>
        <v>0</v>
      </c>
      <c r="G1700">
        <v>1650</v>
      </c>
      <c r="H1700" s="13">
        <f t="shared" si="208"/>
        <v>1.8572577375266519E-2</v>
      </c>
      <c r="I1700">
        <f t="shared" si="209"/>
        <v>135.1509169421403</v>
      </c>
      <c r="J1700">
        <f t="shared" si="204"/>
        <v>482.16234729538502</v>
      </c>
      <c r="K1700" s="27">
        <f t="shared" si="205"/>
        <v>4317.8842092045097</v>
      </c>
    </row>
    <row r="1701" spans="1:11" x14ac:dyDescent="0.25">
      <c r="A1701" s="26">
        <v>1651</v>
      </c>
      <c r="B1701" s="82">
        <f t="shared" si="206"/>
        <v>0</v>
      </c>
      <c r="C1701" s="58">
        <f t="shared" si="210"/>
        <v>104.50616427295054</v>
      </c>
      <c r="D1701" s="83">
        <f t="shared" si="207"/>
        <v>445.77777777777789</v>
      </c>
      <c r="E1701">
        <f t="shared" si="203"/>
        <v>0</v>
      </c>
      <c r="G1701">
        <v>1651</v>
      </c>
      <c r="H1701" s="13">
        <f t="shared" si="208"/>
        <v>1.8572577375266519E-2</v>
      </c>
      <c r="I1701">
        <f t="shared" si="209"/>
        <v>135.16948951951557</v>
      </c>
      <c r="J1701">
        <f t="shared" si="204"/>
        <v>482.17592543351861</v>
      </c>
      <c r="K1701" s="27">
        <f t="shared" si="205"/>
        <v>4318.1273419108729</v>
      </c>
    </row>
    <row r="1702" spans="1:11" x14ac:dyDescent="0.25">
      <c r="A1702" s="26">
        <v>1652</v>
      </c>
      <c r="B1702" s="82">
        <f t="shared" si="206"/>
        <v>0</v>
      </c>
      <c r="C1702" s="58">
        <f t="shared" si="210"/>
        <v>104.50616427295054</v>
      </c>
      <c r="D1702" s="83">
        <f t="shared" si="207"/>
        <v>445.77777777777789</v>
      </c>
      <c r="E1702">
        <f t="shared" si="203"/>
        <v>0</v>
      </c>
      <c r="G1702">
        <v>1652</v>
      </c>
      <c r="H1702" s="13">
        <f t="shared" si="208"/>
        <v>1.8572577375266519E-2</v>
      </c>
      <c r="I1702">
        <f t="shared" si="209"/>
        <v>135.18806209689083</v>
      </c>
      <c r="J1702">
        <f t="shared" si="204"/>
        <v>482.18949703615732</v>
      </c>
      <c r="K1702" s="27">
        <f t="shared" si="205"/>
        <v>4318.370364432737</v>
      </c>
    </row>
    <row r="1703" spans="1:11" x14ac:dyDescent="0.25">
      <c r="A1703" s="26">
        <v>1653</v>
      </c>
      <c r="B1703" s="82">
        <f t="shared" si="206"/>
        <v>0</v>
      </c>
      <c r="C1703" s="58">
        <f t="shared" si="210"/>
        <v>104.50616427295054</v>
      </c>
      <c r="D1703" s="83">
        <f t="shared" si="207"/>
        <v>445.77777777777789</v>
      </c>
      <c r="E1703">
        <f t="shared" si="203"/>
        <v>0</v>
      </c>
      <c r="G1703">
        <v>1653</v>
      </c>
      <c r="H1703" s="13">
        <f t="shared" si="208"/>
        <v>1.8572577375266519E-2</v>
      </c>
      <c r="I1703">
        <f t="shared" si="209"/>
        <v>135.2066346742661</v>
      </c>
      <c r="J1703">
        <f t="shared" si="204"/>
        <v>482.20306210658612</v>
      </c>
      <c r="K1703" s="27">
        <f t="shared" si="205"/>
        <v>4318.6132768190282</v>
      </c>
    </row>
    <row r="1704" spans="1:11" x14ac:dyDescent="0.25">
      <c r="A1704" s="26">
        <v>1654</v>
      </c>
      <c r="B1704" s="82">
        <f t="shared" si="206"/>
        <v>0</v>
      </c>
      <c r="C1704" s="58">
        <f t="shared" si="210"/>
        <v>104.50616427295054</v>
      </c>
      <c r="D1704" s="83">
        <f t="shared" si="207"/>
        <v>445.77777777777789</v>
      </c>
      <c r="E1704">
        <f t="shared" si="203"/>
        <v>0</v>
      </c>
      <c r="G1704">
        <v>1654</v>
      </c>
      <c r="H1704" s="13">
        <f t="shared" si="208"/>
        <v>1.8572577375266519E-2</v>
      </c>
      <c r="I1704">
        <f t="shared" si="209"/>
        <v>135.22520725164136</v>
      </c>
      <c r="J1704">
        <f t="shared" si="204"/>
        <v>482.21662064808606</v>
      </c>
      <c r="K1704" s="27">
        <f t="shared" si="205"/>
        <v>4318.8560791186192</v>
      </c>
    </row>
    <row r="1705" spans="1:11" x14ac:dyDescent="0.25">
      <c r="A1705" s="26">
        <v>1655</v>
      </c>
      <c r="B1705" s="82">
        <f t="shared" si="206"/>
        <v>0</v>
      </c>
      <c r="C1705" s="58">
        <f t="shared" si="210"/>
        <v>104.50616427295054</v>
      </c>
      <c r="D1705" s="83">
        <f t="shared" si="207"/>
        <v>445.77777777777789</v>
      </c>
      <c r="E1705">
        <f t="shared" si="203"/>
        <v>0</v>
      </c>
      <c r="G1705">
        <v>1655</v>
      </c>
      <c r="H1705" s="13">
        <f t="shared" si="208"/>
        <v>1.8572577375266519E-2</v>
      </c>
      <c r="I1705">
        <f t="shared" si="209"/>
        <v>135.24377982901663</v>
      </c>
      <c r="J1705">
        <f t="shared" si="204"/>
        <v>482.23017266393475</v>
      </c>
      <c r="K1705" s="27">
        <f t="shared" si="205"/>
        <v>4319.0987713803206</v>
      </c>
    </row>
    <row r="1706" spans="1:11" x14ac:dyDescent="0.25">
      <c r="A1706" s="26">
        <v>1656</v>
      </c>
      <c r="B1706" s="82">
        <f t="shared" si="206"/>
        <v>0</v>
      </c>
      <c r="C1706" s="58">
        <f t="shared" si="210"/>
        <v>104.50616427295054</v>
      </c>
      <c r="D1706" s="83">
        <f t="shared" si="207"/>
        <v>445.77777777777789</v>
      </c>
      <c r="E1706">
        <f t="shared" si="203"/>
        <v>0</v>
      </c>
      <c r="G1706">
        <v>1656</v>
      </c>
      <c r="H1706" s="13">
        <f t="shared" si="208"/>
        <v>1.8572577375266519E-2</v>
      </c>
      <c r="I1706">
        <f t="shared" si="209"/>
        <v>135.2623524063919</v>
      </c>
      <c r="J1706">
        <f t="shared" si="204"/>
        <v>482.24371815740562</v>
      </c>
      <c r="K1706" s="27">
        <f t="shared" si="205"/>
        <v>4319.3413536528924</v>
      </c>
    </row>
    <row r="1707" spans="1:11" x14ac:dyDescent="0.25">
      <c r="A1707" s="26">
        <v>1657</v>
      </c>
      <c r="B1707" s="82">
        <f t="shared" si="206"/>
        <v>0</v>
      </c>
      <c r="C1707" s="58">
        <f t="shared" si="210"/>
        <v>104.50616427295054</v>
      </c>
      <c r="D1707" s="83">
        <f t="shared" si="207"/>
        <v>445.77777777777789</v>
      </c>
      <c r="E1707">
        <f t="shared" si="203"/>
        <v>0</v>
      </c>
      <c r="G1707">
        <v>1657</v>
      </c>
      <c r="H1707" s="13">
        <f t="shared" si="208"/>
        <v>1.8572577375266519E-2</v>
      </c>
      <c r="I1707">
        <f t="shared" si="209"/>
        <v>135.28092498376716</v>
      </c>
      <c r="J1707">
        <f t="shared" si="204"/>
        <v>482.25725713176871</v>
      </c>
      <c r="K1707" s="27">
        <f t="shared" si="205"/>
        <v>4319.5838259850343</v>
      </c>
    </row>
    <row r="1708" spans="1:11" x14ac:dyDescent="0.25">
      <c r="A1708" s="26">
        <v>1658</v>
      </c>
      <c r="B1708" s="82">
        <f t="shared" si="206"/>
        <v>0</v>
      </c>
      <c r="C1708" s="58">
        <f t="shared" si="210"/>
        <v>104.50616427295054</v>
      </c>
      <c r="D1708" s="83">
        <f t="shared" si="207"/>
        <v>445.77777777777789</v>
      </c>
      <c r="E1708">
        <f t="shared" si="203"/>
        <v>0</v>
      </c>
      <c r="G1708">
        <v>1658</v>
      </c>
      <c r="H1708" s="13">
        <f t="shared" si="208"/>
        <v>1.8572577375266519E-2</v>
      </c>
      <c r="I1708">
        <f t="shared" si="209"/>
        <v>135.29949756114243</v>
      </c>
      <c r="J1708">
        <f t="shared" si="204"/>
        <v>482.27078959028995</v>
      </c>
      <c r="K1708" s="27">
        <f t="shared" si="205"/>
        <v>4319.8261884253925</v>
      </c>
    </row>
    <row r="1709" spans="1:11" x14ac:dyDescent="0.25">
      <c r="A1709" s="26">
        <v>1659</v>
      </c>
      <c r="B1709" s="82">
        <f t="shared" si="206"/>
        <v>0</v>
      </c>
      <c r="C1709" s="58">
        <f t="shared" si="210"/>
        <v>104.50616427295054</v>
      </c>
      <c r="D1709" s="83">
        <f t="shared" si="207"/>
        <v>445.77777777777789</v>
      </c>
      <c r="E1709">
        <f t="shared" si="203"/>
        <v>0</v>
      </c>
      <c r="G1709">
        <v>1659</v>
      </c>
      <c r="H1709" s="13">
        <f t="shared" si="208"/>
        <v>1.8572577375266519E-2</v>
      </c>
      <c r="I1709">
        <f t="shared" si="209"/>
        <v>135.3180701385177</v>
      </c>
      <c r="J1709">
        <f t="shared" si="204"/>
        <v>482.28431553623187</v>
      </c>
      <c r="K1709" s="27">
        <f t="shared" si="205"/>
        <v>4320.0684410225585</v>
      </c>
    </row>
    <row r="1710" spans="1:11" x14ac:dyDescent="0.25">
      <c r="A1710" s="26">
        <v>1660</v>
      </c>
      <c r="B1710" s="82">
        <f t="shared" si="206"/>
        <v>0</v>
      </c>
      <c r="C1710" s="58">
        <f t="shared" si="210"/>
        <v>104.50616427295054</v>
      </c>
      <c r="D1710" s="83">
        <f t="shared" si="207"/>
        <v>445.77777777777789</v>
      </c>
      <c r="E1710">
        <f t="shared" si="203"/>
        <v>0</v>
      </c>
      <c r="G1710">
        <v>1660</v>
      </c>
      <c r="H1710" s="13">
        <f t="shared" si="208"/>
        <v>1.8572577375266519E-2</v>
      </c>
      <c r="I1710">
        <f t="shared" si="209"/>
        <v>135.33664271589296</v>
      </c>
      <c r="J1710">
        <f t="shared" si="204"/>
        <v>482.29783497285297</v>
      </c>
      <c r="K1710" s="27">
        <f t="shared" si="205"/>
        <v>4320.3105838250649</v>
      </c>
    </row>
    <row r="1711" spans="1:11" x14ac:dyDescent="0.25">
      <c r="A1711" s="26">
        <v>1661</v>
      </c>
      <c r="B1711" s="82">
        <f t="shared" si="206"/>
        <v>0</v>
      </c>
      <c r="C1711" s="58">
        <f t="shared" si="210"/>
        <v>104.50616427295054</v>
      </c>
      <c r="D1711" s="83">
        <f t="shared" si="207"/>
        <v>445.77777777777789</v>
      </c>
      <c r="E1711">
        <f t="shared" si="203"/>
        <v>0</v>
      </c>
      <c r="G1711">
        <v>1661</v>
      </c>
      <c r="H1711" s="13">
        <f t="shared" si="208"/>
        <v>1.8572577375266519E-2</v>
      </c>
      <c r="I1711">
        <f t="shared" si="209"/>
        <v>135.35521529326823</v>
      </c>
      <c r="J1711">
        <f t="shared" si="204"/>
        <v>482.3113479034082</v>
      </c>
      <c r="K1711" s="27">
        <f t="shared" si="205"/>
        <v>4320.5526168813903</v>
      </c>
    </row>
    <row r="1712" spans="1:11" x14ac:dyDescent="0.25">
      <c r="A1712" s="26">
        <v>1662</v>
      </c>
      <c r="B1712" s="82">
        <f t="shared" si="206"/>
        <v>0</v>
      </c>
      <c r="C1712" s="58">
        <f t="shared" si="210"/>
        <v>104.50616427295054</v>
      </c>
      <c r="D1712" s="83">
        <f t="shared" si="207"/>
        <v>445.77777777777789</v>
      </c>
      <c r="E1712">
        <f t="shared" si="203"/>
        <v>0</v>
      </c>
      <c r="G1712">
        <v>1662</v>
      </c>
      <c r="H1712" s="13">
        <f t="shared" si="208"/>
        <v>1.8572577375266519E-2</v>
      </c>
      <c r="I1712">
        <f t="shared" si="209"/>
        <v>135.3737878706435</v>
      </c>
      <c r="J1712">
        <f t="shared" si="204"/>
        <v>482.32485433114857</v>
      </c>
      <c r="K1712" s="27">
        <f t="shared" si="205"/>
        <v>4320.7945402399573</v>
      </c>
    </row>
    <row r="1713" spans="1:11" x14ac:dyDescent="0.25">
      <c r="A1713" s="26">
        <v>1663</v>
      </c>
      <c r="B1713" s="82">
        <f t="shared" si="206"/>
        <v>0</v>
      </c>
      <c r="C1713" s="58">
        <f t="shared" si="210"/>
        <v>104.50616427295054</v>
      </c>
      <c r="D1713" s="83">
        <f t="shared" si="207"/>
        <v>445.77777777777789</v>
      </c>
      <c r="E1713">
        <f t="shared" si="203"/>
        <v>0</v>
      </c>
      <c r="G1713">
        <v>1663</v>
      </c>
      <c r="H1713" s="13">
        <f t="shared" si="208"/>
        <v>1.8572577375266519E-2</v>
      </c>
      <c r="I1713">
        <f t="shared" si="209"/>
        <v>135.39236044801876</v>
      </c>
      <c r="J1713">
        <f t="shared" si="204"/>
        <v>482.33835425932165</v>
      </c>
      <c r="K1713" s="27">
        <f t="shared" si="205"/>
        <v>4321.0363539491336</v>
      </c>
    </row>
    <row r="1714" spans="1:11" x14ac:dyDescent="0.25">
      <c r="A1714" s="26">
        <v>1664</v>
      </c>
      <c r="B1714" s="82">
        <f t="shared" si="206"/>
        <v>0</v>
      </c>
      <c r="C1714" s="58">
        <f t="shared" si="210"/>
        <v>104.50616427295054</v>
      </c>
      <c r="D1714" s="83">
        <f t="shared" si="207"/>
        <v>445.77777777777789</v>
      </c>
      <c r="E1714">
        <f t="shared" si="203"/>
        <v>0</v>
      </c>
      <c r="G1714">
        <v>1664</v>
      </c>
      <c r="H1714" s="13">
        <f t="shared" si="208"/>
        <v>1.8572577375266519E-2</v>
      </c>
      <c r="I1714">
        <f t="shared" si="209"/>
        <v>135.41093302539403</v>
      </c>
      <c r="J1714">
        <f t="shared" si="204"/>
        <v>482.35184769117103</v>
      </c>
      <c r="K1714" s="27">
        <f t="shared" si="205"/>
        <v>4321.2780580572298</v>
      </c>
    </row>
    <row r="1715" spans="1:11" x14ac:dyDescent="0.25">
      <c r="A1715" s="26">
        <v>1665</v>
      </c>
      <c r="B1715" s="82">
        <f t="shared" si="206"/>
        <v>0</v>
      </c>
      <c r="C1715" s="58">
        <f t="shared" si="210"/>
        <v>104.50616427295054</v>
      </c>
      <c r="D1715" s="83">
        <f t="shared" si="207"/>
        <v>445.77777777777789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1.8572577375266519E-2</v>
      </c>
      <c r="I1715">
        <f t="shared" si="209"/>
        <v>135.4295056027693</v>
      </c>
      <c r="J1715">
        <f t="shared" ref="J1715:J1778" si="212">IF($G$28&lt;$C$14,0,((($C$11^2)-((I1715-$C$13)^2))^0.5)+$C$16)</f>
        <v>482.36533462993668</v>
      </c>
      <c r="K1715" s="27">
        <f t="shared" ref="K1715:K1778" si="213">((J1715^2)+(J1715*J1716)+(J1716^2))*H1716/3</f>
        <v>4321.5196526125037</v>
      </c>
    </row>
    <row r="1716" spans="1:11" x14ac:dyDescent="0.25">
      <c r="A1716" s="26">
        <v>1666</v>
      </c>
      <c r="B1716" s="82">
        <f t="shared" ref="B1716:B1779" si="214">C1716-C1715</f>
        <v>0</v>
      </c>
      <c r="C1716" s="58">
        <f t="shared" si="210"/>
        <v>104.50616427295054</v>
      </c>
      <c r="D1716" s="83">
        <f t="shared" ref="D1716:D1779" si="215">IF($G$28&lt;$C$14,0,((($C$11^2)-((C1716-$C$13)^2))^0.5)+$C$16)</f>
        <v>445.77777777777789</v>
      </c>
      <c r="E1716">
        <f t="shared" si="211"/>
        <v>0</v>
      </c>
      <c r="G1716">
        <v>1666</v>
      </c>
      <c r="H1716" s="13">
        <f t="shared" ref="H1716:H1779" si="216">I1716-I1715</f>
        <v>1.8572577375266519E-2</v>
      </c>
      <c r="I1716">
        <f t="shared" ref="I1716:I1779" si="217">($G$27-$C$14)/2000+I1715</f>
        <v>135.44807818014456</v>
      </c>
      <c r="J1716">
        <f t="shared" si="212"/>
        <v>482.37881507885487</v>
      </c>
      <c r="K1716" s="27">
        <f t="shared" si="213"/>
        <v>4321.7611376631558</v>
      </c>
    </row>
    <row r="1717" spans="1:11" x14ac:dyDescent="0.25">
      <c r="A1717" s="26">
        <v>1667</v>
      </c>
      <c r="B1717" s="82">
        <f t="shared" si="214"/>
        <v>0</v>
      </c>
      <c r="C1717" s="58">
        <f t="shared" si="210"/>
        <v>104.50616427295054</v>
      </c>
      <c r="D1717" s="83">
        <f t="shared" si="215"/>
        <v>445.77777777777789</v>
      </c>
      <c r="E1717">
        <f t="shared" si="211"/>
        <v>0</v>
      </c>
      <c r="G1717">
        <v>1667</v>
      </c>
      <c r="H1717" s="13">
        <f t="shared" si="216"/>
        <v>1.8572577375266519E-2</v>
      </c>
      <c r="I1717">
        <f t="shared" si="217"/>
        <v>135.46665075751983</v>
      </c>
      <c r="J1717">
        <f t="shared" si="212"/>
        <v>482.39228904115816</v>
      </c>
      <c r="K1717" s="27">
        <f t="shared" si="213"/>
        <v>4322.002513257331</v>
      </c>
    </row>
    <row r="1718" spans="1:11" x14ac:dyDescent="0.25">
      <c r="A1718" s="26">
        <v>1668</v>
      </c>
      <c r="B1718" s="82">
        <f t="shared" si="214"/>
        <v>0</v>
      </c>
      <c r="C1718" s="58">
        <f t="shared" si="210"/>
        <v>104.50616427295054</v>
      </c>
      <c r="D1718" s="83">
        <f t="shared" si="215"/>
        <v>445.77777777777789</v>
      </c>
      <c r="E1718">
        <f t="shared" si="211"/>
        <v>0</v>
      </c>
      <c r="G1718">
        <v>1668</v>
      </c>
      <c r="H1718" s="13">
        <f t="shared" si="216"/>
        <v>1.8572577375266519E-2</v>
      </c>
      <c r="I1718">
        <f t="shared" si="217"/>
        <v>135.4852233348951</v>
      </c>
      <c r="J1718">
        <f t="shared" si="212"/>
        <v>482.40575652007539</v>
      </c>
      <c r="K1718" s="27">
        <f t="shared" si="213"/>
        <v>4322.2437794431216</v>
      </c>
    </row>
    <row r="1719" spans="1:11" x14ac:dyDescent="0.25">
      <c r="A1719" s="26">
        <v>1669</v>
      </c>
      <c r="B1719" s="82">
        <f t="shared" si="214"/>
        <v>0</v>
      </c>
      <c r="C1719" s="58">
        <f t="shared" si="210"/>
        <v>104.50616427295054</v>
      </c>
      <c r="D1719" s="83">
        <f t="shared" si="215"/>
        <v>445.77777777777789</v>
      </c>
      <c r="E1719">
        <f t="shared" si="211"/>
        <v>0</v>
      </c>
      <c r="G1719">
        <v>1669</v>
      </c>
      <c r="H1719" s="13">
        <f t="shared" si="216"/>
        <v>1.8572577375266519E-2</v>
      </c>
      <c r="I1719">
        <f t="shared" si="217"/>
        <v>135.50379591227036</v>
      </c>
      <c r="J1719">
        <f t="shared" si="212"/>
        <v>482.41921751883172</v>
      </c>
      <c r="K1719" s="27">
        <f t="shared" si="213"/>
        <v>4322.4849362685645</v>
      </c>
    </row>
    <row r="1720" spans="1:11" x14ac:dyDescent="0.25">
      <c r="A1720" s="26">
        <v>1670</v>
      </c>
      <c r="B1720" s="82">
        <f t="shared" si="214"/>
        <v>0</v>
      </c>
      <c r="C1720" s="58">
        <f t="shared" si="210"/>
        <v>104.50616427295054</v>
      </c>
      <c r="D1720" s="83">
        <f t="shared" si="215"/>
        <v>445.77777777777789</v>
      </c>
      <c r="E1720">
        <f t="shared" si="211"/>
        <v>0</v>
      </c>
      <c r="G1720">
        <v>1670</v>
      </c>
      <c r="H1720" s="13">
        <f t="shared" si="216"/>
        <v>1.8572577375266519E-2</v>
      </c>
      <c r="I1720">
        <f t="shared" si="217"/>
        <v>135.52236848964563</v>
      </c>
      <c r="J1720">
        <f t="shared" si="212"/>
        <v>482.43267204064864</v>
      </c>
      <c r="K1720" s="27">
        <f t="shared" si="213"/>
        <v>4322.7259837816391</v>
      </c>
    </row>
    <row r="1721" spans="1:11" x14ac:dyDescent="0.25">
      <c r="A1721" s="26">
        <v>1671</v>
      </c>
      <c r="B1721" s="82">
        <f t="shared" si="214"/>
        <v>0</v>
      </c>
      <c r="C1721" s="58">
        <f t="shared" si="210"/>
        <v>104.50616427295054</v>
      </c>
      <c r="D1721" s="83">
        <f t="shared" si="215"/>
        <v>445.77777777777789</v>
      </c>
      <c r="E1721">
        <f t="shared" si="211"/>
        <v>0</v>
      </c>
      <c r="G1721">
        <v>1671</v>
      </c>
      <c r="H1721" s="13">
        <f t="shared" si="216"/>
        <v>1.8572577375266519E-2</v>
      </c>
      <c r="I1721">
        <f t="shared" si="217"/>
        <v>135.5409410670209</v>
      </c>
      <c r="J1721">
        <f t="shared" si="212"/>
        <v>482.4461200887439</v>
      </c>
      <c r="K1721" s="27">
        <f t="shared" si="213"/>
        <v>4322.9669220302703</v>
      </c>
    </row>
    <row r="1722" spans="1:11" x14ac:dyDescent="0.25">
      <c r="A1722" s="26">
        <v>1672</v>
      </c>
      <c r="B1722" s="82">
        <f t="shared" si="214"/>
        <v>0</v>
      </c>
      <c r="C1722" s="58">
        <f t="shared" si="210"/>
        <v>104.50616427295054</v>
      </c>
      <c r="D1722" s="83">
        <f t="shared" si="215"/>
        <v>445.77777777777789</v>
      </c>
      <c r="E1722">
        <f t="shared" si="211"/>
        <v>0</v>
      </c>
      <c r="G1722">
        <v>1672</v>
      </c>
      <c r="H1722" s="13">
        <f t="shared" si="216"/>
        <v>1.8572577375266519E-2</v>
      </c>
      <c r="I1722">
        <f t="shared" si="217"/>
        <v>135.55951364439616</v>
      </c>
      <c r="J1722">
        <f t="shared" si="212"/>
        <v>482.45956166633158</v>
      </c>
      <c r="K1722" s="27">
        <f t="shared" si="213"/>
        <v>4323.2077510623312</v>
      </c>
    </row>
    <row r="1723" spans="1:11" x14ac:dyDescent="0.25">
      <c r="A1723" s="26">
        <v>1673</v>
      </c>
      <c r="B1723" s="82">
        <f t="shared" si="214"/>
        <v>0</v>
      </c>
      <c r="C1723" s="58">
        <f t="shared" si="210"/>
        <v>104.50616427295054</v>
      </c>
      <c r="D1723" s="83">
        <f t="shared" si="215"/>
        <v>445.77777777777789</v>
      </c>
      <c r="E1723">
        <f t="shared" si="211"/>
        <v>0</v>
      </c>
      <c r="G1723">
        <v>1673</v>
      </c>
      <c r="H1723" s="13">
        <f t="shared" si="216"/>
        <v>1.8572577375266519E-2</v>
      </c>
      <c r="I1723">
        <f t="shared" si="217"/>
        <v>135.57808622177143</v>
      </c>
      <c r="J1723">
        <f t="shared" si="212"/>
        <v>482.47299677662221</v>
      </c>
      <c r="K1723" s="27">
        <f t="shared" si="213"/>
        <v>4323.4484709256367</v>
      </c>
    </row>
    <row r="1724" spans="1:11" x14ac:dyDescent="0.25">
      <c r="A1724" s="26">
        <v>1674</v>
      </c>
      <c r="B1724" s="82">
        <f t="shared" si="214"/>
        <v>0</v>
      </c>
      <c r="C1724" s="58">
        <f t="shared" si="210"/>
        <v>104.50616427295054</v>
      </c>
      <c r="D1724" s="83">
        <f t="shared" si="215"/>
        <v>445.77777777777789</v>
      </c>
      <c r="E1724">
        <f t="shared" si="211"/>
        <v>0</v>
      </c>
      <c r="G1724">
        <v>1674</v>
      </c>
      <c r="H1724" s="13">
        <f t="shared" si="216"/>
        <v>1.8572577375266519E-2</v>
      </c>
      <c r="I1724">
        <f t="shared" si="217"/>
        <v>135.5966587991467</v>
      </c>
      <c r="J1724">
        <f t="shared" si="212"/>
        <v>482.48642542282244</v>
      </c>
      <c r="K1724" s="27">
        <f t="shared" si="213"/>
        <v>4323.6890816679506</v>
      </c>
    </row>
    <row r="1725" spans="1:11" x14ac:dyDescent="0.25">
      <c r="A1725" s="26">
        <v>1675</v>
      </c>
      <c r="B1725" s="82">
        <f t="shared" si="214"/>
        <v>0</v>
      </c>
      <c r="C1725" s="58">
        <f t="shared" si="210"/>
        <v>104.50616427295054</v>
      </c>
      <c r="D1725" s="83">
        <f t="shared" si="215"/>
        <v>445.77777777777789</v>
      </c>
      <c r="E1725">
        <f t="shared" si="211"/>
        <v>0</v>
      </c>
      <c r="G1725">
        <v>1675</v>
      </c>
      <c r="H1725" s="13">
        <f t="shared" si="216"/>
        <v>1.8572577375266519E-2</v>
      </c>
      <c r="I1725">
        <f t="shared" si="217"/>
        <v>135.61523137652196</v>
      </c>
      <c r="J1725">
        <f t="shared" si="212"/>
        <v>482.49984760813544</v>
      </c>
      <c r="K1725" s="27">
        <f t="shared" si="213"/>
        <v>4323.9295833369806</v>
      </c>
    </row>
    <row r="1726" spans="1:11" x14ac:dyDescent="0.25">
      <c r="A1726" s="26">
        <v>1676</v>
      </c>
      <c r="B1726" s="82">
        <f t="shared" si="214"/>
        <v>0</v>
      </c>
      <c r="C1726" s="58">
        <f t="shared" si="210"/>
        <v>104.50616427295054</v>
      </c>
      <c r="D1726" s="83">
        <f t="shared" si="215"/>
        <v>445.77777777777789</v>
      </c>
      <c r="E1726">
        <f t="shared" si="211"/>
        <v>0</v>
      </c>
      <c r="G1726">
        <v>1676</v>
      </c>
      <c r="H1726" s="13">
        <f t="shared" si="216"/>
        <v>1.8572577375266519E-2</v>
      </c>
      <c r="I1726">
        <f t="shared" si="217"/>
        <v>135.63380395389723</v>
      </c>
      <c r="J1726">
        <f t="shared" si="212"/>
        <v>482.51326333576066</v>
      </c>
      <c r="K1726" s="27">
        <f t="shared" si="213"/>
        <v>4324.1699759803778</v>
      </c>
    </row>
    <row r="1727" spans="1:11" x14ac:dyDescent="0.25">
      <c r="A1727" s="26">
        <v>1677</v>
      </c>
      <c r="B1727" s="82">
        <f t="shared" si="214"/>
        <v>0</v>
      </c>
      <c r="C1727" s="58">
        <f t="shared" si="210"/>
        <v>104.50616427295054</v>
      </c>
      <c r="D1727" s="83">
        <f t="shared" si="215"/>
        <v>445.77777777777789</v>
      </c>
      <c r="E1727">
        <f t="shared" si="211"/>
        <v>0</v>
      </c>
      <c r="G1727">
        <v>1677</v>
      </c>
      <c r="H1727" s="13">
        <f t="shared" si="216"/>
        <v>1.8572577375266519E-2</v>
      </c>
      <c r="I1727">
        <f t="shared" si="217"/>
        <v>135.65237653127249</v>
      </c>
      <c r="J1727">
        <f t="shared" si="212"/>
        <v>482.52667260889388</v>
      </c>
      <c r="K1727" s="27">
        <f t="shared" si="213"/>
        <v>4324.4102596457415</v>
      </c>
    </row>
    <row r="1728" spans="1:11" x14ac:dyDescent="0.25">
      <c r="A1728" s="26">
        <v>1678</v>
      </c>
      <c r="B1728" s="82">
        <f t="shared" si="214"/>
        <v>0</v>
      </c>
      <c r="C1728" s="58">
        <f t="shared" si="210"/>
        <v>104.50616427295054</v>
      </c>
      <c r="D1728" s="83">
        <f t="shared" si="215"/>
        <v>445.77777777777789</v>
      </c>
      <c r="E1728">
        <f t="shared" si="211"/>
        <v>0</v>
      </c>
      <c r="G1728">
        <v>1678</v>
      </c>
      <c r="H1728" s="13">
        <f t="shared" si="216"/>
        <v>1.8572577375266519E-2</v>
      </c>
      <c r="I1728">
        <f t="shared" si="217"/>
        <v>135.67094910864776</v>
      </c>
      <c r="J1728">
        <f t="shared" si="212"/>
        <v>482.54007543072726</v>
      </c>
      <c r="K1728" s="27">
        <f t="shared" si="213"/>
        <v>4324.6504343806173</v>
      </c>
    </row>
    <row r="1729" spans="1:11" x14ac:dyDescent="0.25">
      <c r="A1729" s="26">
        <v>1679</v>
      </c>
      <c r="B1729" s="82">
        <f t="shared" si="214"/>
        <v>0</v>
      </c>
      <c r="C1729" s="58">
        <f t="shared" si="210"/>
        <v>104.50616427295054</v>
      </c>
      <c r="D1729" s="83">
        <f t="shared" si="215"/>
        <v>445.77777777777789</v>
      </c>
      <c r="E1729">
        <f t="shared" si="211"/>
        <v>0</v>
      </c>
      <c r="G1729">
        <v>1679</v>
      </c>
      <c r="H1729" s="13">
        <f t="shared" si="216"/>
        <v>1.8572577375266519E-2</v>
      </c>
      <c r="I1729">
        <f t="shared" si="217"/>
        <v>135.68952168602303</v>
      </c>
      <c r="J1729">
        <f t="shared" si="212"/>
        <v>482.55347180444926</v>
      </c>
      <c r="K1729" s="27">
        <f t="shared" si="213"/>
        <v>4324.8905002324927</v>
      </c>
    </row>
    <row r="1730" spans="1:11" x14ac:dyDescent="0.25">
      <c r="A1730" s="26">
        <v>1680</v>
      </c>
      <c r="B1730" s="82">
        <f t="shared" si="214"/>
        <v>0</v>
      </c>
      <c r="C1730" s="58">
        <f t="shared" si="210"/>
        <v>104.50616427295054</v>
      </c>
      <c r="D1730" s="83">
        <f t="shared" si="215"/>
        <v>445.77777777777789</v>
      </c>
      <c r="E1730">
        <f t="shared" si="211"/>
        <v>0</v>
      </c>
      <c r="G1730">
        <v>1680</v>
      </c>
      <c r="H1730" s="13">
        <f t="shared" si="216"/>
        <v>1.8572577375266519E-2</v>
      </c>
      <c r="I1730">
        <f t="shared" si="217"/>
        <v>135.70809426339829</v>
      </c>
      <c r="J1730">
        <f t="shared" si="212"/>
        <v>482.56686173324488</v>
      </c>
      <c r="K1730" s="27">
        <f t="shared" si="213"/>
        <v>4325.130457248807</v>
      </c>
    </row>
    <row r="1731" spans="1:11" x14ac:dyDescent="0.25">
      <c r="A1731" s="26">
        <v>1681</v>
      </c>
      <c r="B1731" s="82">
        <f t="shared" si="214"/>
        <v>0</v>
      </c>
      <c r="C1731" s="58">
        <f t="shared" si="210"/>
        <v>104.50616427295054</v>
      </c>
      <c r="D1731" s="83">
        <f t="shared" si="215"/>
        <v>445.77777777777789</v>
      </c>
      <c r="E1731">
        <f t="shared" si="211"/>
        <v>0</v>
      </c>
      <c r="G1731">
        <v>1681</v>
      </c>
      <c r="H1731" s="13">
        <f t="shared" si="216"/>
        <v>1.8572577375266519E-2</v>
      </c>
      <c r="I1731">
        <f t="shared" si="217"/>
        <v>135.72666684077356</v>
      </c>
      <c r="J1731">
        <f t="shared" si="212"/>
        <v>482.5802452202953</v>
      </c>
      <c r="K1731" s="27">
        <f t="shared" si="213"/>
        <v>4325.3703054769421</v>
      </c>
    </row>
    <row r="1732" spans="1:11" x14ac:dyDescent="0.25">
      <c r="A1732" s="26">
        <v>1682</v>
      </c>
      <c r="B1732" s="82">
        <f t="shared" si="214"/>
        <v>0</v>
      </c>
      <c r="C1732" s="58">
        <f t="shared" si="210"/>
        <v>104.50616427295054</v>
      </c>
      <c r="D1732" s="83">
        <f t="shared" si="215"/>
        <v>445.77777777777789</v>
      </c>
      <c r="E1732">
        <f t="shared" si="211"/>
        <v>0</v>
      </c>
      <c r="G1732">
        <v>1682</v>
      </c>
      <c r="H1732" s="13">
        <f t="shared" si="216"/>
        <v>1.8572577375266519E-2</v>
      </c>
      <c r="I1732">
        <f t="shared" si="217"/>
        <v>135.74523941814883</v>
      </c>
      <c r="J1732">
        <f t="shared" si="212"/>
        <v>482.59362226877818</v>
      </c>
      <c r="K1732" s="27">
        <f t="shared" si="213"/>
        <v>4325.6100449642245</v>
      </c>
    </row>
    <row r="1733" spans="1:11" x14ac:dyDescent="0.25">
      <c r="A1733" s="26">
        <v>1683</v>
      </c>
      <c r="B1733" s="82">
        <f t="shared" si="214"/>
        <v>0</v>
      </c>
      <c r="C1733" s="58">
        <f t="shared" si="210"/>
        <v>104.50616427295054</v>
      </c>
      <c r="D1733" s="83">
        <f t="shared" si="215"/>
        <v>445.77777777777789</v>
      </c>
      <c r="E1733">
        <f t="shared" si="211"/>
        <v>0</v>
      </c>
      <c r="G1733">
        <v>1683</v>
      </c>
      <c r="H1733" s="13">
        <f t="shared" si="216"/>
        <v>1.8572577375266519E-2</v>
      </c>
      <c r="I1733">
        <f t="shared" si="217"/>
        <v>135.76381199552409</v>
      </c>
      <c r="J1733">
        <f t="shared" si="212"/>
        <v>482.60699288186754</v>
      </c>
      <c r="K1733" s="27">
        <f t="shared" si="213"/>
        <v>4325.8496757579287</v>
      </c>
    </row>
    <row r="1734" spans="1:11" x14ac:dyDescent="0.25">
      <c r="A1734" s="26">
        <v>1684</v>
      </c>
      <c r="B1734" s="82">
        <f t="shared" si="214"/>
        <v>0</v>
      </c>
      <c r="C1734" s="58">
        <f t="shared" si="210"/>
        <v>104.50616427295054</v>
      </c>
      <c r="D1734" s="83">
        <f t="shared" si="215"/>
        <v>445.77777777777789</v>
      </c>
      <c r="E1734">
        <f t="shared" si="211"/>
        <v>0</v>
      </c>
      <c r="G1734">
        <v>1684</v>
      </c>
      <c r="H1734" s="13">
        <f t="shared" si="216"/>
        <v>1.8572577375266519E-2</v>
      </c>
      <c r="I1734">
        <f t="shared" si="217"/>
        <v>135.78238457289936</v>
      </c>
      <c r="J1734">
        <f t="shared" si="212"/>
        <v>482.62035706273377</v>
      </c>
      <c r="K1734" s="27">
        <f t="shared" si="213"/>
        <v>4326.0891979052749</v>
      </c>
    </row>
    <row r="1735" spans="1:11" x14ac:dyDescent="0.25">
      <c r="A1735" s="26">
        <v>1685</v>
      </c>
      <c r="B1735" s="82">
        <f t="shared" si="214"/>
        <v>0</v>
      </c>
      <c r="C1735" s="58">
        <f t="shared" si="210"/>
        <v>104.50616427295054</v>
      </c>
      <c r="D1735" s="83">
        <f t="shared" si="215"/>
        <v>445.77777777777789</v>
      </c>
      <c r="E1735">
        <f t="shared" si="211"/>
        <v>0</v>
      </c>
      <c r="G1735">
        <v>1685</v>
      </c>
      <c r="H1735" s="13">
        <f t="shared" si="216"/>
        <v>1.8572577375266519E-2</v>
      </c>
      <c r="I1735">
        <f t="shared" si="217"/>
        <v>135.80095715027463</v>
      </c>
      <c r="J1735">
        <f t="shared" si="212"/>
        <v>482.63371481454362</v>
      </c>
      <c r="K1735" s="27">
        <f t="shared" si="213"/>
        <v>4326.3286114534303</v>
      </c>
    </row>
    <row r="1736" spans="1:11" x14ac:dyDescent="0.25">
      <c r="A1736" s="26">
        <v>1686</v>
      </c>
      <c r="B1736" s="82">
        <f t="shared" si="214"/>
        <v>0</v>
      </c>
      <c r="C1736" s="58">
        <f t="shared" si="210"/>
        <v>104.50616427295054</v>
      </c>
      <c r="D1736" s="83">
        <f t="shared" si="215"/>
        <v>445.77777777777789</v>
      </c>
      <c r="E1736">
        <f t="shared" si="211"/>
        <v>0</v>
      </c>
      <c r="G1736">
        <v>1686</v>
      </c>
      <c r="H1736" s="13">
        <f t="shared" si="216"/>
        <v>1.8572577375266519E-2</v>
      </c>
      <c r="I1736">
        <f t="shared" si="217"/>
        <v>135.81952972764989</v>
      </c>
      <c r="J1736">
        <f t="shared" si="212"/>
        <v>482.64706614046037</v>
      </c>
      <c r="K1736" s="27">
        <f t="shared" si="213"/>
        <v>4326.5679164495104</v>
      </c>
    </row>
    <row r="1737" spans="1:11" x14ac:dyDescent="0.25">
      <c r="A1737" s="26">
        <v>1687</v>
      </c>
      <c r="B1737" s="82">
        <f t="shared" si="214"/>
        <v>0</v>
      </c>
      <c r="C1737" s="58">
        <f t="shared" si="210"/>
        <v>104.50616427295054</v>
      </c>
      <c r="D1737" s="83">
        <f t="shared" si="215"/>
        <v>445.77777777777789</v>
      </c>
      <c r="E1737">
        <f t="shared" si="211"/>
        <v>0</v>
      </c>
      <c r="G1737">
        <v>1687</v>
      </c>
      <c r="H1737" s="13">
        <f t="shared" si="216"/>
        <v>1.8572577375266519E-2</v>
      </c>
      <c r="I1737">
        <f t="shared" si="217"/>
        <v>135.83810230502516</v>
      </c>
      <c r="J1737">
        <f t="shared" si="212"/>
        <v>482.66041104364359</v>
      </c>
      <c r="K1737" s="27">
        <f t="shared" si="213"/>
        <v>4326.8071129405716</v>
      </c>
    </row>
    <row r="1738" spans="1:11" x14ac:dyDescent="0.25">
      <c r="A1738" s="26">
        <v>1688</v>
      </c>
      <c r="B1738" s="82">
        <f t="shared" si="214"/>
        <v>0</v>
      </c>
      <c r="C1738" s="58">
        <f t="shared" si="210"/>
        <v>104.50616427295054</v>
      </c>
      <c r="D1738" s="83">
        <f t="shared" si="215"/>
        <v>445.77777777777789</v>
      </c>
      <c r="E1738">
        <f t="shared" si="211"/>
        <v>0</v>
      </c>
      <c r="G1738">
        <v>1688</v>
      </c>
      <c r="H1738" s="13">
        <f t="shared" si="216"/>
        <v>1.8572577375266519E-2</v>
      </c>
      <c r="I1738">
        <f t="shared" si="217"/>
        <v>135.85667488240043</v>
      </c>
      <c r="J1738">
        <f t="shared" si="212"/>
        <v>482.67374952724924</v>
      </c>
      <c r="K1738" s="27">
        <f t="shared" si="213"/>
        <v>4327.0462009736211</v>
      </c>
    </row>
    <row r="1739" spans="1:11" x14ac:dyDescent="0.25">
      <c r="A1739" s="26">
        <v>1689</v>
      </c>
      <c r="B1739" s="82">
        <f t="shared" si="214"/>
        <v>0</v>
      </c>
      <c r="C1739" s="58">
        <f t="shared" si="210"/>
        <v>104.50616427295054</v>
      </c>
      <c r="D1739" s="83">
        <f t="shared" si="215"/>
        <v>445.77777777777789</v>
      </c>
      <c r="E1739">
        <f t="shared" si="211"/>
        <v>0</v>
      </c>
      <c r="G1739">
        <v>1689</v>
      </c>
      <c r="H1739" s="13">
        <f t="shared" si="216"/>
        <v>1.8572577375266519E-2</v>
      </c>
      <c r="I1739">
        <f t="shared" si="217"/>
        <v>135.87524745977569</v>
      </c>
      <c r="J1739">
        <f t="shared" si="212"/>
        <v>482.68708159442986</v>
      </c>
      <c r="K1739" s="27">
        <f t="shared" si="213"/>
        <v>4327.2851805956125</v>
      </c>
    </row>
    <row r="1740" spans="1:11" x14ac:dyDescent="0.25">
      <c r="A1740" s="26">
        <v>1690</v>
      </c>
      <c r="B1740" s="82">
        <f t="shared" si="214"/>
        <v>0</v>
      </c>
      <c r="C1740" s="58">
        <f t="shared" si="210"/>
        <v>104.50616427295054</v>
      </c>
      <c r="D1740" s="83">
        <f t="shared" si="215"/>
        <v>445.77777777777789</v>
      </c>
      <c r="E1740">
        <f t="shared" si="211"/>
        <v>0</v>
      </c>
      <c r="G1740">
        <v>1690</v>
      </c>
      <c r="H1740" s="13">
        <f t="shared" si="216"/>
        <v>1.8572577375266519E-2</v>
      </c>
      <c r="I1740">
        <f t="shared" si="217"/>
        <v>135.89382003715096</v>
      </c>
      <c r="J1740">
        <f t="shared" si="212"/>
        <v>482.70040724833427</v>
      </c>
      <c r="K1740" s="27">
        <f t="shared" si="213"/>
        <v>4327.5240518534456</v>
      </c>
    </row>
    <row r="1741" spans="1:11" x14ac:dyDescent="0.25">
      <c r="A1741" s="26">
        <v>1691</v>
      </c>
      <c r="B1741" s="82">
        <f t="shared" si="214"/>
        <v>0</v>
      </c>
      <c r="C1741" s="58">
        <f t="shared" si="210"/>
        <v>104.50616427295054</v>
      </c>
      <c r="D1741" s="83">
        <f t="shared" si="215"/>
        <v>445.77777777777789</v>
      </c>
      <c r="E1741">
        <f t="shared" si="211"/>
        <v>0</v>
      </c>
      <c r="G1741">
        <v>1691</v>
      </c>
      <c r="H1741" s="13">
        <f t="shared" si="216"/>
        <v>1.8572577375266519E-2</v>
      </c>
      <c r="I1741">
        <f t="shared" si="217"/>
        <v>135.91239261452623</v>
      </c>
      <c r="J1741">
        <f t="shared" si="212"/>
        <v>482.71372649210764</v>
      </c>
      <c r="K1741" s="27">
        <f t="shared" si="213"/>
        <v>4327.762814793964</v>
      </c>
    </row>
    <row r="1742" spans="1:11" x14ac:dyDescent="0.25">
      <c r="A1742" s="26">
        <v>1692</v>
      </c>
      <c r="B1742" s="82">
        <f t="shared" si="214"/>
        <v>0</v>
      </c>
      <c r="C1742" s="58">
        <f t="shared" si="210"/>
        <v>104.50616427295054</v>
      </c>
      <c r="D1742" s="83">
        <f t="shared" si="215"/>
        <v>445.77777777777789</v>
      </c>
      <c r="E1742">
        <f t="shared" si="211"/>
        <v>0</v>
      </c>
      <c r="G1742">
        <v>1692</v>
      </c>
      <c r="H1742" s="13">
        <f t="shared" si="216"/>
        <v>1.8572577375266519E-2</v>
      </c>
      <c r="I1742">
        <f t="shared" si="217"/>
        <v>135.93096519190149</v>
      </c>
      <c r="J1742">
        <f t="shared" si="212"/>
        <v>482.72703932889181</v>
      </c>
      <c r="K1742" s="27">
        <f t="shared" si="213"/>
        <v>4328.0014694639649</v>
      </c>
    </row>
    <row r="1743" spans="1:11" x14ac:dyDescent="0.25">
      <c r="A1743" s="26">
        <v>1693</v>
      </c>
      <c r="B1743" s="82">
        <f t="shared" si="214"/>
        <v>0</v>
      </c>
      <c r="C1743" s="58">
        <f t="shared" si="210"/>
        <v>104.50616427295054</v>
      </c>
      <c r="D1743" s="83">
        <f t="shared" si="215"/>
        <v>445.77777777777789</v>
      </c>
      <c r="E1743">
        <f t="shared" si="211"/>
        <v>0</v>
      </c>
      <c r="G1743">
        <v>1693</v>
      </c>
      <c r="H1743" s="13">
        <f t="shared" si="216"/>
        <v>1.8572577375266519E-2</v>
      </c>
      <c r="I1743">
        <f t="shared" si="217"/>
        <v>135.94953776927676</v>
      </c>
      <c r="J1743">
        <f t="shared" si="212"/>
        <v>482.74034576182487</v>
      </c>
      <c r="K1743" s="27">
        <f t="shared" si="213"/>
        <v>4328.2400159101853</v>
      </c>
    </row>
    <row r="1744" spans="1:11" x14ac:dyDescent="0.25">
      <c r="A1744" s="26">
        <v>1694</v>
      </c>
      <c r="B1744" s="82">
        <f t="shared" si="214"/>
        <v>0</v>
      </c>
      <c r="C1744" s="58">
        <f t="shared" ref="C1744:C1807" si="218">($C$37-$C$36)/2000+C1743</f>
        <v>104.50616427295054</v>
      </c>
      <c r="D1744" s="83">
        <f t="shared" si="215"/>
        <v>445.77777777777789</v>
      </c>
      <c r="E1744">
        <f t="shared" si="211"/>
        <v>0</v>
      </c>
      <c r="G1744">
        <v>1694</v>
      </c>
      <c r="H1744" s="13">
        <f t="shared" si="216"/>
        <v>1.8572577375266519E-2</v>
      </c>
      <c r="I1744">
        <f t="shared" si="217"/>
        <v>135.96811034665203</v>
      </c>
      <c r="J1744">
        <f t="shared" si="212"/>
        <v>482.7536457940414</v>
      </c>
      <c r="K1744" s="27">
        <f t="shared" si="213"/>
        <v>4328.4784541793151</v>
      </c>
    </row>
    <row r="1745" spans="1:11" x14ac:dyDescent="0.25">
      <c r="A1745" s="26">
        <v>1695</v>
      </c>
      <c r="B1745" s="82">
        <f t="shared" si="214"/>
        <v>0</v>
      </c>
      <c r="C1745" s="58">
        <f t="shared" si="218"/>
        <v>104.50616427295054</v>
      </c>
      <c r="D1745" s="83">
        <f t="shared" si="215"/>
        <v>445.77777777777789</v>
      </c>
      <c r="E1745">
        <f t="shared" si="211"/>
        <v>0</v>
      </c>
      <c r="G1745">
        <v>1695</v>
      </c>
      <c r="H1745" s="13">
        <f t="shared" si="216"/>
        <v>1.8572577375266519E-2</v>
      </c>
      <c r="I1745">
        <f t="shared" si="217"/>
        <v>135.98668292402729</v>
      </c>
      <c r="J1745">
        <f t="shared" si="212"/>
        <v>482.76693942867246</v>
      </c>
      <c r="K1745" s="27">
        <f t="shared" si="213"/>
        <v>4328.716784317985</v>
      </c>
    </row>
    <row r="1746" spans="1:11" x14ac:dyDescent="0.25">
      <c r="A1746" s="26">
        <v>1696</v>
      </c>
      <c r="B1746" s="82">
        <f t="shared" si="214"/>
        <v>0</v>
      </c>
      <c r="C1746" s="58">
        <f t="shared" si="218"/>
        <v>104.50616427295054</v>
      </c>
      <c r="D1746" s="83">
        <f t="shared" si="215"/>
        <v>445.77777777777789</v>
      </c>
      <c r="E1746">
        <f t="shared" si="211"/>
        <v>0</v>
      </c>
      <c r="G1746">
        <v>1696</v>
      </c>
      <c r="H1746" s="13">
        <f t="shared" si="216"/>
        <v>1.8572577375266519E-2</v>
      </c>
      <c r="I1746">
        <f t="shared" si="217"/>
        <v>136.00525550140256</v>
      </c>
      <c r="J1746">
        <f t="shared" si="212"/>
        <v>482.78022666884556</v>
      </c>
      <c r="K1746" s="27">
        <f t="shared" si="213"/>
        <v>4328.9550063727802</v>
      </c>
    </row>
    <row r="1747" spans="1:11" x14ac:dyDescent="0.25">
      <c r="A1747" s="26">
        <v>1697</v>
      </c>
      <c r="B1747" s="82">
        <f t="shared" si="214"/>
        <v>0</v>
      </c>
      <c r="C1747" s="58">
        <f t="shared" si="218"/>
        <v>104.50616427295054</v>
      </c>
      <c r="D1747" s="83">
        <f t="shared" si="215"/>
        <v>445.77777777777789</v>
      </c>
      <c r="E1747">
        <f t="shared" si="211"/>
        <v>0</v>
      </c>
      <c r="G1747">
        <v>1697</v>
      </c>
      <c r="H1747" s="13">
        <f t="shared" si="216"/>
        <v>1.8572577375266519E-2</v>
      </c>
      <c r="I1747">
        <f t="shared" si="217"/>
        <v>136.02382807877783</v>
      </c>
      <c r="J1747">
        <f t="shared" si="212"/>
        <v>482.79350751768465</v>
      </c>
      <c r="K1747" s="27">
        <f t="shared" si="213"/>
        <v>4329.1931203902268</v>
      </c>
    </row>
    <row r="1748" spans="1:11" x14ac:dyDescent="0.25">
      <c r="A1748" s="26">
        <v>1698</v>
      </c>
      <c r="B1748" s="82">
        <f t="shared" si="214"/>
        <v>0</v>
      </c>
      <c r="C1748" s="58">
        <f t="shared" si="218"/>
        <v>104.50616427295054</v>
      </c>
      <c r="D1748" s="83">
        <f t="shared" si="215"/>
        <v>445.77777777777789</v>
      </c>
      <c r="E1748">
        <f t="shared" si="211"/>
        <v>0</v>
      </c>
      <c r="G1748">
        <v>1698</v>
      </c>
      <c r="H1748" s="13">
        <f t="shared" si="216"/>
        <v>1.8572577375266519E-2</v>
      </c>
      <c r="I1748">
        <f t="shared" si="217"/>
        <v>136.04240065615309</v>
      </c>
      <c r="J1748">
        <f t="shared" si="212"/>
        <v>482.80678197831008</v>
      </c>
      <c r="K1748" s="27">
        <f t="shared" si="213"/>
        <v>4329.4311264168027</v>
      </c>
    </row>
    <row r="1749" spans="1:11" x14ac:dyDescent="0.25">
      <c r="A1749" s="26">
        <v>1699</v>
      </c>
      <c r="B1749" s="82">
        <f t="shared" si="214"/>
        <v>0</v>
      </c>
      <c r="C1749" s="58">
        <f t="shared" si="218"/>
        <v>104.50616427295054</v>
      </c>
      <c r="D1749" s="83">
        <f t="shared" si="215"/>
        <v>445.77777777777789</v>
      </c>
      <c r="E1749">
        <f t="shared" si="211"/>
        <v>0</v>
      </c>
      <c r="G1749">
        <v>1699</v>
      </c>
      <c r="H1749" s="13">
        <f t="shared" si="216"/>
        <v>1.8572577375266519E-2</v>
      </c>
      <c r="I1749">
        <f t="shared" si="217"/>
        <v>136.06097323352836</v>
      </c>
      <c r="J1749">
        <f t="shared" si="212"/>
        <v>482.82005005383877</v>
      </c>
      <c r="K1749" s="27">
        <f t="shared" si="213"/>
        <v>4329.6690244989304</v>
      </c>
    </row>
    <row r="1750" spans="1:11" x14ac:dyDescent="0.25">
      <c r="A1750" s="26">
        <v>1700</v>
      </c>
      <c r="B1750" s="82">
        <f t="shared" si="214"/>
        <v>0</v>
      </c>
      <c r="C1750" s="58">
        <f t="shared" si="218"/>
        <v>104.50616427295054</v>
      </c>
      <c r="D1750" s="83">
        <f t="shared" si="215"/>
        <v>445.77777777777789</v>
      </c>
      <c r="E1750">
        <f t="shared" si="211"/>
        <v>0</v>
      </c>
      <c r="G1750">
        <v>1700</v>
      </c>
      <c r="H1750" s="13">
        <f t="shared" si="216"/>
        <v>1.8572577375266519E-2</v>
      </c>
      <c r="I1750">
        <f t="shared" si="217"/>
        <v>136.07954581090362</v>
      </c>
      <c r="J1750">
        <f t="shared" si="212"/>
        <v>482.83331174738413</v>
      </c>
      <c r="K1750" s="27">
        <f t="shared" si="213"/>
        <v>4329.9068146829804</v>
      </c>
    </row>
    <row r="1751" spans="1:11" x14ac:dyDescent="0.25">
      <c r="A1751" s="26">
        <v>1701</v>
      </c>
      <c r="B1751" s="82">
        <f t="shared" si="214"/>
        <v>0</v>
      </c>
      <c r="C1751" s="58">
        <f t="shared" si="218"/>
        <v>104.50616427295054</v>
      </c>
      <c r="D1751" s="83">
        <f t="shared" si="215"/>
        <v>445.77777777777789</v>
      </c>
      <c r="E1751">
        <f t="shared" si="211"/>
        <v>0</v>
      </c>
      <c r="G1751">
        <v>1701</v>
      </c>
      <c r="H1751" s="13">
        <f t="shared" si="216"/>
        <v>1.8572577375266519E-2</v>
      </c>
      <c r="I1751">
        <f t="shared" si="217"/>
        <v>136.09811838827889</v>
      </c>
      <c r="J1751">
        <f t="shared" si="212"/>
        <v>482.8465670620559</v>
      </c>
      <c r="K1751" s="27">
        <f t="shared" si="213"/>
        <v>4330.1444970152734</v>
      </c>
    </row>
    <row r="1752" spans="1:11" x14ac:dyDescent="0.25">
      <c r="A1752" s="26">
        <v>1702</v>
      </c>
      <c r="B1752" s="82">
        <f t="shared" si="214"/>
        <v>0</v>
      </c>
      <c r="C1752" s="58">
        <f t="shared" si="218"/>
        <v>104.50616427295054</v>
      </c>
      <c r="D1752" s="83">
        <f t="shared" si="215"/>
        <v>445.77777777777789</v>
      </c>
      <c r="E1752">
        <f t="shared" si="211"/>
        <v>0</v>
      </c>
      <c r="G1752">
        <v>1702</v>
      </c>
      <c r="H1752" s="13">
        <f t="shared" si="216"/>
        <v>1.8572577375266519E-2</v>
      </c>
      <c r="I1752">
        <f t="shared" si="217"/>
        <v>136.11669096565416</v>
      </c>
      <c r="J1752">
        <f t="shared" si="212"/>
        <v>482.85981600096051</v>
      </c>
      <c r="K1752" s="27">
        <f t="shared" si="213"/>
        <v>4330.3820715420725</v>
      </c>
    </row>
    <row r="1753" spans="1:11" x14ac:dyDescent="0.25">
      <c r="A1753" s="26">
        <v>1703</v>
      </c>
      <c r="B1753" s="82">
        <f t="shared" si="214"/>
        <v>0</v>
      </c>
      <c r="C1753" s="58">
        <f t="shared" si="218"/>
        <v>104.50616427295054</v>
      </c>
      <c r="D1753" s="83">
        <f t="shared" si="215"/>
        <v>445.77777777777789</v>
      </c>
      <c r="E1753">
        <f t="shared" si="211"/>
        <v>0</v>
      </c>
      <c r="G1753">
        <v>1703</v>
      </c>
      <c r="H1753" s="13">
        <f t="shared" si="216"/>
        <v>1.8572577375266519E-2</v>
      </c>
      <c r="I1753">
        <f t="shared" si="217"/>
        <v>136.13526354302942</v>
      </c>
      <c r="J1753">
        <f t="shared" si="212"/>
        <v>482.8730585672007</v>
      </c>
      <c r="K1753" s="27">
        <f t="shared" si="213"/>
        <v>4330.6195383095956</v>
      </c>
    </row>
    <row r="1754" spans="1:11" x14ac:dyDescent="0.25">
      <c r="A1754" s="26">
        <v>1704</v>
      </c>
      <c r="B1754" s="82">
        <f t="shared" si="214"/>
        <v>0</v>
      </c>
      <c r="C1754" s="58">
        <f t="shared" si="218"/>
        <v>104.50616427295054</v>
      </c>
      <c r="D1754" s="83">
        <f t="shared" si="215"/>
        <v>445.77777777777789</v>
      </c>
      <c r="E1754">
        <f t="shared" si="211"/>
        <v>0</v>
      </c>
      <c r="G1754">
        <v>1704</v>
      </c>
      <c r="H1754" s="13">
        <f t="shared" si="216"/>
        <v>1.8572577375266519E-2</v>
      </c>
      <c r="I1754">
        <f t="shared" si="217"/>
        <v>136.15383612040469</v>
      </c>
      <c r="J1754">
        <f t="shared" si="212"/>
        <v>482.88629476387587</v>
      </c>
      <c r="K1754" s="27">
        <f t="shared" si="213"/>
        <v>4330.8568973640022</v>
      </c>
    </row>
    <row r="1755" spans="1:11" x14ac:dyDescent="0.25">
      <c r="A1755" s="26">
        <v>1705</v>
      </c>
      <c r="B1755" s="82">
        <f t="shared" si="214"/>
        <v>0</v>
      </c>
      <c r="C1755" s="58">
        <f t="shared" si="218"/>
        <v>104.50616427295054</v>
      </c>
      <c r="D1755" s="83">
        <f t="shared" si="215"/>
        <v>445.77777777777789</v>
      </c>
      <c r="E1755">
        <f t="shared" si="211"/>
        <v>0</v>
      </c>
      <c r="G1755">
        <v>1705</v>
      </c>
      <c r="H1755" s="13">
        <f t="shared" si="216"/>
        <v>1.8572577375266519E-2</v>
      </c>
      <c r="I1755">
        <f t="shared" si="217"/>
        <v>136.17240869777996</v>
      </c>
      <c r="J1755">
        <f t="shared" si="212"/>
        <v>482.8995245940817</v>
      </c>
      <c r="K1755" s="27">
        <f t="shared" si="213"/>
        <v>4331.0941487514019</v>
      </c>
    </row>
    <row r="1756" spans="1:11" x14ac:dyDescent="0.25">
      <c r="A1756" s="26">
        <v>1706</v>
      </c>
      <c r="B1756" s="82">
        <f t="shared" si="214"/>
        <v>0</v>
      </c>
      <c r="C1756" s="58">
        <f t="shared" si="218"/>
        <v>104.50616427295054</v>
      </c>
      <c r="D1756" s="83">
        <f t="shared" si="215"/>
        <v>445.77777777777789</v>
      </c>
      <c r="E1756">
        <f t="shared" si="211"/>
        <v>0</v>
      </c>
      <c r="G1756">
        <v>1706</v>
      </c>
      <c r="H1756" s="13">
        <f t="shared" si="216"/>
        <v>1.8572577375266519E-2</v>
      </c>
      <c r="I1756">
        <f t="shared" si="217"/>
        <v>136.19098127515522</v>
      </c>
      <c r="J1756">
        <f t="shared" si="212"/>
        <v>482.91274806091059</v>
      </c>
      <c r="K1756" s="27">
        <f t="shared" si="213"/>
        <v>4331.3312925178534</v>
      </c>
    </row>
    <row r="1757" spans="1:11" x14ac:dyDescent="0.25">
      <c r="A1757" s="26">
        <v>1707</v>
      </c>
      <c r="B1757" s="82">
        <f t="shared" si="214"/>
        <v>0</v>
      </c>
      <c r="C1757" s="58">
        <f t="shared" si="218"/>
        <v>104.50616427295054</v>
      </c>
      <c r="D1757" s="83">
        <f t="shared" si="215"/>
        <v>445.77777777777789</v>
      </c>
      <c r="E1757">
        <f t="shared" si="211"/>
        <v>0</v>
      </c>
      <c r="G1757">
        <v>1707</v>
      </c>
      <c r="H1757" s="13">
        <f t="shared" si="216"/>
        <v>1.8572577375266519E-2</v>
      </c>
      <c r="I1757">
        <f t="shared" si="217"/>
        <v>136.20955385253049</v>
      </c>
      <c r="J1757">
        <f t="shared" si="212"/>
        <v>482.92596516745141</v>
      </c>
      <c r="K1757" s="27">
        <f t="shared" si="213"/>
        <v>4331.5683287093625</v>
      </c>
    </row>
    <row r="1758" spans="1:11" x14ac:dyDescent="0.25">
      <c r="A1758" s="26">
        <v>1708</v>
      </c>
      <c r="B1758" s="82">
        <f t="shared" si="214"/>
        <v>0</v>
      </c>
      <c r="C1758" s="58">
        <f t="shared" si="218"/>
        <v>104.50616427295054</v>
      </c>
      <c r="D1758" s="83">
        <f t="shared" si="215"/>
        <v>445.77777777777789</v>
      </c>
      <c r="E1758">
        <f t="shared" si="211"/>
        <v>0</v>
      </c>
      <c r="G1758">
        <v>1708</v>
      </c>
      <c r="H1758" s="13">
        <f t="shared" si="216"/>
        <v>1.8572577375266519E-2</v>
      </c>
      <c r="I1758">
        <f t="shared" si="217"/>
        <v>136.22812642990576</v>
      </c>
      <c r="J1758">
        <f t="shared" si="212"/>
        <v>482.9391759167894</v>
      </c>
      <c r="K1758" s="27">
        <f t="shared" si="213"/>
        <v>4331.8052573718805</v>
      </c>
    </row>
    <row r="1759" spans="1:11" x14ac:dyDescent="0.25">
      <c r="A1759" s="26">
        <v>1709</v>
      </c>
      <c r="B1759" s="82">
        <f t="shared" si="214"/>
        <v>0</v>
      </c>
      <c r="C1759" s="58">
        <f t="shared" si="218"/>
        <v>104.50616427295054</v>
      </c>
      <c r="D1759" s="83">
        <f t="shared" si="215"/>
        <v>445.77777777777789</v>
      </c>
      <c r="E1759">
        <f t="shared" si="211"/>
        <v>0</v>
      </c>
      <c r="G1759">
        <v>1709</v>
      </c>
      <c r="H1759" s="13">
        <f t="shared" si="216"/>
        <v>1.8572577375266519E-2</v>
      </c>
      <c r="I1759">
        <f t="shared" si="217"/>
        <v>136.24669900728102</v>
      </c>
      <c r="J1759">
        <f t="shared" si="212"/>
        <v>482.95238031200654</v>
      </c>
      <c r="K1759" s="27">
        <f t="shared" si="213"/>
        <v>4332.0420785513134</v>
      </c>
    </row>
    <row r="1760" spans="1:11" x14ac:dyDescent="0.25">
      <c r="A1760" s="26">
        <v>1710</v>
      </c>
      <c r="B1760" s="82">
        <f t="shared" si="214"/>
        <v>0</v>
      </c>
      <c r="C1760" s="58">
        <f t="shared" si="218"/>
        <v>104.50616427295054</v>
      </c>
      <c r="D1760" s="83">
        <f t="shared" si="215"/>
        <v>445.77777777777789</v>
      </c>
      <c r="E1760">
        <f t="shared" si="211"/>
        <v>0</v>
      </c>
      <c r="G1760">
        <v>1710</v>
      </c>
      <c r="H1760" s="13">
        <f t="shared" si="216"/>
        <v>1.8572577375266519E-2</v>
      </c>
      <c r="I1760">
        <f t="shared" si="217"/>
        <v>136.26527158465629</v>
      </c>
      <c r="J1760">
        <f t="shared" si="212"/>
        <v>482.96557835618114</v>
      </c>
      <c r="K1760" s="27">
        <f t="shared" si="213"/>
        <v>4332.2787922935095</v>
      </c>
    </row>
    <row r="1761" spans="1:11" x14ac:dyDescent="0.25">
      <c r="A1761" s="26">
        <v>1711</v>
      </c>
      <c r="B1761" s="82">
        <f t="shared" si="214"/>
        <v>0</v>
      </c>
      <c r="C1761" s="58">
        <f t="shared" si="218"/>
        <v>104.50616427295054</v>
      </c>
      <c r="D1761" s="83">
        <f t="shared" si="215"/>
        <v>445.77777777777789</v>
      </c>
      <c r="E1761">
        <f t="shared" si="211"/>
        <v>0</v>
      </c>
      <c r="G1761">
        <v>1711</v>
      </c>
      <c r="H1761" s="13">
        <f t="shared" si="216"/>
        <v>1.8572577375266519E-2</v>
      </c>
      <c r="I1761">
        <f t="shared" si="217"/>
        <v>136.28384416203156</v>
      </c>
      <c r="J1761">
        <f t="shared" si="212"/>
        <v>482.9787700523882</v>
      </c>
      <c r="K1761" s="27">
        <f t="shared" si="213"/>
        <v>4332.5153986442674</v>
      </c>
    </row>
    <row r="1762" spans="1:11" x14ac:dyDescent="0.25">
      <c r="A1762" s="26">
        <v>1712</v>
      </c>
      <c r="B1762" s="82">
        <f t="shared" si="214"/>
        <v>0</v>
      </c>
      <c r="C1762" s="58">
        <f t="shared" si="218"/>
        <v>104.50616427295054</v>
      </c>
      <c r="D1762" s="83">
        <f t="shared" si="215"/>
        <v>445.77777777777789</v>
      </c>
      <c r="E1762">
        <f t="shared" si="211"/>
        <v>0</v>
      </c>
      <c r="G1762">
        <v>1712</v>
      </c>
      <c r="H1762" s="13">
        <f t="shared" si="216"/>
        <v>1.8572577375266519E-2</v>
      </c>
      <c r="I1762">
        <f t="shared" si="217"/>
        <v>136.30241673940682</v>
      </c>
      <c r="J1762">
        <f t="shared" si="212"/>
        <v>482.99195540369914</v>
      </c>
      <c r="K1762" s="27">
        <f t="shared" si="213"/>
        <v>4332.7518976493348</v>
      </c>
    </row>
    <row r="1763" spans="1:11" x14ac:dyDescent="0.25">
      <c r="A1763" s="26">
        <v>1713</v>
      </c>
      <c r="B1763" s="82">
        <f t="shared" si="214"/>
        <v>0</v>
      </c>
      <c r="C1763" s="58">
        <f t="shared" si="218"/>
        <v>104.50616427295054</v>
      </c>
      <c r="D1763" s="83">
        <f t="shared" si="215"/>
        <v>445.77777777777789</v>
      </c>
      <c r="E1763">
        <f t="shared" si="211"/>
        <v>0</v>
      </c>
      <c r="G1763">
        <v>1713</v>
      </c>
      <c r="H1763" s="13">
        <f t="shared" si="216"/>
        <v>1.8572577375266519E-2</v>
      </c>
      <c r="I1763">
        <f t="shared" si="217"/>
        <v>136.32098931678209</v>
      </c>
      <c r="J1763">
        <f t="shared" si="212"/>
        <v>483.00513441318196</v>
      </c>
      <c r="K1763" s="27">
        <f t="shared" si="213"/>
        <v>4332.9882893544082</v>
      </c>
    </row>
    <row r="1764" spans="1:11" x14ac:dyDescent="0.25">
      <c r="A1764" s="26">
        <v>1714</v>
      </c>
      <c r="B1764" s="82">
        <f t="shared" si="214"/>
        <v>0</v>
      </c>
      <c r="C1764" s="58">
        <f t="shared" si="218"/>
        <v>104.50616427295054</v>
      </c>
      <c r="D1764" s="83">
        <f t="shared" si="215"/>
        <v>445.77777777777789</v>
      </c>
      <c r="E1764">
        <f t="shared" si="211"/>
        <v>0</v>
      </c>
      <c r="G1764">
        <v>1714</v>
      </c>
      <c r="H1764" s="13">
        <f t="shared" si="216"/>
        <v>1.8572577375266519E-2</v>
      </c>
      <c r="I1764">
        <f t="shared" si="217"/>
        <v>136.33956189415736</v>
      </c>
      <c r="J1764">
        <f t="shared" si="212"/>
        <v>483.01830708390128</v>
      </c>
      <c r="K1764" s="27">
        <f t="shared" si="213"/>
        <v>4333.2245738051306</v>
      </c>
    </row>
    <row r="1765" spans="1:11" x14ac:dyDescent="0.25">
      <c r="A1765" s="26">
        <v>1715</v>
      </c>
      <c r="B1765" s="82">
        <f t="shared" si="214"/>
        <v>0</v>
      </c>
      <c r="C1765" s="58">
        <f t="shared" si="218"/>
        <v>104.50616427295054</v>
      </c>
      <c r="D1765" s="83">
        <f t="shared" si="215"/>
        <v>445.77777777777789</v>
      </c>
      <c r="E1765">
        <f t="shared" si="211"/>
        <v>0</v>
      </c>
      <c r="G1765">
        <v>1715</v>
      </c>
      <c r="H1765" s="13">
        <f t="shared" si="216"/>
        <v>1.8572577375266519E-2</v>
      </c>
      <c r="I1765">
        <f t="shared" si="217"/>
        <v>136.35813447153262</v>
      </c>
      <c r="J1765">
        <f t="shared" si="212"/>
        <v>483.03147341891821</v>
      </c>
      <c r="K1765" s="27">
        <f t="shared" si="213"/>
        <v>4333.4607510470969</v>
      </c>
    </row>
    <row r="1766" spans="1:11" x14ac:dyDescent="0.25">
      <c r="A1766" s="26">
        <v>1716</v>
      </c>
      <c r="B1766" s="82">
        <f t="shared" si="214"/>
        <v>0</v>
      </c>
      <c r="C1766" s="58">
        <f t="shared" si="218"/>
        <v>104.50616427295054</v>
      </c>
      <c r="D1766" s="83">
        <f t="shared" si="215"/>
        <v>445.77777777777789</v>
      </c>
      <c r="E1766">
        <f t="shared" si="211"/>
        <v>0</v>
      </c>
      <c r="G1766">
        <v>1716</v>
      </c>
      <c r="H1766" s="13">
        <f t="shared" si="216"/>
        <v>1.8572577375266519E-2</v>
      </c>
      <c r="I1766">
        <f t="shared" si="217"/>
        <v>136.37670704890789</v>
      </c>
      <c r="J1766">
        <f t="shared" si="212"/>
        <v>483.04463342129037</v>
      </c>
      <c r="K1766" s="27">
        <f t="shared" si="213"/>
        <v>4333.6968211258454</v>
      </c>
    </row>
    <row r="1767" spans="1:11" x14ac:dyDescent="0.25">
      <c r="A1767" s="26">
        <v>1717</v>
      </c>
      <c r="B1767" s="82">
        <f t="shared" si="214"/>
        <v>0</v>
      </c>
      <c r="C1767" s="58">
        <f t="shared" si="218"/>
        <v>104.50616427295054</v>
      </c>
      <c r="D1767" s="83">
        <f t="shared" si="215"/>
        <v>445.77777777777789</v>
      </c>
      <c r="E1767">
        <f t="shared" si="211"/>
        <v>0</v>
      </c>
      <c r="G1767">
        <v>1717</v>
      </c>
      <c r="H1767" s="13">
        <f t="shared" si="216"/>
        <v>1.8572577375266519E-2</v>
      </c>
      <c r="I1767">
        <f t="shared" si="217"/>
        <v>136.39527962628316</v>
      </c>
      <c r="J1767">
        <f t="shared" si="212"/>
        <v>483.05778709407201</v>
      </c>
      <c r="K1767" s="27">
        <f t="shared" si="213"/>
        <v>4333.93278408687</v>
      </c>
    </row>
    <row r="1768" spans="1:11" x14ac:dyDescent="0.25">
      <c r="A1768" s="26">
        <v>1718</v>
      </c>
      <c r="B1768" s="82">
        <f t="shared" si="214"/>
        <v>0</v>
      </c>
      <c r="C1768" s="58">
        <f t="shared" si="218"/>
        <v>104.50616427295054</v>
      </c>
      <c r="D1768" s="83">
        <f t="shared" si="215"/>
        <v>445.77777777777789</v>
      </c>
      <c r="E1768">
        <f t="shared" si="211"/>
        <v>0</v>
      </c>
      <c r="G1768">
        <v>1718</v>
      </c>
      <c r="H1768" s="13">
        <f t="shared" si="216"/>
        <v>1.8572577375266519E-2</v>
      </c>
      <c r="I1768">
        <f t="shared" si="217"/>
        <v>136.41385220365842</v>
      </c>
      <c r="J1768">
        <f t="shared" si="212"/>
        <v>483.07093444031392</v>
      </c>
      <c r="K1768" s="27">
        <f t="shared" si="213"/>
        <v>4334.1686399756081</v>
      </c>
    </row>
    <row r="1769" spans="1:11" x14ac:dyDescent="0.25">
      <c r="A1769" s="26">
        <v>1719</v>
      </c>
      <c r="B1769" s="82">
        <f t="shared" si="214"/>
        <v>0</v>
      </c>
      <c r="C1769" s="58">
        <f t="shared" si="218"/>
        <v>104.50616427295054</v>
      </c>
      <c r="D1769" s="83">
        <f t="shared" si="215"/>
        <v>445.77777777777789</v>
      </c>
      <c r="E1769">
        <f t="shared" si="211"/>
        <v>0</v>
      </c>
      <c r="G1769">
        <v>1719</v>
      </c>
      <c r="H1769" s="13">
        <f t="shared" si="216"/>
        <v>1.8572577375266519E-2</v>
      </c>
      <c r="I1769">
        <f t="shared" si="217"/>
        <v>136.43242478103369</v>
      </c>
      <c r="J1769">
        <f t="shared" si="212"/>
        <v>483.08407546306353</v>
      </c>
      <c r="K1769" s="27">
        <f t="shared" si="213"/>
        <v>4334.4043888374508</v>
      </c>
    </row>
    <row r="1770" spans="1:11" x14ac:dyDescent="0.25">
      <c r="A1770" s="26">
        <v>1720</v>
      </c>
      <c r="B1770" s="82">
        <f t="shared" si="214"/>
        <v>0</v>
      </c>
      <c r="C1770" s="58">
        <f t="shared" si="218"/>
        <v>104.50616427295054</v>
      </c>
      <c r="D1770" s="83">
        <f t="shared" si="215"/>
        <v>445.77777777777789</v>
      </c>
      <c r="E1770">
        <f t="shared" si="211"/>
        <v>0</v>
      </c>
      <c r="G1770">
        <v>1720</v>
      </c>
      <c r="H1770" s="13">
        <f t="shared" si="216"/>
        <v>1.8572577375266519E-2</v>
      </c>
      <c r="I1770">
        <f t="shared" si="217"/>
        <v>136.45099735840896</v>
      </c>
      <c r="J1770">
        <f t="shared" si="212"/>
        <v>483.09721016536474</v>
      </c>
      <c r="K1770" s="27">
        <f t="shared" si="213"/>
        <v>4334.6400307177319</v>
      </c>
    </row>
    <row r="1771" spans="1:11" x14ac:dyDescent="0.25">
      <c r="A1771" s="26">
        <v>1721</v>
      </c>
      <c r="B1771" s="82">
        <f t="shared" si="214"/>
        <v>0</v>
      </c>
      <c r="C1771" s="58">
        <f t="shared" si="218"/>
        <v>104.50616427295054</v>
      </c>
      <c r="D1771" s="83">
        <f t="shared" si="215"/>
        <v>445.77777777777789</v>
      </c>
      <c r="E1771">
        <f t="shared" si="211"/>
        <v>0</v>
      </c>
      <c r="G1771">
        <v>1721</v>
      </c>
      <c r="H1771" s="13">
        <f t="shared" si="216"/>
        <v>1.8572577375266519E-2</v>
      </c>
      <c r="I1771">
        <f t="shared" si="217"/>
        <v>136.46956993578422</v>
      </c>
      <c r="J1771">
        <f t="shared" si="212"/>
        <v>483.11033855025812</v>
      </c>
      <c r="K1771" s="27">
        <f t="shared" si="213"/>
        <v>4334.8755656617413</v>
      </c>
    </row>
    <row r="1772" spans="1:11" x14ac:dyDescent="0.25">
      <c r="A1772" s="26">
        <v>1722</v>
      </c>
      <c r="B1772" s="82">
        <f t="shared" si="214"/>
        <v>0</v>
      </c>
      <c r="C1772" s="58">
        <f t="shared" si="218"/>
        <v>104.50616427295054</v>
      </c>
      <c r="D1772" s="83">
        <f t="shared" si="215"/>
        <v>445.77777777777789</v>
      </c>
      <c r="E1772">
        <f t="shared" si="211"/>
        <v>0</v>
      </c>
      <c r="G1772">
        <v>1722</v>
      </c>
      <c r="H1772" s="13">
        <f t="shared" si="216"/>
        <v>1.8572577375266519E-2</v>
      </c>
      <c r="I1772">
        <f t="shared" si="217"/>
        <v>136.48814251315949</v>
      </c>
      <c r="J1772">
        <f t="shared" si="212"/>
        <v>483.12346062078075</v>
      </c>
      <c r="K1772" s="27">
        <f t="shared" si="213"/>
        <v>4335.1109937147121</v>
      </c>
    </row>
    <row r="1773" spans="1:11" x14ac:dyDescent="0.25">
      <c r="A1773" s="26">
        <v>1723</v>
      </c>
      <c r="B1773" s="82">
        <f t="shared" si="214"/>
        <v>0</v>
      </c>
      <c r="C1773" s="58">
        <f t="shared" si="218"/>
        <v>104.50616427295054</v>
      </c>
      <c r="D1773" s="83">
        <f t="shared" si="215"/>
        <v>445.77777777777789</v>
      </c>
      <c r="E1773">
        <f t="shared" si="211"/>
        <v>0</v>
      </c>
      <c r="G1773">
        <v>1723</v>
      </c>
      <c r="H1773" s="13">
        <f t="shared" si="216"/>
        <v>1.8572577375266519E-2</v>
      </c>
      <c r="I1773">
        <f t="shared" si="217"/>
        <v>136.50671509053475</v>
      </c>
      <c r="J1773">
        <f t="shared" si="212"/>
        <v>483.13657637996641</v>
      </c>
      <c r="K1773" s="27">
        <f t="shared" si="213"/>
        <v>4335.3463149218323</v>
      </c>
    </row>
    <row r="1774" spans="1:11" x14ac:dyDescent="0.25">
      <c r="A1774" s="26">
        <v>1724</v>
      </c>
      <c r="B1774" s="82">
        <f t="shared" si="214"/>
        <v>0</v>
      </c>
      <c r="C1774" s="58">
        <f t="shared" si="218"/>
        <v>104.50616427295054</v>
      </c>
      <c r="D1774" s="83">
        <f t="shared" si="215"/>
        <v>445.77777777777789</v>
      </c>
      <c r="E1774">
        <f t="shared" si="211"/>
        <v>0</v>
      </c>
      <c r="G1774">
        <v>1724</v>
      </c>
      <c r="H1774" s="13">
        <f t="shared" si="216"/>
        <v>1.8572577375266519E-2</v>
      </c>
      <c r="I1774">
        <f t="shared" si="217"/>
        <v>136.52528766791002</v>
      </c>
      <c r="J1774">
        <f t="shared" si="212"/>
        <v>483.14968583084544</v>
      </c>
      <c r="K1774" s="27">
        <f t="shared" si="213"/>
        <v>4335.5815293282349</v>
      </c>
    </row>
    <row r="1775" spans="1:11" x14ac:dyDescent="0.25">
      <c r="A1775" s="26">
        <v>1725</v>
      </c>
      <c r="B1775" s="82">
        <f t="shared" si="214"/>
        <v>0</v>
      </c>
      <c r="C1775" s="58">
        <f t="shared" si="218"/>
        <v>104.50616427295054</v>
      </c>
      <c r="D1775" s="83">
        <f t="shared" si="215"/>
        <v>445.77777777777789</v>
      </c>
      <c r="E1775">
        <f t="shared" si="211"/>
        <v>0</v>
      </c>
      <c r="G1775">
        <v>1725</v>
      </c>
      <c r="H1775" s="13">
        <f t="shared" si="216"/>
        <v>1.8572577375266519E-2</v>
      </c>
      <c r="I1775">
        <f t="shared" si="217"/>
        <v>136.54386024528529</v>
      </c>
      <c r="J1775">
        <f t="shared" si="212"/>
        <v>483.16278897644474</v>
      </c>
      <c r="K1775" s="27">
        <f t="shared" si="213"/>
        <v>4335.8166369790033</v>
      </c>
    </row>
    <row r="1776" spans="1:11" x14ac:dyDescent="0.25">
      <c r="A1776" s="26">
        <v>1726</v>
      </c>
      <c r="B1776" s="82">
        <f t="shared" si="214"/>
        <v>0</v>
      </c>
      <c r="C1776" s="58">
        <f t="shared" si="218"/>
        <v>104.50616427295054</v>
      </c>
      <c r="D1776" s="83">
        <f t="shared" si="215"/>
        <v>445.77777777777789</v>
      </c>
      <c r="E1776">
        <f t="shared" si="211"/>
        <v>0</v>
      </c>
      <c r="G1776">
        <v>1726</v>
      </c>
      <c r="H1776" s="13">
        <f t="shared" si="216"/>
        <v>1.8572577375266519E-2</v>
      </c>
      <c r="I1776">
        <f t="shared" si="217"/>
        <v>136.56243282266055</v>
      </c>
      <c r="J1776">
        <f t="shared" si="212"/>
        <v>483.17588581978777</v>
      </c>
      <c r="K1776" s="27">
        <f t="shared" si="213"/>
        <v>4336.0516379191713</v>
      </c>
    </row>
    <row r="1777" spans="1:11" x14ac:dyDescent="0.25">
      <c r="A1777" s="26">
        <v>1727</v>
      </c>
      <c r="B1777" s="82">
        <f t="shared" si="214"/>
        <v>0</v>
      </c>
      <c r="C1777" s="58">
        <f t="shared" si="218"/>
        <v>104.50616427295054</v>
      </c>
      <c r="D1777" s="83">
        <f t="shared" si="215"/>
        <v>445.77777777777789</v>
      </c>
      <c r="E1777">
        <f t="shared" si="211"/>
        <v>0</v>
      </c>
      <c r="G1777">
        <v>1727</v>
      </c>
      <c r="H1777" s="13">
        <f t="shared" si="216"/>
        <v>1.8572577375266519E-2</v>
      </c>
      <c r="I1777">
        <f t="shared" si="217"/>
        <v>136.58100540003582</v>
      </c>
      <c r="J1777">
        <f t="shared" si="212"/>
        <v>483.18897636389477</v>
      </c>
      <c r="K1777" s="27">
        <f t="shared" si="213"/>
        <v>4336.2865321937215</v>
      </c>
    </row>
    <row r="1778" spans="1:11" x14ac:dyDescent="0.25">
      <c r="A1778" s="26">
        <v>1728</v>
      </c>
      <c r="B1778" s="82">
        <f t="shared" si="214"/>
        <v>0</v>
      </c>
      <c r="C1778" s="58">
        <f t="shared" si="218"/>
        <v>104.50616427295054</v>
      </c>
      <c r="D1778" s="83">
        <f t="shared" si="215"/>
        <v>445.77777777777789</v>
      </c>
      <c r="E1778">
        <f t="shared" si="211"/>
        <v>0</v>
      </c>
      <c r="G1778">
        <v>1728</v>
      </c>
      <c r="H1778" s="13">
        <f t="shared" si="216"/>
        <v>1.8572577375266519E-2</v>
      </c>
      <c r="I1778">
        <f t="shared" si="217"/>
        <v>136.59957797741109</v>
      </c>
      <c r="J1778">
        <f t="shared" si="212"/>
        <v>483.20206061178249</v>
      </c>
      <c r="K1778" s="27">
        <f t="shared" si="213"/>
        <v>4336.5213198475885</v>
      </c>
    </row>
    <row r="1779" spans="1:11" x14ac:dyDescent="0.25">
      <c r="A1779" s="26">
        <v>1729</v>
      </c>
      <c r="B1779" s="82">
        <f t="shared" si="214"/>
        <v>0</v>
      </c>
      <c r="C1779" s="58">
        <f t="shared" si="218"/>
        <v>104.50616427295054</v>
      </c>
      <c r="D1779" s="83">
        <f t="shared" si="215"/>
        <v>445.77777777777789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1.8572577375266519E-2</v>
      </c>
      <c r="I1779">
        <f t="shared" si="217"/>
        <v>136.61815055478635</v>
      </c>
      <c r="J1779">
        <f t="shared" ref="J1779:J1842" si="220">IF($G$28&lt;$C$14,0,((($C$11^2)-((I1779-$C$13)^2))^0.5)+$C$16)</f>
        <v>483.2151385664643</v>
      </c>
      <c r="K1779" s="27">
        <f t="shared" ref="K1779:K1842" si="221">((J1779^2)+(J1779*J1780)+(J1780^2))*H1780/3</f>
        <v>4336.7560009256522</v>
      </c>
    </row>
    <row r="1780" spans="1:11" x14ac:dyDescent="0.25">
      <c r="A1780" s="26">
        <v>1730</v>
      </c>
      <c r="B1780" s="82">
        <f t="shared" ref="B1780:B1843" si="222">C1780-C1779</f>
        <v>0</v>
      </c>
      <c r="C1780" s="58">
        <f t="shared" si="218"/>
        <v>104.50616427295054</v>
      </c>
      <c r="D1780" s="83">
        <f t="shared" ref="D1780:D1843" si="223">IF($G$28&lt;$C$14,0,((($C$11^2)-((C1780-$C$13)^2))^0.5)+$C$16)</f>
        <v>445.77777777777789</v>
      </c>
      <c r="E1780">
        <f t="shared" si="219"/>
        <v>0</v>
      </c>
      <c r="G1780">
        <v>1730</v>
      </c>
      <c r="H1780" s="13">
        <f t="shared" ref="H1780:H1843" si="224">I1780-I1779</f>
        <v>1.8572577375266519E-2</v>
      </c>
      <c r="I1780">
        <f t="shared" ref="I1780:I1843" si="225">($G$27-$C$14)/2000+I1779</f>
        <v>136.63672313216162</v>
      </c>
      <c r="J1780">
        <f t="shared" si="220"/>
        <v>483.22821023095025</v>
      </c>
      <c r="K1780" s="27">
        <f t="shared" si="221"/>
        <v>4336.990575472747</v>
      </c>
    </row>
    <row r="1781" spans="1:11" x14ac:dyDescent="0.25">
      <c r="A1781" s="26">
        <v>1731</v>
      </c>
      <c r="B1781" s="82">
        <f t="shared" si="222"/>
        <v>0</v>
      </c>
      <c r="C1781" s="58">
        <f t="shared" si="218"/>
        <v>104.50616427295054</v>
      </c>
      <c r="D1781" s="83">
        <f t="shared" si="223"/>
        <v>445.77777777777789</v>
      </c>
      <c r="E1781">
        <f t="shared" si="219"/>
        <v>0</v>
      </c>
      <c r="G1781">
        <v>1731</v>
      </c>
      <c r="H1781" s="13">
        <f t="shared" si="224"/>
        <v>1.8572577375266519E-2</v>
      </c>
      <c r="I1781">
        <f t="shared" si="225"/>
        <v>136.65529570953689</v>
      </c>
      <c r="J1781">
        <f t="shared" si="220"/>
        <v>483.24127560824701</v>
      </c>
      <c r="K1781" s="27">
        <f t="shared" si="221"/>
        <v>4337.2250435336528</v>
      </c>
    </row>
    <row r="1782" spans="1:11" x14ac:dyDescent="0.25">
      <c r="A1782" s="26">
        <v>1732</v>
      </c>
      <c r="B1782" s="82">
        <f t="shared" si="222"/>
        <v>0</v>
      </c>
      <c r="C1782" s="58">
        <f t="shared" si="218"/>
        <v>104.50616427295054</v>
      </c>
      <c r="D1782" s="83">
        <f t="shared" si="223"/>
        <v>445.77777777777789</v>
      </c>
      <c r="E1782">
        <f t="shared" si="219"/>
        <v>0</v>
      </c>
      <c r="G1782">
        <v>1732</v>
      </c>
      <c r="H1782" s="13">
        <f t="shared" si="224"/>
        <v>1.8572577375266519E-2</v>
      </c>
      <c r="I1782">
        <f t="shared" si="225"/>
        <v>136.67386828691215</v>
      </c>
      <c r="J1782">
        <f t="shared" si="220"/>
        <v>483.25433470135783</v>
      </c>
      <c r="K1782" s="27">
        <f t="shared" si="221"/>
        <v>4337.459405153103</v>
      </c>
    </row>
    <row r="1783" spans="1:11" x14ac:dyDescent="0.25">
      <c r="A1783" s="26">
        <v>1733</v>
      </c>
      <c r="B1783" s="82">
        <f t="shared" si="222"/>
        <v>0</v>
      </c>
      <c r="C1783" s="58">
        <f t="shared" si="218"/>
        <v>104.50616427295054</v>
      </c>
      <c r="D1783" s="83">
        <f t="shared" si="223"/>
        <v>445.77777777777789</v>
      </c>
      <c r="E1783">
        <f t="shared" si="219"/>
        <v>0</v>
      </c>
      <c r="G1783">
        <v>1733</v>
      </c>
      <c r="H1783" s="13">
        <f t="shared" si="224"/>
        <v>1.8572577375266519E-2</v>
      </c>
      <c r="I1783">
        <f t="shared" si="225"/>
        <v>136.69244086428742</v>
      </c>
      <c r="J1783">
        <f t="shared" si="220"/>
        <v>483.26738751328264</v>
      </c>
      <c r="K1783" s="27">
        <f t="shared" si="221"/>
        <v>4337.6936603757804</v>
      </c>
    </row>
    <row r="1784" spans="1:11" x14ac:dyDescent="0.25">
      <c r="A1784" s="26">
        <v>1734</v>
      </c>
      <c r="B1784" s="82">
        <f t="shared" si="222"/>
        <v>0</v>
      </c>
      <c r="C1784" s="58">
        <f t="shared" si="218"/>
        <v>104.50616427295054</v>
      </c>
      <c r="D1784" s="83">
        <f t="shared" si="223"/>
        <v>445.77777777777789</v>
      </c>
      <c r="E1784">
        <f t="shared" si="219"/>
        <v>0</v>
      </c>
      <c r="G1784">
        <v>1734</v>
      </c>
      <c r="H1784" s="13">
        <f t="shared" si="224"/>
        <v>1.8572577375266519E-2</v>
      </c>
      <c r="I1784">
        <f t="shared" si="225"/>
        <v>136.71101344166269</v>
      </c>
      <c r="J1784">
        <f t="shared" si="220"/>
        <v>483.28043404701816</v>
      </c>
      <c r="K1784" s="27">
        <f t="shared" si="221"/>
        <v>4337.9278092463155</v>
      </c>
    </row>
    <row r="1785" spans="1:11" x14ac:dyDescent="0.25">
      <c r="A1785" s="26">
        <v>1735</v>
      </c>
      <c r="B1785" s="82">
        <f t="shared" si="222"/>
        <v>0</v>
      </c>
      <c r="C1785" s="58">
        <f t="shared" si="218"/>
        <v>104.50616427295054</v>
      </c>
      <c r="D1785" s="83">
        <f t="shared" si="223"/>
        <v>445.77777777777789</v>
      </c>
      <c r="E1785">
        <f t="shared" si="219"/>
        <v>0</v>
      </c>
      <c r="G1785">
        <v>1735</v>
      </c>
      <c r="H1785" s="13">
        <f t="shared" si="224"/>
        <v>1.8572577375266519E-2</v>
      </c>
      <c r="I1785">
        <f t="shared" si="225"/>
        <v>136.72958601903795</v>
      </c>
      <c r="J1785">
        <f t="shared" si="220"/>
        <v>483.29347430555748</v>
      </c>
      <c r="K1785" s="27">
        <f t="shared" si="221"/>
        <v>4338.161851809291</v>
      </c>
    </row>
    <row r="1786" spans="1:11" x14ac:dyDescent="0.25">
      <c r="A1786" s="26">
        <v>1736</v>
      </c>
      <c r="B1786" s="82">
        <f t="shared" si="222"/>
        <v>0</v>
      </c>
      <c r="C1786" s="58">
        <f t="shared" si="218"/>
        <v>104.50616427295054</v>
      </c>
      <c r="D1786" s="83">
        <f t="shared" si="223"/>
        <v>445.77777777777789</v>
      </c>
      <c r="E1786">
        <f t="shared" si="219"/>
        <v>0</v>
      </c>
      <c r="G1786">
        <v>1736</v>
      </c>
      <c r="H1786" s="13">
        <f t="shared" si="224"/>
        <v>1.8572577375266519E-2</v>
      </c>
      <c r="I1786">
        <f t="shared" si="225"/>
        <v>136.74815859641322</v>
      </c>
      <c r="J1786">
        <f t="shared" si="220"/>
        <v>483.30650829189051</v>
      </c>
      <c r="K1786" s="27">
        <f t="shared" si="221"/>
        <v>4338.3957881092401</v>
      </c>
    </row>
    <row r="1787" spans="1:11" x14ac:dyDescent="0.25">
      <c r="A1787" s="26">
        <v>1737</v>
      </c>
      <c r="B1787" s="82">
        <f t="shared" si="222"/>
        <v>0</v>
      </c>
      <c r="C1787" s="58">
        <f t="shared" si="218"/>
        <v>104.50616427295054</v>
      </c>
      <c r="D1787" s="83">
        <f t="shared" si="223"/>
        <v>445.77777777777789</v>
      </c>
      <c r="E1787">
        <f t="shared" si="219"/>
        <v>0</v>
      </c>
      <c r="G1787">
        <v>1737</v>
      </c>
      <c r="H1787" s="13">
        <f t="shared" si="224"/>
        <v>1.8572577375266519E-2</v>
      </c>
      <c r="I1787">
        <f t="shared" si="225"/>
        <v>136.76673117378849</v>
      </c>
      <c r="J1787">
        <f t="shared" si="220"/>
        <v>483.31953600900397</v>
      </c>
      <c r="K1787" s="27">
        <f t="shared" si="221"/>
        <v>4338.6296181906446</v>
      </c>
    </row>
    <row r="1788" spans="1:11" x14ac:dyDescent="0.25">
      <c r="A1788" s="26">
        <v>1738</v>
      </c>
      <c r="B1788" s="82">
        <f t="shared" si="222"/>
        <v>0</v>
      </c>
      <c r="C1788" s="58">
        <f t="shared" si="218"/>
        <v>104.50616427295054</v>
      </c>
      <c r="D1788" s="83">
        <f t="shared" si="223"/>
        <v>445.77777777777789</v>
      </c>
      <c r="E1788">
        <f t="shared" si="219"/>
        <v>0</v>
      </c>
      <c r="G1788">
        <v>1738</v>
      </c>
      <c r="H1788" s="13">
        <f t="shared" si="224"/>
        <v>1.8572577375266519E-2</v>
      </c>
      <c r="I1788">
        <f t="shared" si="225"/>
        <v>136.78530375116375</v>
      </c>
      <c r="J1788">
        <f t="shared" si="220"/>
        <v>483.33255745988095</v>
      </c>
      <c r="K1788" s="27">
        <f t="shared" si="221"/>
        <v>4338.8633420979395</v>
      </c>
    </row>
    <row r="1789" spans="1:11" x14ac:dyDescent="0.25">
      <c r="A1789" s="26">
        <v>1739</v>
      </c>
      <c r="B1789" s="82">
        <f t="shared" si="222"/>
        <v>0</v>
      </c>
      <c r="C1789" s="58">
        <f t="shared" si="218"/>
        <v>104.50616427295054</v>
      </c>
      <c r="D1789" s="83">
        <f t="shared" si="223"/>
        <v>445.77777777777789</v>
      </c>
      <c r="E1789">
        <f t="shared" si="219"/>
        <v>0</v>
      </c>
      <c r="G1789">
        <v>1739</v>
      </c>
      <c r="H1789" s="13">
        <f t="shared" si="224"/>
        <v>1.8572577375266519E-2</v>
      </c>
      <c r="I1789">
        <f t="shared" si="225"/>
        <v>136.80387632853902</v>
      </c>
      <c r="J1789">
        <f t="shared" si="220"/>
        <v>483.3455726475014</v>
      </c>
      <c r="K1789" s="27">
        <f t="shared" si="221"/>
        <v>4339.0969598755082</v>
      </c>
    </row>
    <row r="1790" spans="1:11" x14ac:dyDescent="0.25">
      <c r="A1790" s="26">
        <v>1740</v>
      </c>
      <c r="B1790" s="82">
        <f t="shared" si="222"/>
        <v>0</v>
      </c>
      <c r="C1790" s="58">
        <f t="shared" si="218"/>
        <v>104.50616427295054</v>
      </c>
      <c r="D1790" s="83">
        <f t="shared" si="223"/>
        <v>445.77777777777789</v>
      </c>
      <c r="E1790">
        <f t="shared" si="219"/>
        <v>0</v>
      </c>
      <c r="G1790">
        <v>1740</v>
      </c>
      <c r="H1790" s="13">
        <f t="shared" si="224"/>
        <v>1.8572577375266519E-2</v>
      </c>
      <c r="I1790">
        <f t="shared" si="225"/>
        <v>136.82244890591429</v>
      </c>
      <c r="J1790">
        <f t="shared" si="220"/>
        <v>483.35858157484193</v>
      </c>
      <c r="K1790" s="27">
        <f t="shared" si="221"/>
        <v>4339.3304715676832</v>
      </c>
    </row>
    <row r="1791" spans="1:11" x14ac:dyDescent="0.25">
      <c r="A1791" s="26">
        <v>1741</v>
      </c>
      <c r="B1791" s="82">
        <f t="shared" si="222"/>
        <v>0</v>
      </c>
      <c r="C1791" s="58">
        <f t="shared" si="218"/>
        <v>104.50616427295054</v>
      </c>
      <c r="D1791" s="83">
        <f t="shared" si="223"/>
        <v>445.77777777777789</v>
      </c>
      <c r="E1791">
        <f t="shared" si="219"/>
        <v>0</v>
      </c>
      <c r="G1791">
        <v>1741</v>
      </c>
      <c r="H1791" s="13">
        <f t="shared" si="224"/>
        <v>1.8572577375266519E-2</v>
      </c>
      <c r="I1791">
        <f t="shared" si="225"/>
        <v>136.84102148328955</v>
      </c>
      <c r="J1791">
        <f t="shared" si="220"/>
        <v>483.37158424487581</v>
      </c>
      <c r="K1791" s="27">
        <f t="shared" si="221"/>
        <v>4339.5638772187513</v>
      </c>
    </row>
    <row r="1792" spans="1:11" x14ac:dyDescent="0.25">
      <c r="A1792" s="26">
        <v>1742</v>
      </c>
      <c r="B1792" s="82">
        <f t="shared" si="222"/>
        <v>0</v>
      </c>
      <c r="C1792" s="58">
        <f t="shared" si="218"/>
        <v>104.50616427295054</v>
      </c>
      <c r="D1792" s="83">
        <f t="shared" si="223"/>
        <v>445.77777777777789</v>
      </c>
      <c r="E1792">
        <f t="shared" si="219"/>
        <v>0</v>
      </c>
      <c r="G1792">
        <v>1742</v>
      </c>
      <c r="H1792" s="13">
        <f t="shared" si="224"/>
        <v>1.8572577375266519E-2</v>
      </c>
      <c r="I1792">
        <f t="shared" si="225"/>
        <v>136.85959406066482</v>
      </c>
      <c r="J1792">
        <f t="shared" si="220"/>
        <v>483.38458066057296</v>
      </c>
      <c r="K1792" s="27">
        <f t="shared" si="221"/>
        <v>4339.7971768729467</v>
      </c>
    </row>
    <row r="1793" spans="1:11" x14ac:dyDescent="0.25">
      <c r="A1793" s="26">
        <v>1743</v>
      </c>
      <c r="B1793" s="82">
        <f t="shared" si="222"/>
        <v>0</v>
      </c>
      <c r="C1793" s="58">
        <f t="shared" si="218"/>
        <v>104.50616427295054</v>
      </c>
      <c r="D1793" s="83">
        <f t="shared" si="223"/>
        <v>445.77777777777789</v>
      </c>
      <c r="E1793">
        <f t="shared" si="219"/>
        <v>0</v>
      </c>
      <c r="G1793">
        <v>1743</v>
      </c>
      <c r="H1793" s="13">
        <f t="shared" si="224"/>
        <v>1.8572577375266519E-2</v>
      </c>
      <c r="I1793">
        <f t="shared" si="225"/>
        <v>136.87816663804008</v>
      </c>
      <c r="J1793">
        <f t="shared" si="220"/>
        <v>483.39757082490007</v>
      </c>
      <c r="K1793" s="27">
        <f t="shared" si="221"/>
        <v>4340.0303705744582</v>
      </c>
    </row>
    <row r="1794" spans="1:11" x14ac:dyDescent="0.25">
      <c r="A1794" s="26">
        <v>1744</v>
      </c>
      <c r="B1794" s="82">
        <f t="shared" si="222"/>
        <v>0</v>
      </c>
      <c r="C1794" s="58">
        <f t="shared" si="218"/>
        <v>104.50616427295054</v>
      </c>
      <c r="D1794" s="83">
        <f t="shared" si="223"/>
        <v>445.77777777777789</v>
      </c>
      <c r="E1794">
        <f t="shared" si="219"/>
        <v>0</v>
      </c>
      <c r="G1794">
        <v>1744</v>
      </c>
      <c r="H1794" s="13">
        <f t="shared" si="224"/>
        <v>1.8572577375266519E-2</v>
      </c>
      <c r="I1794">
        <f t="shared" si="225"/>
        <v>136.89673921541535</v>
      </c>
      <c r="J1794">
        <f t="shared" si="220"/>
        <v>483.41055474082054</v>
      </c>
      <c r="K1794" s="27">
        <f t="shared" si="221"/>
        <v>4340.2634583674198</v>
      </c>
    </row>
    <row r="1795" spans="1:11" x14ac:dyDescent="0.25">
      <c r="A1795" s="26">
        <v>1745</v>
      </c>
      <c r="B1795" s="82">
        <f t="shared" si="222"/>
        <v>0</v>
      </c>
      <c r="C1795" s="58">
        <f t="shared" si="218"/>
        <v>104.50616427295054</v>
      </c>
      <c r="D1795" s="83">
        <f t="shared" si="223"/>
        <v>445.77777777777789</v>
      </c>
      <c r="E1795">
        <f t="shared" si="219"/>
        <v>0</v>
      </c>
      <c r="G1795">
        <v>1745</v>
      </c>
      <c r="H1795" s="13">
        <f t="shared" si="224"/>
        <v>1.8572577375266519E-2</v>
      </c>
      <c r="I1795">
        <f t="shared" si="225"/>
        <v>136.91531179279062</v>
      </c>
      <c r="J1795">
        <f t="shared" si="220"/>
        <v>483.42353241129433</v>
      </c>
      <c r="K1795" s="27">
        <f t="shared" si="221"/>
        <v>4340.4964402959222</v>
      </c>
    </row>
    <row r="1796" spans="1:11" x14ac:dyDescent="0.25">
      <c r="A1796" s="26">
        <v>1746</v>
      </c>
      <c r="B1796" s="82">
        <f t="shared" si="222"/>
        <v>0</v>
      </c>
      <c r="C1796" s="58">
        <f t="shared" si="218"/>
        <v>104.50616427295054</v>
      </c>
      <c r="D1796" s="83">
        <f t="shared" si="223"/>
        <v>445.77777777777789</v>
      </c>
      <c r="E1796">
        <f t="shared" si="219"/>
        <v>0</v>
      </c>
      <c r="G1796">
        <v>1746</v>
      </c>
      <c r="H1796" s="13">
        <f t="shared" si="224"/>
        <v>1.8572577375266519E-2</v>
      </c>
      <c r="I1796">
        <f t="shared" si="225"/>
        <v>136.93388437016588</v>
      </c>
      <c r="J1796">
        <f t="shared" si="220"/>
        <v>483.43650383927826</v>
      </c>
      <c r="K1796" s="27">
        <f t="shared" si="221"/>
        <v>4340.7293164040038</v>
      </c>
    </row>
    <row r="1797" spans="1:11" x14ac:dyDescent="0.25">
      <c r="A1797" s="26">
        <v>1747</v>
      </c>
      <c r="B1797" s="82">
        <f t="shared" si="222"/>
        <v>0</v>
      </c>
      <c r="C1797" s="58">
        <f t="shared" si="218"/>
        <v>104.50616427295054</v>
      </c>
      <c r="D1797" s="83">
        <f t="shared" si="223"/>
        <v>445.77777777777789</v>
      </c>
      <c r="E1797">
        <f t="shared" si="219"/>
        <v>0</v>
      </c>
      <c r="G1797">
        <v>1747</v>
      </c>
      <c r="H1797" s="13">
        <f t="shared" si="224"/>
        <v>1.8572577375266519E-2</v>
      </c>
      <c r="I1797">
        <f t="shared" si="225"/>
        <v>136.95245694754115</v>
      </c>
      <c r="J1797">
        <f t="shared" si="220"/>
        <v>483.4494690277258</v>
      </c>
      <c r="K1797" s="27">
        <f t="shared" si="221"/>
        <v>4340.9620867356543</v>
      </c>
    </row>
    <row r="1798" spans="1:11" x14ac:dyDescent="0.25">
      <c r="A1798" s="26">
        <v>1748</v>
      </c>
      <c r="B1798" s="82">
        <f t="shared" si="222"/>
        <v>0</v>
      </c>
      <c r="C1798" s="58">
        <f t="shared" si="218"/>
        <v>104.50616427295054</v>
      </c>
      <c r="D1798" s="83">
        <f t="shared" si="223"/>
        <v>445.77777777777789</v>
      </c>
      <c r="E1798">
        <f t="shared" si="219"/>
        <v>0</v>
      </c>
      <c r="G1798">
        <v>1748</v>
      </c>
      <c r="H1798" s="13">
        <f t="shared" si="224"/>
        <v>1.8572577375266519E-2</v>
      </c>
      <c r="I1798">
        <f t="shared" si="225"/>
        <v>136.97102952491642</v>
      </c>
      <c r="J1798">
        <f t="shared" si="220"/>
        <v>483.46242797958718</v>
      </c>
      <c r="K1798" s="27">
        <f t="shared" si="221"/>
        <v>4341.194751334815</v>
      </c>
    </row>
    <row r="1799" spans="1:11" x14ac:dyDescent="0.25">
      <c r="A1799" s="26">
        <v>1749</v>
      </c>
      <c r="B1799" s="82">
        <f t="shared" si="222"/>
        <v>0</v>
      </c>
      <c r="C1799" s="58">
        <f t="shared" si="218"/>
        <v>104.50616427295054</v>
      </c>
      <c r="D1799" s="83">
        <f t="shared" si="223"/>
        <v>445.77777777777789</v>
      </c>
      <c r="E1799">
        <f t="shared" si="219"/>
        <v>0</v>
      </c>
      <c r="G1799">
        <v>1749</v>
      </c>
      <c r="H1799" s="13">
        <f t="shared" si="224"/>
        <v>1.8572577375266519E-2</v>
      </c>
      <c r="I1799">
        <f t="shared" si="225"/>
        <v>136.98960210229168</v>
      </c>
      <c r="J1799">
        <f t="shared" si="220"/>
        <v>483.47538069780927</v>
      </c>
      <c r="K1799" s="27">
        <f t="shared" si="221"/>
        <v>4341.4273102453799</v>
      </c>
    </row>
    <row r="1800" spans="1:11" x14ac:dyDescent="0.25">
      <c r="A1800" s="26">
        <v>1750</v>
      </c>
      <c r="B1800" s="82">
        <f t="shared" si="222"/>
        <v>0</v>
      </c>
      <c r="C1800" s="58">
        <f t="shared" si="218"/>
        <v>104.50616427295054</v>
      </c>
      <c r="D1800" s="83">
        <f t="shared" si="223"/>
        <v>445.77777777777789</v>
      </c>
      <c r="E1800">
        <f t="shared" si="219"/>
        <v>0</v>
      </c>
      <c r="G1800">
        <v>1750</v>
      </c>
      <c r="H1800" s="13">
        <f t="shared" si="224"/>
        <v>1.8572577375266519E-2</v>
      </c>
      <c r="I1800">
        <f t="shared" si="225"/>
        <v>137.00817467966695</v>
      </c>
      <c r="J1800">
        <f t="shared" si="220"/>
        <v>483.48832718533572</v>
      </c>
      <c r="K1800" s="27">
        <f t="shared" si="221"/>
        <v>4341.6597635111893</v>
      </c>
    </row>
    <row r="1801" spans="1:11" x14ac:dyDescent="0.25">
      <c r="A1801" s="26">
        <v>1751</v>
      </c>
      <c r="B1801" s="82">
        <f t="shared" si="222"/>
        <v>0</v>
      </c>
      <c r="C1801" s="58">
        <f t="shared" si="218"/>
        <v>104.50616427295054</v>
      </c>
      <c r="D1801" s="83">
        <f t="shared" si="223"/>
        <v>445.77777777777789</v>
      </c>
      <c r="E1801">
        <f t="shared" si="219"/>
        <v>0</v>
      </c>
      <c r="G1801">
        <v>1751</v>
      </c>
      <c r="H1801" s="13">
        <f t="shared" si="224"/>
        <v>1.8572577375266519E-2</v>
      </c>
      <c r="I1801">
        <f t="shared" si="225"/>
        <v>137.02674725704222</v>
      </c>
      <c r="J1801">
        <f t="shared" si="220"/>
        <v>483.50126744510692</v>
      </c>
      <c r="K1801" s="27">
        <f t="shared" si="221"/>
        <v>4341.8921111760419</v>
      </c>
    </row>
    <row r="1802" spans="1:11" x14ac:dyDescent="0.25">
      <c r="A1802" s="26">
        <v>1752</v>
      </c>
      <c r="B1802" s="82">
        <f t="shared" si="222"/>
        <v>0</v>
      </c>
      <c r="C1802" s="58">
        <f t="shared" si="218"/>
        <v>104.50616427295054</v>
      </c>
      <c r="D1802" s="83">
        <f t="shared" si="223"/>
        <v>445.77777777777789</v>
      </c>
      <c r="E1802">
        <f t="shared" si="219"/>
        <v>0</v>
      </c>
      <c r="G1802">
        <v>1752</v>
      </c>
      <c r="H1802" s="13">
        <f t="shared" si="224"/>
        <v>1.8572577375266519E-2</v>
      </c>
      <c r="I1802">
        <f t="shared" si="225"/>
        <v>137.04531983441748</v>
      </c>
      <c r="J1802">
        <f t="shared" si="220"/>
        <v>483.51420148006002</v>
      </c>
      <c r="K1802" s="27">
        <f t="shared" si="221"/>
        <v>4342.1243532836825</v>
      </c>
    </row>
    <row r="1803" spans="1:11" x14ac:dyDescent="0.25">
      <c r="A1803" s="26">
        <v>1753</v>
      </c>
      <c r="B1803" s="82">
        <f t="shared" si="222"/>
        <v>0</v>
      </c>
      <c r="C1803" s="58">
        <f t="shared" si="218"/>
        <v>104.50616427295054</v>
      </c>
      <c r="D1803" s="83">
        <f t="shared" si="223"/>
        <v>445.77777777777789</v>
      </c>
      <c r="E1803">
        <f t="shared" si="219"/>
        <v>0</v>
      </c>
      <c r="G1803">
        <v>1753</v>
      </c>
      <c r="H1803" s="13">
        <f t="shared" si="224"/>
        <v>1.8572577375266519E-2</v>
      </c>
      <c r="I1803">
        <f t="shared" si="225"/>
        <v>137.06389241179275</v>
      </c>
      <c r="J1803">
        <f t="shared" si="220"/>
        <v>483.52712929312884</v>
      </c>
      <c r="K1803" s="27">
        <f t="shared" si="221"/>
        <v>4342.3564898778086</v>
      </c>
    </row>
    <row r="1804" spans="1:11" x14ac:dyDescent="0.25">
      <c r="A1804" s="26">
        <v>1754</v>
      </c>
      <c r="B1804" s="82">
        <f t="shared" si="222"/>
        <v>0</v>
      </c>
      <c r="C1804" s="58">
        <f t="shared" si="218"/>
        <v>104.50616427295054</v>
      </c>
      <c r="D1804" s="83">
        <f t="shared" si="223"/>
        <v>445.77777777777789</v>
      </c>
      <c r="E1804">
        <f t="shared" si="219"/>
        <v>0</v>
      </c>
      <c r="G1804">
        <v>1754</v>
      </c>
      <c r="H1804" s="13">
        <f t="shared" si="224"/>
        <v>1.8572577375266519E-2</v>
      </c>
      <c r="I1804">
        <f t="shared" si="225"/>
        <v>137.08246498916802</v>
      </c>
      <c r="J1804">
        <f t="shared" si="220"/>
        <v>483.54005088724398</v>
      </c>
      <c r="K1804" s="27">
        <f t="shared" si="221"/>
        <v>4342.5885210020706</v>
      </c>
    </row>
    <row r="1805" spans="1:11" x14ac:dyDescent="0.25">
      <c r="A1805" s="26">
        <v>1755</v>
      </c>
      <c r="B1805" s="82">
        <f t="shared" si="222"/>
        <v>0</v>
      </c>
      <c r="C1805" s="58">
        <f t="shared" si="218"/>
        <v>104.50616427295054</v>
      </c>
      <c r="D1805" s="83">
        <f t="shared" si="223"/>
        <v>445.77777777777789</v>
      </c>
      <c r="E1805">
        <f t="shared" si="219"/>
        <v>0</v>
      </c>
      <c r="G1805">
        <v>1755</v>
      </c>
      <c r="H1805" s="13">
        <f t="shared" si="224"/>
        <v>1.8572577375266519E-2</v>
      </c>
      <c r="I1805">
        <f t="shared" si="225"/>
        <v>137.10103756654328</v>
      </c>
      <c r="J1805">
        <f t="shared" si="220"/>
        <v>483.55296626533277</v>
      </c>
      <c r="K1805" s="27">
        <f t="shared" si="221"/>
        <v>4342.8204467000696</v>
      </c>
    </row>
    <row r="1806" spans="1:11" x14ac:dyDescent="0.25">
      <c r="A1806" s="26">
        <v>1756</v>
      </c>
      <c r="B1806" s="82">
        <f t="shared" si="222"/>
        <v>0</v>
      </c>
      <c r="C1806" s="58">
        <f t="shared" si="218"/>
        <v>104.50616427295054</v>
      </c>
      <c r="D1806" s="83">
        <f t="shared" si="223"/>
        <v>445.77777777777789</v>
      </c>
      <c r="E1806">
        <f t="shared" si="219"/>
        <v>0</v>
      </c>
      <c r="G1806">
        <v>1756</v>
      </c>
      <c r="H1806" s="13">
        <f t="shared" si="224"/>
        <v>1.8572577375266519E-2</v>
      </c>
      <c r="I1806">
        <f t="shared" si="225"/>
        <v>137.11961014391855</v>
      </c>
      <c r="J1806">
        <f t="shared" si="220"/>
        <v>483.56587543031941</v>
      </c>
      <c r="K1806" s="27">
        <f t="shared" si="221"/>
        <v>4343.0522670153578</v>
      </c>
    </row>
    <row r="1807" spans="1:11" x14ac:dyDescent="0.25">
      <c r="A1807" s="26">
        <v>1757</v>
      </c>
      <c r="B1807" s="82">
        <f t="shared" si="222"/>
        <v>0</v>
      </c>
      <c r="C1807" s="58">
        <f t="shared" si="218"/>
        <v>104.50616427295054</v>
      </c>
      <c r="D1807" s="83">
        <f t="shared" si="223"/>
        <v>445.77777777777789</v>
      </c>
      <c r="E1807">
        <f t="shared" si="219"/>
        <v>0</v>
      </c>
      <c r="G1807">
        <v>1757</v>
      </c>
      <c r="H1807" s="13">
        <f t="shared" si="224"/>
        <v>1.8572577375266519E-2</v>
      </c>
      <c r="I1807">
        <f t="shared" si="225"/>
        <v>137.13818272129382</v>
      </c>
      <c r="J1807">
        <f t="shared" si="220"/>
        <v>483.57877838512468</v>
      </c>
      <c r="K1807" s="27">
        <f t="shared" si="221"/>
        <v>4343.2839819914416</v>
      </c>
    </row>
    <row r="1808" spans="1:11" x14ac:dyDescent="0.25">
      <c r="A1808" s="26">
        <v>1758</v>
      </c>
      <c r="B1808" s="82">
        <f t="shared" si="222"/>
        <v>0</v>
      </c>
      <c r="C1808" s="58">
        <f t="shared" ref="C1808:C1871" si="226">($C$37-$C$36)/2000+C1807</f>
        <v>104.50616427295054</v>
      </c>
      <c r="D1808" s="83">
        <f t="shared" si="223"/>
        <v>445.77777777777789</v>
      </c>
      <c r="E1808">
        <f t="shared" si="219"/>
        <v>0</v>
      </c>
      <c r="G1808">
        <v>1758</v>
      </c>
      <c r="H1808" s="13">
        <f t="shared" si="224"/>
        <v>1.8572577375266519E-2</v>
      </c>
      <c r="I1808">
        <f t="shared" si="225"/>
        <v>137.15675529866908</v>
      </c>
      <c r="J1808">
        <f t="shared" si="220"/>
        <v>483.5916751326663</v>
      </c>
      <c r="K1808" s="27">
        <f t="shared" si="221"/>
        <v>4343.5155916717749</v>
      </c>
    </row>
    <row r="1809" spans="1:11" x14ac:dyDescent="0.25">
      <c r="A1809" s="26">
        <v>1759</v>
      </c>
      <c r="B1809" s="82">
        <f t="shared" si="222"/>
        <v>0</v>
      </c>
      <c r="C1809" s="58">
        <f t="shared" si="226"/>
        <v>104.50616427295054</v>
      </c>
      <c r="D1809" s="83">
        <f t="shared" si="223"/>
        <v>445.77777777777789</v>
      </c>
      <c r="E1809">
        <f t="shared" si="219"/>
        <v>0</v>
      </c>
      <c r="G1809">
        <v>1759</v>
      </c>
      <c r="H1809" s="13">
        <f t="shared" si="224"/>
        <v>1.8572577375266519E-2</v>
      </c>
      <c r="I1809">
        <f t="shared" si="225"/>
        <v>137.17532787604435</v>
      </c>
      <c r="J1809">
        <f t="shared" si="220"/>
        <v>483.60456567585857</v>
      </c>
      <c r="K1809" s="27">
        <f t="shared" si="221"/>
        <v>4343.747096099768</v>
      </c>
    </row>
    <row r="1810" spans="1:11" x14ac:dyDescent="0.25">
      <c r="A1810" s="26">
        <v>1760</v>
      </c>
      <c r="B1810" s="82">
        <f t="shared" si="222"/>
        <v>0</v>
      </c>
      <c r="C1810" s="58">
        <f t="shared" si="226"/>
        <v>104.50616427295054</v>
      </c>
      <c r="D1810" s="83">
        <f t="shared" si="223"/>
        <v>445.77777777777789</v>
      </c>
      <c r="E1810">
        <f t="shared" si="219"/>
        <v>0</v>
      </c>
      <c r="G1810">
        <v>1760</v>
      </c>
      <c r="H1810" s="13">
        <f t="shared" si="224"/>
        <v>1.8572577375266519E-2</v>
      </c>
      <c r="I1810">
        <f t="shared" si="225"/>
        <v>137.19390045341962</v>
      </c>
      <c r="J1810">
        <f t="shared" si="220"/>
        <v>483.61745001761278</v>
      </c>
      <c r="K1810" s="27">
        <f t="shared" si="221"/>
        <v>4343.97849531878</v>
      </c>
    </row>
    <row r="1811" spans="1:11" x14ac:dyDescent="0.25">
      <c r="A1811" s="26">
        <v>1761</v>
      </c>
      <c r="B1811" s="82">
        <f t="shared" si="222"/>
        <v>0</v>
      </c>
      <c r="C1811" s="58">
        <f t="shared" si="226"/>
        <v>104.50616427295054</v>
      </c>
      <c r="D1811" s="83">
        <f t="shared" si="223"/>
        <v>445.77777777777789</v>
      </c>
      <c r="E1811">
        <f t="shared" si="219"/>
        <v>0</v>
      </c>
      <c r="G1811">
        <v>1761</v>
      </c>
      <c r="H1811" s="13">
        <f t="shared" si="224"/>
        <v>1.8572577375266519E-2</v>
      </c>
      <c r="I1811">
        <f t="shared" si="225"/>
        <v>137.21247303079488</v>
      </c>
      <c r="J1811">
        <f t="shared" si="220"/>
        <v>483.63032816083683</v>
      </c>
      <c r="K1811" s="27">
        <f t="shared" si="221"/>
        <v>4344.2097893721239</v>
      </c>
    </row>
    <row r="1812" spans="1:11" x14ac:dyDescent="0.25">
      <c r="A1812" s="26">
        <v>1762</v>
      </c>
      <c r="B1812" s="82">
        <f t="shared" si="222"/>
        <v>0</v>
      </c>
      <c r="C1812" s="58">
        <f t="shared" si="226"/>
        <v>104.50616427295054</v>
      </c>
      <c r="D1812" s="83">
        <f t="shared" si="223"/>
        <v>445.77777777777789</v>
      </c>
      <c r="E1812">
        <f t="shared" si="219"/>
        <v>0</v>
      </c>
      <c r="G1812">
        <v>1762</v>
      </c>
      <c r="H1812" s="13">
        <f t="shared" si="224"/>
        <v>1.8572577375266519E-2</v>
      </c>
      <c r="I1812">
        <f t="shared" si="225"/>
        <v>137.23104560817015</v>
      </c>
      <c r="J1812">
        <f t="shared" si="220"/>
        <v>483.64320010843551</v>
      </c>
      <c r="K1812" s="27">
        <f t="shared" si="221"/>
        <v>4344.4409783030642</v>
      </c>
    </row>
    <row r="1813" spans="1:11" x14ac:dyDescent="0.25">
      <c r="A1813" s="26">
        <v>1763</v>
      </c>
      <c r="B1813" s="82">
        <f t="shared" si="222"/>
        <v>0</v>
      </c>
      <c r="C1813" s="58">
        <f t="shared" si="226"/>
        <v>104.50616427295054</v>
      </c>
      <c r="D1813" s="83">
        <f t="shared" si="223"/>
        <v>445.77777777777789</v>
      </c>
      <c r="E1813">
        <f t="shared" si="219"/>
        <v>0</v>
      </c>
      <c r="G1813">
        <v>1763</v>
      </c>
      <c r="H1813" s="13">
        <f t="shared" si="224"/>
        <v>1.8572577375266519E-2</v>
      </c>
      <c r="I1813">
        <f t="shared" si="225"/>
        <v>137.24961818554542</v>
      </c>
      <c r="J1813">
        <f t="shared" si="220"/>
        <v>483.65606586331029</v>
      </c>
      <c r="K1813" s="27">
        <f t="shared" si="221"/>
        <v>4344.6720621548147</v>
      </c>
    </row>
    <row r="1814" spans="1:11" x14ac:dyDescent="0.25">
      <c r="A1814" s="26">
        <v>1764</v>
      </c>
      <c r="B1814" s="82">
        <f t="shared" si="222"/>
        <v>0</v>
      </c>
      <c r="C1814" s="58">
        <f t="shared" si="226"/>
        <v>104.50616427295054</v>
      </c>
      <c r="D1814" s="83">
        <f t="shared" si="223"/>
        <v>445.77777777777789</v>
      </c>
      <c r="E1814">
        <f t="shared" si="219"/>
        <v>0</v>
      </c>
      <c r="G1814">
        <v>1764</v>
      </c>
      <c r="H1814" s="13">
        <f t="shared" si="224"/>
        <v>1.8572577375266519E-2</v>
      </c>
      <c r="I1814">
        <f t="shared" si="225"/>
        <v>137.26819076292068</v>
      </c>
      <c r="J1814">
        <f t="shared" si="220"/>
        <v>483.66892542835956</v>
      </c>
      <c r="K1814" s="27">
        <f t="shared" si="221"/>
        <v>4344.9030409705492</v>
      </c>
    </row>
    <row r="1815" spans="1:11" x14ac:dyDescent="0.25">
      <c r="A1815" s="26">
        <v>1765</v>
      </c>
      <c r="B1815" s="82">
        <f t="shared" si="222"/>
        <v>0</v>
      </c>
      <c r="C1815" s="58">
        <f t="shared" si="226"/>
        <v>104.50616427295054</v>
      </c>
      <c r="D1815" s="83">
        <f t="shared" si="223"/>
        <v>445.77777777777789</v>
      </c>
      <c r="E1815">
        <f t="shared" si="219"/>
        <v>0</v>
      </c>
      <c r="G1815">
        <v>1765</v>
      </c>
      <c r="H1815" s="13">
        <f t="shared" si="224"/>
        <v>1.8572577375266519E-2</v>
      </c>
      <c r="I1815">
        <f t="shared" si="225"/>
        <v>137.28676334029595</v>
      </c>
      <c r="J1815">
        <f t="shared" si="220"/>
        <v>483.68177880647846</v>
      </c>
      <c r="K1815" s="27">
        <f t="shared" si="221"/>
        <v>4345.1339147933877</v>
      </c>
    </row>
    <row r="1816" spans="1:11" x14ac:dyDescent="0.25">
      <c r="A1816" s="26">
        <v>1766</v>
      </c>
      <c r="B1816" s="82">
        <f t="shared" si="222"/>
        <v>0</v>
      </c>
      <c r="C1816" s="58">
        <f t="shared" si="226"/>
        <v>104.50616427295054</v>
      </c>
      <c r="D1816" s="83">
        <f t="shared" si="223"/>
        <v>445.77777777777789</v>
      </c>
      <c r="E1816">
        <f t="shared" si="219"/>
        <v>0</v>
      </c>
      <c r="G1816">
        <v>1766</v>
      </c>
      <c r="H1816" s="13">
        <f t="shared" si="224"/>
        <v>1.8572577375266519E-2</v>
      </c>
      <c r="I1816">
        <f t="shared" si="225"/>
        <v>137.30533591767121</v>
      </c>
      <c r="J1816">
        <f t="shared" si="220"/>
        <v>483.69462600055886</v>
      </c>
      <c r="K1816" s="27">
        <f t="shared" si="221"/>
        <v>4345.364683666402</v>
      </c>
    </row>
    <row r="1817" spans="1:11" x14ac:dyDescent="0.25">
      <c r="A1817" s="26">
        <v>1767</v>
      </c>
      <c r="B1817" s="82">
        <f t="shared" si="222"/>
        <v>0</v>
      </c>
      <c r="C1817" s="58">
        <f t="shared" si="226"/>
        <v>104.50616427295054</v>
      </c>
      <c r="D1817" s="83">
        <f t="shared" si="223"/>
        <v>445.77777777777789</v>
      </c>
      <c r="E1817">
        <f t="shared" si="219"/>
        <v>0</v>
      </c>
      <c r="G1817">
        <v>1767</v>
      </c>
      <c r="H1817" s="13">
        <f t="shared" si="224"/>
        <v>1.8572577375266519E-2</v>
      </c>
      <c r="I1817">
        <f t="shared" si="225"/>
        <v>137.32390849504648</v>
      </c>
      <c r="J1817">
        <f t="shared" si="220"/>
        <v>483.70746701348958</v>
      </c>
      <c r="K1817" s="27">
        <f t="shared" si="221"/>
        <v>4345.5953476326185</v>
      </c>
    </row>
    <row r="1818" spans="1:11" x14ac:dyDescent="0.25">
      <c r="A1818" s="26">
        <v>1768</v>
      </c>
      <c r="B1818" s="82">
        <f t="shared" si="222"/>
        <v>0</v>
      </c>
      <c r="C1818" s="58">
        <f t="shared" si="226"/>
        <v>104.50616427295054</v>
      </c>
      <c r="D1818" s="83">
        <f t="shared" si="223"/>
        <v>445.77777777777789</v>
      </c>
      <c r="E1818">
        <f t="shared" si="219"/>
        <v>0</v>
      </c>
      <c r="G1818">
        <v>1768</v>
      </c>
      <c r="H1818" s="13">
        <f t="shared" si="224"/>
        <v>1.8572577375266519E-2</v>
      </c>
      <c r="I1818">
        <f t="shared" si="225"/>
        <v>137.34248107242175</v>
      </c>
      <c r="J1818">
        <f t="shared" si="220"/>
        <v>483.72030184815611</v>
      </c>
      <c r="K1818" s="27">
        <f t="shared" si="221"/>
        <v>4345.8259067350155</v>
      </c>
    </row>
    <row r="1819" spans="1:11" x14ac:dyDescent="0.25">
      <c r="A1819" s="26">
        <v>1769</v>
      </c>
      <c r="B1819" s="82">
        <f t="shared" si="222"/>
        <v>0</v>
      </c>
      <c r="C1819" s="58">
        <f t="shared" si="226"/>
        <v>104.50616427295054</v>
      </c>
      <c r="D1819" s="83">
        <f t="shared" si="223"/>
        <v>445.77777777777789</v>
      </c>
      <c r="E1819">
        <f t="shared" si="219"/>
        <v>0</v>
      </c>
      <c r="G1819">
        <v>1769</v>
      </c>
      <c r="H1819" s="13">
        <f t="shared" si="224"/>
        <v>1.8572577375266519E-2</v>
      </c>
      <c r="I1819">
        <f t="shared" si="225"/>
        <v>137.36105364979701</v>
      </c>
      <c r="J1819">
        <f t="shared" si="220"/>
        <v>483.73313050744082</v>
      </c>
      <c r="K1819" s="27">
        <f t="shared" si="221"/>
        <v>4346.0563610165254</v>
      </c>
    </row>
    <row r="1820" spans="1:11" x14ac:dyDescent="0.25">
      <c r="A1820" s="26">
        <v>1770</v>
      </c>
      <c r="B1820" s="82">
        <f t="shared" si="222"/>
        <v>0</v>
      </c>
      <c r="C1820" s="58">
        <f t="shared" si="226"/>
        <v>104.50616427295054</v>
      </c>
      <c r="D1820" s="83">
        <f t="shared" si="223"/>
        <v>445.77777777777789</v>
      </c>
      <c r="E1820">
        <f t="shared" si="219"/>
        <v>0</v>
      </c>
      <c r="G1820">
        <v>1770</v>
      </c>
      <c r="H1820" s="13">
        <f t="shared" si="224"/>
        <v>1.8572577375266519E-2</v>
      </c>
      <c r="I1820">
        <f t="shared" si="225"/>
        <v>137.37962622717228</v>
      </c>
      <c r="J1820">
        <f t="shared" si="220"/>
        <v>483.74595299422293</v>
      </c>
      <c r="K1820" s="27">
        <f t="shared" si="221"/>
        <v>4346.2867105200321</v>
      </c>
    </row>
    <row r="1821" spans="1:11" x14ac:dyDescent="0.25">
      <c r="A1821" s="26">
        <v>1771</v>
      </c>
      <c r="B1821" s="82">
        <f t="shared" si="222"/>
        <v>0</v>
      </c>
      <c r="C1821" s="58">
        <f t="shared" si="226"/>
        <v>104.50616427295054</v>
      </c>
      <c r="D1821" s="83">
        <f t="shared" si="223"/>
        <v>445.77777777777789</v>
      </c>
      <c r="E1821">
        <f t="shared" si="219"/>
        <v>0</v>
      </c>
      <c r="G1821">
        <v>1771</v>
      </c>
      <c r="H1821" s="13">
        <f t="shared" si="224"/>
        <v>1.8572577375266519E-2</v>
      </c>
      <c r="I1821">
        <f t="shared" si="225"/>
        <v>137.39819880454755</v>
      </c>
      <c r="J1821">
        <f t="shared" si="220"/>
        <v>483.75876931137844</v>
      </c>
      <c r="K1821" s="27">
        <f t="shared" si="221"/>
        <v>4346.5169552883726</v>
      </c>
    </row>
    <row r="1822" spans="1:11" x14ac:dyDescent="0.25">
      <c r="A1822" s="26">
        <v>1772</v>
      </c>
      <c r="B1822" s="82">
        <f t="shared" si="222"/>
        <v>0</v>
      </c>
      <c r="C1822" s="58">
        <f t="shared" si="226"/>
        <v>104.50616427295054</v>
      </c>
      <c r="D1822" s="83">
        <f t="shared" si="223"/>
        <v>445.77777777777789</v>
      </c>
      <c r="E1822">
        <f t="shared" si="219"/>
        <v>0</v>
      </c>
      <c r="G1822">
        <v>1772</v>
      </c>
      <c r="H1822" s="13">
        <f t="shared" si="224"/>
        <v>1.8572577375266519E-2</v>
      </c>
      <c r="I1822">
        <f t="shared" si="225"/>
        <v>137.41677138192281</v>
      </c>
      <c r="J1822">
        <f t="shared" si="220"/>
        <v>483.77157946178022</v>
      </c>
      <c r="K1822" s="27">
        <f t="shared" si="221"/>
        <v>4346.747095364336</v>
      </c>
    </row>
    <row r="1823" spans="1:11" x14ac:dyDescent="0.25">
      <c r="A1823" s="26">
        <v>1773</v>
      </c>
      <c r="B1823" s="82">
        <f t="shared" si="222"/>
        <v>0</v>
      </c>
      <c r="C1823" s="58">
        <f t="shared" si="226"/>
        <v>104.50616427295054</v>
      </c>
      <c r="D1823" s="83">
        <f t="shared" si="223"/>
        <v>445.77777777777789</v>
      </c>
      <c r="E1823">
        <f t="shared" si="219"/>
        <v>0</v>
      </c>
      <c r="G1823">
        <v>1773</v>
      </c>
      <c r="H1823" s="13">
        <f t="shared" si="224"/>
        <v>1.8572577375266519E-2</v>
      </c>
      <c r="I1823">
        <f t="shared" si="225"/>
        <v>137.43534395929808</v>
      </c>
      <c r="J1823">
        <f t="shared" si="220"/>
        <v>483.78438344829794</v>
      </c>
      <c r="K1823" s="27">
        <f t="shared" si="221"/>
        <v>4346.9771307906622</v>
      </c>
    </row>
    <row r="1824" spans="1:11" x14ac:dyDescent="0.25">
      <c r="A1824" s="26">
        <v>1774</v>
      </c>
      <c r="B1824" s="82">
        <f t="shared" si="222"/>
        <v>0</v>
      </c>
      <c r="C1824" s="58">
        <f t="shared" si="226"/>
        <v>104.50616427295054</v>
      </c>
      <c r="D1824" s="83">
        <f t="shared" si="223"/>
        <v>445.77777777777789</v>
      </c>
      <c r="E1824">
        <f t="shared" si="219"/>
        <v>0</v>
      </c>
      <c r="G1824">
        <v>1774</v>
      </c>
      <c r="H1824" s="13">
        <f t="shared" si="224"/>
        <v>1.8572577375266519E-2</v>
      </c>
      <c r="I1824">
        <f t="shared" si="225"/>
        <v>137.45391653667335</v>
      </c>
      <c r="J1824">
        <f t="shared" si="220"/>
        <v>483.79718127379812</v>
      </c>
      <c r="K1824" s="27">
        <f t="shared" si="221"/>
        <v>4347.2070616100491</v>
      </c>
    </row>
    <row r="1825" spans="1:11" x14ac:dyDescent="0.25">
      <c r="A1825" s="26">
        <v>1775</v>
      </c>
      <c r="B1825" s="82">
        <f t="shared" si="222"/>
        <v>0</v>
      </c>
      <c r="C1825" s="58">
        <f t="shared" si="226"/>
        <v>104.50616427295054</v>
      </c>
      <c r="D1825" s="83">
        <f t="shared" si="223"/>
        <v>445.77777777777789</v>
      </c>
      <c r="E1825">
        <f t="shared" si="219"/>
        <v>0</v>
      </c>
      <c r="G1825">
        <v>1775</v>
      </c>
      <c r="H1825" s="13">
        <f t="shared" si="224"/>
        <v>1.8572577375266519E-2</v>
      </c>
      <c r="I1825">
        <f t="shared" si="225"/>
        <v>137.47248911404861</v>
      </c>
      <c r="J1825">
        <f t="shared" si="220"/>
        <v>483.80997294114411</v>
      </c>
      <c r="K1825" s="27">
        <f t="shared" si="221"/>
        <v>4347.4368878651449</v>
      </c>
    </row>
    <row r="1826" spans="1:11" x14ac:dyDescent="0.25">
      <c r="A1826" s="26">
        <v>1776</v>
      </c>
      <c r="B1826" s="82">
        <f t="shared" si="222"/>
        <v>0</v>
      </c>
      <c r="C1826" s="58">
        <f t="shared" si="226"/>
        <v>104.50616427295054</v>
      </c>
      <c r="D1826" s="83">
        <f t="shared" si="223"/>
        <v>445.77777777777789</v>
      </c>
      <c r="E1826">
        <f t="shared" si="219"/>
        <v>0</v>
      </c>
      <c r="G1826">
        <v>1776</v>
      </c>
      <c r="H1826" s="13">
        <f t="shared" si="224"/>
        <v>1.8572577375266519E-2</v>
      </c>
      <c r="I1826">
        <f t="shared" si="225"/>
        <v>137.49106169142388</v>
      </c>
      <c r="J1826">
        <f t="shared" si="220"/>
        <v>483.82275845319623</v>
      </c>
      <c r="K1826" s="27">
        <f t="shared" si="221"/>
        <v>4347.6666095985502</v>
      </c>
    </row>
    <row r="1827" spans="1:11" x14ac:dyDescent="0.25">
      <c r="A1827" s="26">
        <v>1777</v>
      </c>
      <c r="B1827" s="82">
        <f t="shared" si="222"/>
        <v>0</v>
      </c>
      <c r="C1827" s="58">
        <f t="shared" si="226"/>
        <v>104.50616427295054</v>
      </c>
      <c r="D1827" s="83">
        <f t="shared" si="223"/>
        <v>445.77777777777789</v>
      </c>
      <c r="E1827">
        <f t="shared" si="219"/>
        <v>0</v>
      </c>
      <c r="G1827">
        <v>1777</v>
      </c>
      <c r="H1827" s="13">
        <f t="shared" si="224"/>
        <v>1.8572577375266519E-2</v>
      </c>
      <c r="I1827">
        <f t="shared" si="225"/>
        <v>137.50963426879915</v>
      </c>
      <c r="J1827">
        <f t="shared" si="220"/>
        <v>483.83553781281142</v>
      </c>
      <c r="K1827" s="27">
        <f t="shared" si="221"/>
        <v>4347.8962268528203</v>
      </c>
    </row>
    <row r="1828" spans="1:11" x14ac:dyDescent="0.25">
      <c r="A1828" s="26">
        <v>1778</v>
      </c>
      <c r="B1828" s="82">
        <f t="shared" si="222"/>
        <v>0</v>
      </c>
      <c r="C1828" s="58">
        <f t="shared" si="226"/>
        <v>104.50616427295054</v>
      </c>
      <c r="D1828" s="83">
        <f t="shared" si="223"/>
        <v>445.77777777777789</v>
      </c>
      <c r="E1828">
        <f t="shared" si="219"/>
        <v>0</v>
      </c>
      <c r="G1828">
        <v>1778</v>
      </c>
      <c r="H1828" s="13">
        <f t="shared" si="224"/>
        <v>1.8572577375266519E-2</v>
      </c>
      <c r="I1828">
        <f t="shared" si="225"/>
        <v>137.52820684617441</v>
      </c>
      <c r="J1828">
        <f t="shared" si="220"/>
        <v>483.84831102284363</v>
      </c>
      <c r="K1828" s="27">
        <f t="shared" si="221"/>
        <v>4348.1257396704614</v>
      </c>
    </row>
    <row r="1829" spans="1:11" x14ac:dyDescent="0.25">
      <c r="A1829" s="26">
        <v>1779</v>
      </c>
      <c r="B1829" s="82">
        <f t="shared" si="222"/>
        <v>0</v>
      </c>
      <c r="C1829" s="58">
        <f t="shared" si="226"/>
        <v>104.50616427295054</v>
      </c>
      <c r="D1829" s="83">
        <f t="shared" si="223"/>
        <v>445.77777777777789</v>
      </c>
      <c r="E1829">
        <f t="shared" si="219"/>
        <v>0</v>
      </c>
      <c r="G1829">
        <v>1779</v>
      </c>
      <c r="H1829" s="13">
        <f t="shared" si="224"/>
        <v>1.8572577375266519E-2</v>
      </c>
      <c r="I1829">
        <f t="shared" si="225"/>
        <v>137.54677942354968</v>
      </c>
      <c r="J1829">
        <f t="shared" si="220"/>
        <v>483.86107808614378</v>
      </c>
      <c r="K1829" s="27">
        <f t="shared" si="221"/>
        <v>4348.3551480939359</v>
      </c>
    </row>
    <row r="1830" spans="1:11" x14ac:dyDescent="0.25">
      <c r="A1830" s="26">
        <v>1780</v>
      </c>
      <c r="B1830" s="82">
        <f t="shared" si="222"/>
        <v>0</v>
      </c>
      <c r="C1830" s="58">
        <f t="shared" si="226"/>
        <v>104.50616427295054</v>
      </c>
      <c r="D1830" s="83">
        <f t="shared" si="223"/>
        <v>445.77777777777789</v>
      </c>
      <c r="E1830">
        <f t="shared" si="219"/>
        <v>0</v>
      </c>
      <c r="G1830">
        <v>1780</v>
      </c>
      <c r="H1830" s="13">
        <f t="shared" si="224"/>
        <v>1.8572577375266519E-2</v>
      </c>
      <c r="I1830">
        <f t="shared" si="225"/>
        <v>137.56535200092495</v>
      </c>
      <c r="J1830">
        <f t="shared" si="220"/>
        <v>483.87383900555938</v>
      </c>
      <c r="K1830" s="27">
        <f t="shared" si="221"/>
        <v>4348.5844521656572</v>
      </c>
    </row>
    <row r="1831" spans="1:11" x14ac:dyDescent="0.25">
      <c r="A1831" s="26">
        <v>1781</v>
      </c>
      <c r="B1831" s="82">
        <f t="shared" si="222"/>
        <v>0</v>
      </c>
      <c r="C1831" s="58">
        <f t="shared" si="226"/>
        <v>104.50616427295054</v>
      </c>
      <c r="D1831" s="83">
        <f t="shared" si="223"/>
        <v>445.77777777777789</v>
      </c>
      <c r="E1831">
        <f t="shared" si="219"/>
        <v>0</v>
      </c>
      <c r="G1831">
        <v>1781</v>
      </c>
      <c r="H1831" s="13">
        <f t="shared" si="224"/>
        <v>1.8572577375266519E-2</v>
      </c>
      <c r="I1831">
        <f t="shared" si="225"/>
        <v>137.58392457830021</v>
      </c>
      <c r="J1831">
        <f t="shared" si="220"/>
        <v>483.88659378393504</v>
      </c>
      <c r="K1831" s="27">
        <f t="shared" si="221"/>
        <v>4348.8136519279951</v>
      </c>
    </row>
    <row r="1832" spans="1:11" x14ac:dyDescent="0.25">
      <c r="A1832" s="26">
        <v>1782</v>
      </c>
      <c r="B1832" s="82">
        <f t="shared" si="222"/>
        <v>0</v>
      </c>
      <c r="C1832" s="58">
        <f t="shared" si="226"/>
        <v>104.50616427295054</v>
      </c>
      <c r="D1832" s="83">
        <f t="shared" si="223"/>
        <v>445.77777777777789</v>
      </c>
      <c r="E1832">
        <f t="shared" si="219"/>
        <v>0</v>
      </c>
      <c r="G1832">
        <v>1782</v>
      </c>
      <c r="H1832" s="13">
        <f t="shared" si="224"/>
        <v>1.8572577375266519E-2</v>
      </c>
      <c r="I1832">
        <f t="shared" si="225"/>
        <v>137.60249715567548</v>
      </c>
      <c r="J1832">
        <f t="shared" si="220"/>
        <v>483.89934242411221</v>
      </c>
      <c r="K1832" s="27">
        <f t="shared" si="221"/>
        <v>4349.0427474232692</v>
      </c>
    </row>
    <row r="1833" spans="1:11" x14ac:dyDescent="0.25">
      <c r="A1833" s="26">
        <v>1783</v>
      </c>
      <c r="B1833" s="82">
        <f t="shared" si="222"/>
        <v>0</v>
      </c>
      <c r="C1833" s="58">
        <f t="shared" si="226"/>
        <v>104.50616427295054</v>
      </c>
      <c r="D1833" s="83">
        <f t="shared" si="223"/>
        <v>445.77777777777789</v>
      </c>
      <c r="E1833">
        <f t="shared" si="219"/>
        <v>0</v>
      </c>
      <c r="G1833">
        <v>1783</v>
      </c>
      <c r="H1833" s="13">
        <f t="shared" si="224"/>
        <v>1.8572577375266519E-2</v>
      </c>
      <c r="I1833">
        <f t="shared" si="225"/>
        <v>137.62106973305075</v>
      </c>
      <c r="J1833">
        <f t="shared" si="220"/>
        <v>483.91208492892906</v>
      </c>
      <c r="K1833" s="27">
        <f t="shared" si="221"/>
        <v>4349.2717386937538</v>
      </c>
    </row>
    <row r="1834" spans="1:11" x14ac:dyDescent="0.25">
      <c r="A1834" s="26">
        <v>1784</v>
      </c>
      <c r="B1834" s="82">
        <f t="shared" si="222"/>
        <v>0</v>
      </c>
      <c r="C1834" s="58">
        <f t="shared" si="226"/>
        <v>104.50616427295054</v>
      </c>
      <c r="D1834" s="83">
        <f t="shared" si="223"/>
        <v>445.77777777777789</v>
      </c>
      <c r="E1834">
        <f t="shared" si="219"/>
        <v>0</v>
      </c>
      <c r="G1834">
        <v>1784</v>
      </c>
      <c r="H1834" s="13">
        <f t="shared" si="224"/>
        <v>1.8572577375266519E-2</v>
      </c>
      <c r="I1834">
        <f t="shared" si="225"/>
        <v>137.63964231042601</v>
      </c>
      <c r="J1834">
        <f t="shared" si="220"/>
        <v>483.9248213012209</v>
      </c>
      <c r="K1834" s="27">
        <f t="shared" si="221"/>
        <v>4349.5006257816776</v>
      </c>
    </row>
    <row r="1835" spans="1:11" x14ac:dyDescent="0.25">
      <c r="A1835" s="26">
        <v>1785</v>
      </c>
      <c r="B1835" s="82">
        <f t="shared" si="222"/>
        <v>0</v>
      </c>
      <c r="C1835" s="58">
        <f t="shared" si="226"/>
        <v>104.50616427295054</v>
      </c>
      <c r="D1835" s="83">
        <f t="shared" si="223"/>
        <v>445.77777777777789</v>
      </c>
      <c r="E1835">
        <f t="shared" si="219"/>
        <v>0</v>
      </c>
      <c r="G1835">
        <v>1785</v>
      </c>
      <c r="H1835" s="13">
        <f t="shared" si="224"/>
        <v>1.8572577375266519E-2</v>
      </c>
      <c r="I1835">
        <f t="shared" si="225"/>
        <v>137.65821488780128</v>
      </c>
      <c r="J1835">
        <f t="shared" si="220"/>
        <v>483.93755154381972</v>
      </c>
      <c r="K1835" s="27">
        <f t="shared" si="221"/>
        <v>4349.7294087292239</v>
      </c>
    </row>
    <row r="1836" spans="1:11" x14ac:dyDescent="0.25">
      <c r="A1836" s="26">
        <v>1786</v>
      </c>
      <c r="B1836" s="82">
        <f t="shared" si="222"/>
        <v>0</v>
      </c>
      <c r="C1836" s="58">
        <f t="shared" si="226"/>
        <v>104.50616427295054</v>
      </c>
      <c r="D1836" s="83">
        <f t="shared" si="223"/>
        <v>445.77777777777789</v>
      </c>
      <c r="E1836">
        <f t="shared" si="219"/>
        <v>0</v>
      </c>
      <c r="G1836">
        <v>1786</v>
      </c>
      <c r="H1836" s="13">
        <f t="shared" si="224"/>
        <v>1.8572577375266519E-2</v>
      </c>
      <c r="I1836">
        <f t="shared" si="225"/>
        <v>137.67678746517655</v>
      </c>
      <c r="J1836">
        <f t="shared" si="220"/>
        <v>483.95027565955445</v>
      </c>
      <c r="K1836" s="27">
        <f t="shared" si="221"/>
        <v>4349.9580875785268</v>
      </c>
    </row>
    <row r="1837" spans="1:11" x14ac:dyDescent="0.25">
      <c r="A1837" s="26">
        <v>1787</v>
      </c>
      <c r="B1837" s="82">
        <f t="shared" si="222"/>
        <v>0</v>
      </c>
      <c r="C1837" s="58">
        <f t="shared" si="226"/>
        <v>104.50616427295054</v>
      </c>
      <c r="D1837" s="83">
        <f t="shared" si="223"/>
        <v>445.77777777777789</v>
      </c>
      <c r="E1837">
        <f t="shared" si="219"/>
        <v>0</v>
      </c>
      <c r="G1837">
        <v>1787</v>
      </c>
      <c r="H1837" s="13">
        <f t="shared" si="224"/>
        <v>1.8572577375266519E-2</v>
      </c>
      <c r="I1837">
        <f t="shared" si="225"/>
        <v>137.69536004255181</v>
      </c>
      <c r="J1837">
        <f t="shared" si="220"/>
        <v>483.96299365125105</v>
      </c>
      <c r="K1837" s="27">
        <f t="shared" si="221"/>
        <v>4350.1866623716787</v>
      </c>
    </row>
    <row r="1838" spans="1:11" x14ac:dyDescent="0.25">
      <c r="A1838" s="26">
        <v>1788</v>
      </c>
      <c r="B1838" s="82">
        <f t="shared" si="222"/>
        <v>0</v>
      </c>
      <c r="C1838" s="58">
        <f t="shared" si="226"/>
        <v>104.50616427295054</v>
      </c>
      <c r="D1838" s="83">
        <f t="shared" si="223"/>
        <v>445.77777777777789</v>
      </c>
      <c r="E1838">
        <f t="shared" si="219"/>
        <v>0</v>
      </c>
      <c r="G1838">
        <v>1788</v>
      </c>
      <c r="H1838" s="13">
        <f t="shared" si="224"/>
        <v>1.8572577375266519E-2</v>
      </c>
      <c r="I1838">
        <f t="shared" si="225"/>
        <v>137.71393261992708</v>
      </c>
      <c r="J1838">
        <f t="shared" si="220"/>
        <v>483.97570552173227</v>
      </c>
      <c r="K1838" s="27">
        <f t="shared" si="221"/>
        <v>4350.415133150721</v>
      </c>
    </row>
    <row r="1839" spans="1:11" x14ac:dyDescent="0.25">
      <c r="A1839" s="26">
        <v>1789</v>
      </c>
      <c r="B1839" s="82">
        <f t="shared" si="222"/>
        <v>0</v>
      </c>
      <c r="C1839" s="58">
        <f t="shared" si="226"/>
        <v>104.50616427295054</v>
      </c>
      <c r="D1839" s="83">
        <f t="shared" si="223"/>
        <v>445.77777777777789</v>
      </c>
      <c r="E1839">
        <f t="shared" si="219"/>
        <v>0</v>
      </c>
      <c r="G1839">
        <v>1789</v>
      </c>
      <c r="H1839" s="13">
        <f t="shared" si="224"/>
        <v>1.8572577375266519E-2</v>
      </c>
      <c r="I1839">
        <f t="shared" si="225"/>
        <v>137.73250519730234</v>
      </c>
      <c r="J1839">
        <f t="shared" si="220"/>
        <v>483.98841127381769</v>
      </c>
      <c r="K1839" s="27">
        <f t="shared" si="221"/>
        <v>4350.6434999576522</v>
      </c>
    </row>
    <row r="1840" spans="1:11" x14ac:dyDescent="0.25">
      <c r="A1840" s="26">
        <v>1790</v>
      </c>
      <c r="B1840" s="82">
        <f t="shared" si="222"/>
        <v>0</v>
      </c>
      <c r="C1840" s="58">
        <f t="shared" si="226"/>
        <v>104.50616427295054</v>
      </c>
      <c r="D1840" s="83">
        <f t="shared" si="223"/>
        <v>445.77777777777789</v>
      </c>
      <c r="E1840">
        <f t="shared" si="219"/>
        <v>0</v>
      </c>
      <c r="G1840">
        <v>1790</v>
      </c>
      <c r="H1840" s="13">
        <f t="shared" si="224"/>
        <v>1.8572577375266519E-2</v>
      </c>
      <c r="I1840">
        <f t="shared" si="225"/>
        <v>137.75107777467761</v>
      </c>
      <c r="J1840">
        <f t="shared" si="220"/>
        <v>484.00111091032397</v>
      </c>
      <c r="K1840" s="27">
        <f t="shared" si="221"/>
        <v>4350.871762834423</v>
      </c>
    </row>
    <row r="1841" spans="1:11" x14ac:dyDescent="0.25">
      <c r="A1841" s="26">
        <v>1791</v>
      </c>
      <c r="B1841" s="82">
        <f t="shared" si="222"/>
        <v>0</v>
      </c>
      <c r="C1841" s="58">
        <f t="shared" si="226"/>
        <v>104.50616427295054</v>
      </c>
      <c r="D1841" s="83">
        <f t="shared" si="223"/>
        <v>445.77777777777789</v>
      </c>
      <c r="E1841">
        <f t="shared" si="219"/>
        <v>0</v>
      </c>
      <c r="G1841">
        <v>1791</v>
      </c>
      <c r="H1841" s="13">
        <f t="shared" si="224"/>
        <v>1.8572577375266519E-2</v>
      </c>
      <c r="I1841">
        <f t="shared" si="225"/>
        <v>137.76965035205288</v>
      </c>
      <c r="J1841">
        <f t="shared" si="220"/>
        <v>484.01380443406464</v>
      </c>
      <c r="K1841" s="27">
        <f t="shared" si="221"/>
        <v>4351.0999218229408</v>
      </c>
    </row>
    <row r="1842" spans="1:11" x14ac:dyDescent="0.25">
      <c r="A1842" s="26">
        <v>1792</v>
      </c>
      <c r="B1842" s="82">
        <f t="shared" si="222"/>
        <v>0</v>
      </c>
      <c r="C1842" s="58">
        <f t="shared" si="226"/>
        <v>104.50616427295054</v>
      </c>
      <c r="D1842" s="83">
        <f t="shared" si="223"/>
        <v>445.77777777777789</v>
      </c>
      <c r="E1842">
        <f t="shared" si="219"/>
        <v>0</v>
      </c>
      <c r="G1842">
        <v>1792</v>
      </c>
      <c r="H1842" s="13">
        <f t="shared" si="224"/>
        <v>1.8572577375266519E-2</v>
      </c>
      <c r="I1842">
        <f t="shared" si="225"/>
        <v>137.78822292942814</v>
      </c>
      <c r="J1842">
        <f t="shared" si="220"/>
        <v>484.02649184785002</v>
      </c>
      <c r="K1842" s="27">
        <f t="shared" si="221"/>
        <v>4351.3279769650626</v>
      </c>
    </row>
    <row r="1843" spans="1:11" x14ac:dyDescent="0.25">
      <c r="A1843" s="26">
        <v>1793</v>
      </c>
      <c r="B1843" s="82">
        <f t="shared" si="222"/>
        <v>0</v>
      </c>
      <c r="C1843" s="58">
        <f t="shared" si="226"/>
        <v>104.50616427295054</v>
      </c>
      <c r="D1843" s="83">
        <f t="shared" si="223"/>
        <v>445.77777777777789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1.8572577375266519E-2</v>
      </c>
      <c r="I1843">
        <f t="shared" si="225"/>
        <v>137.80679550680341</v>
      </c>
      <c r="J1843">
        <f t="shared" ref="J1843:J1906" si="228">IF($G$28&lt;$C$14,0,((($C$11^2)-((I1843-$C$13)^2))^0.5)+$C$16)</f>
        <v>484.03917315448757</v>
      </c>
      <c r="K1843" s="27">
        <f t="shared" ref="K1843:K1906" si="229">((J1843^2)+(J1843*J1844)+(J1844^2))*H1844/3</f>
        <v>4351.555928302605</v>
      </c>
    </row>
    <row r="1844" spans="1:11" x14ac:dyDescent="0.25">
      <c r="A1844" s="26">
        <v>1794</v>
      </c>
      <c r="B1844" s="82">
        <f t="shared" ref="B1844:B1907" si="230">C1844-C1843</f>
        <v>0</v>
      </c>
      <c r="C1844" s="58">
        <f t="shared" si="226"/>
        <v>104.50616427295054</v>
      </c>
      <c r="D1844" s="83">
        <f t="shared" ref="D1844:D1907" si="231">IF($G$28&lt;$C$14,0,((($C$11^2)-((C1844-$C$13)^2))^0.5)+$C$16)</f>
        <v>445.77777777777789</v>
      </c>
      <c r="E1844">
        <f t="shared" si="227"/>
        <v>0</v>
      </c>
      <c r="G1844">
        <v>1794</v>
      </c>
      <c r="H1844" s="13">
        <f t="shared" ref="H1844:H1907" si="232">I1844-I1843</f>
        <v>1.8572577375266519E-2</v>
      </c>
      <c r="I1844">
        <f t="shared" ref="I1844:I1907" si="233">($G$27-$C$14)/2000+I1843</f>
        <v>137.82536808417868</v>
      </c>
      <c r="J1844">
        <f t="shared" si="228"/>
        <v>484.05184835678153</v>
      </c>
      <c r="K1844" s="27">
        <f t="shared" si="229"/>
        <v>4351.7837758773358</v>
      </c>
    </row>
    <row r="1845" spans="1:11" x14ac:dyDescent="0.25">
      <c r="A1845" s="26">
        <v>1795</v>
      </c>
      <c r="B1845" s="82">
        <f t="shared" si="230"/>
        <v>0</v>
      </c>
      <c r="C1845" s="58">
        <f t="shared" si="226"/>
        <v>104.50616427295054</v>
      </c>
      <c r="D1845" s="83">
        <f t="shared" si="231"/>
        <v>445.77777777777789</v>
      </c>
      <c r="E1845">
        <f t="shared" si="227"/>
        <v>0</v>
      </c>
      <c r="G1845">
        <v>1795</v>
      </c>
      <c r="H1845" s="13">
        <f t="shared" si="232"/>
        <v>1.8572577375266519E-2</v>
      </c>
      <c r="I1845">
        <f t="shared" si="233"/>
        <v>137.84394066155394</v>
      </c>
      <c r="J1845">
        <f t="shared" si="228"/>
        <v>484.0645174575331</v>
      </c>
      <c r="K1845" s="27">
        <f t="shared" si="229"/>
        <v>4352.0115197309769</v>
      </c>
    </row>
    <row r="1846" spans="1:11" x14ac:dyDescent="0.25">
      <c r="A1846" s="26">
        <v>1796</v>
      </c>
      <c r="B1846" s="82">
        <f t="shared" si="230"/>
        <v>0</v>
      </c>
      <c r="C1846" s="58">
        <f t="shared" si="226"/>
        <v>104.50616427295054</v>
      </c>
      <c r="D1846" s="83">
        <f t="shared" si="231"/>
        <v>445.77777777777789</v>
      </c>
      <c r="E1846">
        <f t="shared" si="227"/>
        <v>0</v>
      </c>
      <c r="G1846">
        <v>1796</v>
      </c>
      <c r="H1846" s="13">
        <f t="shared" si="232"/>
        <v>1.8572577375266519E-2</v>
      </c>
      <c r="I1846">
        <f t="shared" si="233"/>
        <v>137.86251323892921</v>
      </c>
      <c r="J1846">
        <f t="shared" si="228"/>
        <v>484.07718045954044</v>
      </c>
      <c r="K1846" s="27">
        <f t="shared" si="229"/>
        <v>4352.2391599052062</v>
      </c>
    </row>
    <row r="1847" spans="1:11" x14ac:dyDescent="0.25">
      <c r="A1847" s="26">
        <v>1797</v>
      </c>
      <c r="B1847" s="82">
        <f t="shared" si="230"/>
        <v>0</v>
      </c>
      <c r="C1847" s="58">
        <f t="shared" si="226"/>
        <v>104.50616427295054</v>
      </c>
      <c r="D1847" s="83">
        <f t="shared" si="231"/>
        <v>445.77777777777789</v>
      </c>
      <c r="E1847">
        <f t="shared" si="227"/>
        <v>0</v>
      </c>
      <c r="G1847">
        <v>1797</v>
      </c>
      <c r="H1847" s="13">
        <f t="shared" si="232"/>
        <v>1.8572577375266519E-2</v>
      </c>
      <c r="I1847">
        <f t="shared" si="233"/>
        <v>137.88108581630448</v>
      </c>
      <c r="J1847">
        <f t="shared" si="228"/>
        <v>484.08983736559867</v>
      </c>
      <c r="K1847" s="27">
        <f t="shared" si="229"/>
        <v>4352.4666964416547</v>
      </c>
    </row>
    <row r="1848" spans="1:11" x14ac:dyDescent="0.25">
      <c r="A1848" s="26">
        <v>1798</v>
      </c>
      <c r="B1848" s="82">
        <f t="shared" si="230"/>
        <v>0</v>
      </c>
      <c r="C1848" s="58">
        <f t="shared" si="226"/>
        <v>104.50616427295054</v>
      </c>
      <c r="D1848" s="83">
        <f t="shared" si="231"/>
        <v>445.77777777777789</v>
      </c>
      <c r="E1848">
        <f t="shared" si="227"/>
        <v>0</v>
      </c>
      <c r="G1848">
        <v>1798</v>
      </c>
      <c r="H1848" s="13">
        <f t="shared" si="232"/>
        <v>1.8572577375266519E-2</v>
      </c>
      <c r="I1848">
        <f t="shared" si="233"/>
        <v>137.89965839367974</v>
      </c>
      <c r="J1848">
        <f t="shared" si="228"/>
        <v>484.10248817849981</v>
      </c>
      <c r="K1848" s="27">
        <f t="shared" si="229"/>
        <v>4352.6941293819082</v>
      </c>
    </row>
    <row r="1849" spans="1:11" x14ac:dyDescent="0.25">
      <c r="A1849" s="26">
        <v>1799</v>
      </c>
      <c r="B1849" s="82">
        <f t="shared" si="230"/>
        <v>0</v>
      </c>
      <c r="C1849" s="58">
        <f t="shared" si="226"/>
        <v>104.50616427295054</v>
      </c>
      <c r="D1849" s="83">
        <f t="shared" si="231"/>
        <v>445.77777777777789</v>
      </c>
      <c r="E1849">
        <f t="shared" si="227"/>
        <v>0</v>
      </c>
      <c r="G1849">
        <v>1799</v>
      </c>
      <c r="H1849" s="13">
        <f t="shared" si="232"/>
        <v>1.8572577375266519E-2</v>
      </c>
      <c r="I1849">
        <f t="shared" si="233"/>
        <v>137.91823097105501</v>
      </c>
      <c r="J1849">
        <f t="shared" si="228"/>
        <v>484.11513290103284</v>
      </c>
      <c r="K1849" s="27">
        <f t="shared" si="229"/>
        <v>4352.9214587675096</v>
      </c>
    </row>
    <row r="1850" spans="1:11" x14ac:dyDescent="0.25">
      <c r="A1850" s="26">
        <v>1800</v>
      </c>
      <c r="B1850" s="82">
        <f t="shared" si="230"/>
        <v>0</v>
      </c>
      <c r="C1850" s="58">
        <f t="shared" si="226"/>
        <v>104.50616427295054</v>
      </c>
      <c r="D1850" s="83">
        <f t="shared" si="231"/>
        <v>445.77777777777789</v>
      </c>
      <c r="E1850">
        <f t="shared" si="227"/>
        <v>0</v>
      </c>
      <c r="G1850">
        <v>1800</v>
      </c>
      <c r="H1850" s="13">
        <f t="shared" si="232"/>
        <v>1.8572577375266519E-2</v>
      </c>
      <c r="I1850">
        <f t="shared" si="233"/>
        <v>137.93680354843028</v>
      </c>
      <c r="J1850">
        <f t="shared" si="228"/>
        <v>484.12777153598381</v>
      </c>
      <c r="K1850" s="27">
        <f t="shared" si="229"/>
        <v>4353.1486846399521</v>
      </c>
    </row>
    <row r="1851" spans="1:11" x14ac:dyDescent="0.25">
      <c r="A1851" s="26">
        <v>1801</v>
      </c>
      <c r="B1851" s="82">
        <f t="shared" si="230"/>
        <v>0</v>
      </c>
      <c r="C1851" s="58">
        <f t="shared" si="226"/>
        <v>104.50616427295054</v>
      </c>
      <c r="D1851" s="83">
        <f t="shared" si="231"/>
        <v>445.77777777777789</v>
      </c>
      <c r="E1851">
        <f t="shared" si="227"/>
        <v>0</v>
      </c>
      <c r="G1851">
        <v>1801</v>
      </c>
      <c r="H1851" s="13">
        <f t="shared" si="232"/>
        <v>1.8572577375266519E-2</v>
      </c>
      <c r="I1851">
        <f t="shared" si="233"/>
        <v>137.95537612580554</v>
      </c>
      <c r="J1851">
        <f t="shared" si="228"/>
        <v>484.1404040861355</v>
      </c>
      <c r="K1851" s="27">
        <f t="shared" si="229"/>
        <v>4353.3758070406857</v>
      </c>
    </row>
    <row r="1852" spans="1:11" x14ac:dyDescent="0.25">
      <c r="A1852" s="26">
        <v>1802</v>
      </c>
      <c r="B1852" s="82">
        <f t="shared" si="230"/>
        <v>0</v>
      </c>
      <c r="C1852" s="58">
        <f t="shared" si="226"/>
        <v>104.50616427295054</v>
      </c>
      <c r="D1852" s="83">
        <f t="shared" si="231"/>
        <v>445.77777777777789</v>
      </c>
      <c r="E1852">
        <f t="shared" si="227"/>
        <v>0</v>
      </c>
      <c r="G1852">
        <v>1802</v>
      </c>
      <c r="H1852" s="13">
        <f t="shared" si="232"/>
        <v>1.8572577375266519E-2</v>
      </c>
      <c r="I1852">
        <f t="shared" si="233"/>
        <v>137.97394870318081</v>
      </c>
      <c r="J1852">
        <f t="shared" si="228"/>
        <v>484.1530305542679</v>
      </c>
      <c r="K1852" s="27">
        <f t="shared" si="229"/>
        <v>4353.602826011117</v>
      </c>
    </row>
    <row r="1853" spans="1:11" x14ac:dyDescent="0.25">
      <c r="A1853" s="26">
        <v>1803</v>
      </c>
      <c r="B1853" s="82">
        <f t="shared" si="230"/>
        <v>0</v>
      </c>
      <c r="C1853" s="58">
        <f t="shared" si="226"/>
        <v>104.50616427295054</v>
      </c>
      <c r="D1853" s="83">
        <f t="shared" si="231"/>
        <v>445.77777777777789</v>
      </c>
      <c r="E1853">
        <f t="shared" si="227"/>
        <v>0</v>
      </c>
      <c r="G1853">
        <v>1803</v>
      </c>
      <c r="H1853" s="13">
        <f t="shared" si="232"/>
        <v>1.8572577375266519E-2</v>
      </c>
      <c r="I1853">
        <f t="shared" si="233"/>
        <v>137.99252128055608</v>
      </c>
      <c r="J1853">
        <f t="shared" si="228"/>
        <v>484.1656509431578</v>
      </c>
      <c r="K1853" s="27">
        <f t="shared" si="229"/>
        <v>4353.8297415926045</v>
      </c>
    </row>
    <row r="1854" spans="1:11" x14ac:dyDescent="0.25">
      <c r="A1854" s="26">
        <v>1804</v>
      </c>
      <c r="B1854" s="82">
        <f t="shared" si="230"/>
        <v>0</v>
      </c>
      <c r="C1854" s="58">
        <f t="shared" si="226"/>
        <v>104.50616427295054</v>
      </c>
      <c r="D1854" s="83">
        <f t="shared" si="231"/>
        <v>445.77777777777789</v>
      </c>
      <c r="E1854">
        <f t="shared" si="227"/>
        <v>0</v>
      </c>
      <c r="G1854">
        <v>1804</v>
      </c>
      <c r="H1854" s="13">
        <f t="shared" si="232"/>
        <v>1.8572577375266519E-2</v>
      </c>
      <c r="I1854">
        <f t="shared" si="233"/>
        <v>138.01109385793134</v>
      </c>
      <c r="J1854">
        <f t="shared" si="228"/>
        <v>484.17826525557905</v>
      </c>
      <c r="K1854" s="27">
        <f t="shared" si="229"/>
        <v>4354.0565538264646</v>
      </c>
    </row>
    <row r="1855" spans="1:11" x14ac:dyDescent="0.25">
      <c r="A1855" s="26">
        <v>1805</v>
      </c>
      <c r="B1855" s="82">
        <f t="shared" si="230"/>
        <v>0</v>
      </c>
      <c r="C1855" s="58">
        <f t="shared" si="226"/>
        <v>104.50616427295054</v>
      </c>
      <c r="D1855" s="83">
        <f t="shared" si="231"/>
        <v>445.77777777777789</v>
      </c>
      <c r="E1855">
        <f t="shared" si="227"/>
        <v>0</v>
      </c>
      <c r="G1855">
        <v>1805</v>
      </c>
      <c r="H1855" s="13">
        <f t="shared" si="232"/>
        <v>1.8572577375266519E-2</v>
      </c>
      <c r="I1855">
        <f t="shared" si="233"/>
        <v>138.02966643530661</v>
      </c>
      <c r="J1855">
        <f t="shared" si="228"/>
        <v>484.19087349430248</v>
      </c>
      <c r="K1855" s="27">
        <f t="shared" si="229"/>
        <v>4354.2832627539656</v>
      </c>
    </row>
    <row r="1856" spans="1:11" x14ac:dyDescent="0.25">
      <c r="A1856" s="26">
        <v>1806</v>
      </c>
      <c r="B1856" s="82">
        <f t="shared" si="230"/>
        <v>0</v>
      </c>
      <c r="C1856" s="58">
        <f t="shared" si="226"/>
        <v>104.50616427295054</v>
      </c>
      <c r="D1856" s="83">
        <f t="shared" si="231"/>
        <v>445.77777777777789</v>
      </c>
      <c r="E1856">
        <f t="shared" si="227"/>
        <v>0</v>
      </c>
      <c r="G1856">
        <v>1806</v>
      </c>
      <c r="H1856" s="13">
        <f t="shared" si="232"/>
        <v>1.8572577375266519E-2</v>
      </c>
      <c r="I1856">
        <f t="shared" si="233"/>
        <v>138.04823901268188</v>
      </c>
      <c r="J1856">
        <f t="shared" si="228"/>
        <v>484.20347566209585</v>
      </c>
      <c r="K1856" s="27">
        <f t="shared" si="229"/>
        <v>4354.509868416334</v>
      </c>
    </row>
    <row r="1857" spans="1:11" x14ac:dyDescent="0.25">
      <c r="A1857" s="26">
        <v>1807</v>
      </c>
      <c r="B1857" s="82">
        <f t="shared" si="230"/>
        <v>0</v>
      </c>
      <c r="C1857" s="58">
        <f t="shared" si="226"/>
        <v>104.50616427295054</v>
      </c>
      <c r="D1857" s="83">
        <f t="shared" si="231"/>
        <v>445.77777777777789</v>
      </c>
      <c r="E1857">
        <f t="shared" si="227"/>
        <v>0</v>
      </c>
      <c r="G1857">
        <v>1807</v>
      </c>
      <c r="H1857" s="13">
        <f t="shared" si="232"/>
        <v>1.8572577375266519E-2</v>
      </c>
      <c r="I1857">
        <f t="shared" si="233"/>
        <v>138.06681159005714</v>
      </c>
      <c r="J1857">
        <f t="shared" si="228"/>
        <v>484.21607176172392</v>
      </c>
      <c r="K1857" s="27">
        <f t="shared" si="229"/>
        <v>4354.7363708547464</v>
      </c>
    </row>
    <row r="1858" spans="1:11" x14ac:dyDescent="0.25">
      <c r="A1858" s="26">
        <v>1808</v>
      </c>
      <c r="B1858" s="82">
        <f t="shared" si="230"/>
        <v>0</v>
      </c>
      <c r="C1858" s="58">
        <f t="shared" si="226"/>
        <v>104.50616427295054</v>
      </c>
      <c r="D1858" s="83">
        <f t="shared" si="231"/>
        <v>445.77777777777789</v>
      </c>
      <c r="E1858">
        <f t="shared" si="227"/>
        <v>0</v>
      </c>
      <c r="G1858">
        <v>1808</v>
      </c>
      <c r="H1858" s="13">
        <f t="shared" si="232"/>
        <v>1.8572577375266519E-2</v>
      </c>
      <c r="I1858">
        <f t="shared" si="233"/>
        <v>138.08538416743241</v>
      </c>
      <c r="J1858">
        <f t="shared" si="228"/>
        <v>484.22866179594843</v>
      </c>
      <c r="K1858" s="27">
        <f t="shared" si="229"/>
        <v>4354.9627701103409</v>
      </c>
    </row>
    <row r="1859" spans="1:11" x14ac:dyDescent="0.25">
      <c r="A1859" s="26">
        <v>1809</v>
      </c>
      <c r="B1859" s="82">
        <f t="shared" si="230"/>
        <v>0</v>
      </c>
      <c r="C1859" s="58">
        <f t="shared" si="226"/>
        <v>104.50616427295054</v>
      </c>
      <c r="D1859" s="83">
        <f t="shared" si="231"/>
        <v>445.77777777777789</v>
      </c>
      <c r="E1859">
        <f t="shared" si="227"/>
        <v>0</v>
      </c>
      <c r="G1859">
        <v>1809</v>
      </c>
      <c r="H1859" s="13">
        <f t="shared" si="232"/>
        <v>1.8572577375266519E-2</v>
      </c>
      <c r="I1859">
        <f t="shared" si="233"/>
        <v>138.10395674480768</v>
      </c>
      <c r="J1859">
        <f t="shared" si="228"/>
        <v>484.2412457675282</v>
      </c>
      <c r="K1859" s="27">
        <f t="shared" si="229"/>
        <v>4355.1890662242076</v>
      </c>
    </row>
    <row r="1860" spans="1:11" x14ac:dyDescent="0.25">
      <c r="A1860" s="26">
        <v>1810</v>
      </c>
      <c r="B1860" s="82">
        <f t="shared" si="230"/>
        <v>0</v>
      </c>
      <c r="C1860" s="58">
        <f t="shared" si="226"/>
        <v>104.50616427295054</v>
      </c>
      <c r="D1860" s="83">
        <f t="shared" si="231"/>
        <v>445.77777777777789</v>
      </c>
      <c r="E1860">
        <f t="shared" si="227"/>
        <v>0</v>
      </c>
      <c r="G1860">
        <v>1810</v>
      </c>
      <c r="H1860" s="13">
        <f t="shared" si="232"/>
        <v>1.8572577375266519E-2</v>
      </c>
      <c r="I1860">
        <f t="shared" si="233"/>
        <v>138.12252932218294</v>
      </c>
      <c r="J1860">
        <f t="shared" si="228"/>
        <v>484.25382367921901</v>
      </c>
      <c r="K1860" s="27">
        <f t="shared" si="229"/>
        <v>4355.415259237393</v>
      </c>
    </row>
    <row r="1861" spans="1:11" x14ac:dyDescent="0.25">
      <c r="A1861" s="26">
        <v>1811</v>
      </c>
      <c r="B1861" s="82">
        <f t="shared" si="230"/>
        <v>0</v>
      </c>
      <c r="C1861" s="58">
        <f t="shared" si="226"/>
        <v>104.50616427295054</v>
      </c>
      <c r="D1861" s="83">
        <f t="shared" si="231"/>
        <v>445.77777777777789</v>
      </c>
      <c r="E1861">
        <f t="shared" si="227"/>
        <v>0</v>
      </c>
      <c r="G1861">
        <v>1811</v>
      </c>
      <c r="H1861" s="13">
        <f t="shared" si="232"/>
        <v>1.8572577375266519E-2</v>
      </c>
      <c r="I1861">
        <f t="shared" si="233"/>
        <v>138.14110189955821</v>
      </c>
      <c r="J1861">
        <f t="shared" si="228"/>
        <v>484.26639553377356</v>
      </c>
      <c r="K1861" s="27">
        <f t="shared" si="229"/>
        <v>4355.6413491908961</v>
      </c>
    </row>
    <row r="1862" spans="1:11" x14ac:dyDescent="0.25">
      <c r="A1862" s="26">
        <v>1812</v>
      </c>
      <c r="B1862" s="82">
        <f t="shared" si="230"/>
        <v>0</v>
      </c>
      <c r="C1862" s="58">
        <f t="shared" si="226"/>
        <v>104.50616427295054</v>
      </c>
      <c r="D1862" s="83">
        <f t="shared" si="231"/>
        <v>445.77777777777789</v>
      </c>
      <c r="E1862">
        <f t="shared" si="227"/>
        <v>0</v>
      </c>
      <c r="G1862">
        <v>1812</v>
      </c>
      <c r="H1862" s="13">
        <f t="shared" si="232"/>
        <v>1.8572577375266519E-2</v>
      </c>
      <c r="I1862">
        <f t="shared" si="233"/>
        <v>138.15967447693347</v>
      </c>
      <c r="J1862">
        <f t="shared" si="228"/>
        <v>484.2789613339416</v>
      </c>
      <c r="K1862" s="27">
        <f t="shared" si="229"/>
        <v>4355.8673361256742</v>
      </c>
    </row>
    <row r="1863" spans="1:11" x14ac:dyDescent="0.25">
      <c r="A1863" s="26">
        <v>1813</v>
      </c>
      <c r="B1863" s="82">
        <f t="shared" si="230"/>
        <v>0</v>
      </c>
      <c r="C1863" s="58">
        <f t="shared" si="226"/>
        <v>104.50616427295054</v>
      </c>
      <c r="D1863" s="83">
        <f t="shared" si="231"/>
        <v>445.77777777777789</v>
      </c>
      <c r="E1863">
        <f t="shared" si="227"/>
        <v>0</v>
      </c>
      <c r="G1863">
        <v>1813</v>
      </c>
      <c r="H1863" s="13">
        <f t="shared" si="232"/>
        <v>1.8572577375266519E-2</v>
      </c>
      <c r="I1863">
        <f t="shared" si="233"/>
        <v>138.17824705430874</v>
      </c>
      <c r="J1863">
        <f t="shared" si="228"/>
        <v>484.29152108247001</v>
      </c>
      <c r="K1863" s="27">
        <f t="shared" si="229"/>
        <v>4356.093220082641</v>
      </c>
    </row>
    <row r="1864" spans="1:11" x14ac:dyDescent="0.25">
      <c r="A1864" s="26">
        <v>1814</v>
      </c>
      <c r="B1864" s="82">
        <f t="shared" si="230"/>
        <v>0</v>
      </c>
      <c r="C1864" s="58">
        <f t="shared" si="226"/>
        <v>104.50616427295054</v>
      </c>
      <c r="D1864" s="83">
        <f t="shared" si="231"/>
        <v>445.77777777777789</v>
      </c>
      <c r="E1864">
        <f t="shared" si="227"/>
        <v>0</v>
      </c>
      <c r="G1864">
        <v>1814</v>
      </c>
      <c r="H1864" s="13">
        <f t="shared" si="232"/>
        <v>1.8572577375266519E-2</v>
      </c>
      <c r="I1864">
        <f t="shared" si="233"/>
        <v>138.19681963168401</v>
      </c>
      <c r="J1864">
        <f t="shared" si="228"/>
        <v>484.30407478210253</v>
      </c>
      <c r="K1864" s="27">
        <f t="shared" si="229"/>
        <v>4356.3190011026627</v>
      </c>
    </row>
    <row r="1865" spans="1:11" x14ac:dyDescent="0.25">
      <c r="A1865" s="26">
        <v>1815</v>
      </c>
      <c r="B1865" s="82">
        <f t="shared" si="230"/>
        <v>0</v>
      </c>
      <c r="C1865" s="58">
        <f t="shared" si="226"/>
        <v>104.50616427295054</v>
      </c>
      <c r="D1865" s="83">
        <f t="shared" si="231"/>
        <v>445.77777777777789</v>
      </c>
      <c r="E1865">
        <f t="shared" si="227"/>
        <v>0</v>
      </c>
      <c r="G1865">
        <v>1815</v>
      </c>
      <c r="H1865" s="13">
        <f t="shared" si="232"/>
        <v>1.8572577375266519E-2</v>
      </c>
      <c r="I1865">
        <f t="shared" si="233"/>
        <v>138.21539220905927</v>
      </c>
      <c r="J1865">
        <f t="shared" si="228"/>
        <v>484.31662243557997</v>
      </c>
      <c r="K1865" s="27">
        <f t="shared" si="229"/>
        <v>4356.544679226562</v>
      </c>
    </row>
    <row r="1866" spans="1:11" x14ac:dyDescent="0.25">
      <c r="A1866" s="26">
        <v>1816</v>
      </c>
      <c r="B1866" s="82">
        <f t="shared" si="230"/>
        <v>0</v>
      </c>
      <c r="C1866" s="58">
        <f t="shared" si="226"/>
        <v>104.50616427295054</v>
      </c>
      <c r="D1866" s="83">
        <f t="shared" si="231"/>
        <v>445.77777777777789</v>
      </c>
      <c r="E1866">
        <f t="shared" si="227"/>
        <v>0</v>
      </c>
      <c r="G1866">
        <v>1816</v>
      </c>
      <c r="H1866" s="13">
        <f t="shared" si="232"/>
        <v>1.8572577375266519E-2</v>
      </c>
      <c r="I1866">
        <f t="shared" si="233"/>
        <v>138.23396478643454</v>
      </c>
      <c r="J1866">
        <f t="shared" si="228"/>
        <v>484.32916404564025</v>
      </c>
      <c r="K1866" s="27">
        <f t="shared" si="229"/>
        <v>4356.7702544951208</v>
      </c>
    </row>
    <row r="1867" spans="1:11" x14ac:dyDescent="0.25">
      <c r="A1867" s="26">
        <v>1817</v>
      </c>
      <c r="B1867" s="82">
        <f t="shared" si="230"/>
        <v>0</v>
      </c>
      <c r="C1867" s="58">
        <f t="shared" si="226"/>
        <v>104.50616427295054</v>
      </c>
      <c r="D1867" s="83">
        <f t="shared" si="231"/>
        <v>445.77777777777789</v>
      </c>
      <c r="E1867">
        <f t="shared" si="227"/>
        <v>0</v>
      </c>
      <c r="G1867">
        <v>1817</v>
      </c>
      <c r="H1867" s="13">
        <f t="shared" si="232"/>
        <v>1.8572577375266519E-2</v>
      </c>
      <c r="I1867">
        <f t="shared" si="233"/>
        <v>138.25253736380981</v>
      </c>
      <c r="J1867">
        <f t="shared" si="228"/>
        <v>484.34169961501823</v>
      </c>
      <c r="K1867" s="27">
        <f t="shared" si="229"/>
        <v>4356.9957269490715</v>
      </c>
    </row>
    <row r="1868" spans="1:11" x14ac:dyDescent="0.25">
      <c r="A1868" s="26">
        <v>1818</v>
      </c>
      <c r="B1868" s="82">
        <f t="shared" si="230"/>
        <v>0</v>
      </c>
      <c r="C1868" s="58">
        <f t="shared" si="226"/>
        <v>104.50616427295054</v>
      </c>
      <c r="D1868" s="83">
        <f t="shared" si="231"/>
        <v>445.77777777777789</v>
      </c>
      <c r="E1868">
        <f t="shared" si="227"/>
        <v>0</v>
      </c>
      <c r="G1868">
        <v>1818</v>
      </c>
      <c r="H1868" s="13">
        <f t="shared" si="232"/>
        <v>1.8572577375266519E-2</v>
      </c>
      <c r="I1868">
        <f t="shared" si="233"/>
        <v>138.27110994118507</v>
      </c>
      <c r="J1868">
        <f t="shared" si="228"/>
        <v>484.35422914644573</v>
      </c>
      <c r="K1868" s="27">
        <f t="shared" si="229"/>
        <v>4357.221096629105</v>
      </c>
    </row>
    <row r="1869" spans="1:11" x14ac:dyDescent="0.25">
      <c r="A1869" s="26">
        <v>1819</v>
      </c>
      <c r="B1869" s="82">
        <f t="shared" si="230"/>
        <v>0</v>
      </c>
      <c r="C1869" s="58">
        <f t="shared" si="226"/>
        <v>104.50616427295054</v>
      </c>
      <c r="D1869" s="83">
        <f t="shared" si="231"/>
        <v>445.77777777777789</v>
      </c>
      <c r="E1869">
        <f t="shared" si="227"/>
        <v>0</v>
      </c>
      <c r="G1869">
        <v>1819</v>
      </c>
      <c r="H1869" s="13">
        <f t="shared" si="232"/>
        <v>1.8572577375266519E-2</v>
      </c>
      <c r="I1869">
        <f t="shared" si="233"/>
        <v>138.28968251856034</v>
      </c>
      <c r="J1869">
        <f t="shared" si="228"/>
        <v>484.36675264265182</v>
      </c>
      <c r="K1869" s="27">
        <f t="shared" si="229"/>
        <v>4357.4463635758684</v>
      </c>
    </row>
    <row r="1870" spans="1:11" x14ac:dyDescent="0.25">
      <c r="A1870" s="26">
        <v>1820</v>
      </c>
      <c r="B1870" s="82">
        <f t="shared" si="230"/>
        <v>0</v>
      </c>
      <c r="C1870" s="58">
        <f t="shared" si="226"/>
        <v>104.50616427295054</v>
      </c>
      <c r="D1870" s="83">
        <f t="shared" si="231"/>
        <v>445.77777777777789</v>
      </c>
      <c r="E1870">
        <f t="shared" si="227"/>
        <v>0</v>
      </c>
      <c r="G1870">
        <v>1820</v>
      </c>
      <c r="H1870" s="13">
        <f t="shared" si="232"/>
        <v>1.8572577375266519E-2</v>
      </c>
      <c r="I1870">
        <f t="shared" si="233"/>
        <v>138.30825509593561</v>
      </c>
      <c r="J1870">
        <f t="shared" si="228"/>
        <v>484.37927010636247</v>
      </c>
      <c r="K1870" s="27">
        <f t="shared" si="229"/>
        <v>4357.6715278299635</v>
      </c>
    </row>
    <row r="1871" spans="1:11" x14ac:dyDescent="0.25">
      <c r="A1871" s="26">
        <v>1821</v>
      </c>
      <c r="B1871" s="82">
        <f t="shared" si="230"/>
        <v>0</v>
      </c>
      <c r="C1871" s="58">
        <f t="shared" si="226"/>
        <v>104.50616427295054</v>
      </c>
      <c r="D1871" s="83">
        <f t="shared" si="231"/>
        <v>445.77777777777789</v>
      </c>
      <c r="E1871">
        <f t="shared" si="227"/>
        <v>0</v>
      </c>
      <c r="G1871">
        <v>1821</v>
      </c>
      <c r="H1871" s="13">
        <f t="shared" si="232"/>
        <v>1.8572577375266519E-2</v>
      </c>
      <c r="I1871">
        <f t="shared" si="233"/>
        <v>138.32682767331087</v>
      </c>
      <c r="J1871">
        <f t="shared" si="228"/>
        <v>484.39178154030066</v>
      </c>
      <c r="K1871" s="27">
        <f t="shared" si="229"/>
        <v>4357.896589431949</v>
      </c>
    </row>
    <row r="1872" spans="1:11" x14ac:dyDescent="0.25">
      <c r="A1872" s="26">
        <v>1822</v>
      </c>
      <c r="B1872" s="82">
        <f t="shared" si="230"/>
        <v>0</v>
      </c>
      <c r="C1872" s="58">
        <f t="shared" ref="C1872:C1935" si="234">($C$37-$C$36)/2000+C1871</f>
        <v>104.50616427295054</v>
      </c>
      <c r="D1872" s="83">
        <f t="shared" si="231"/>
        <v>445.77777777777789</v>
      </c>
      <c r="E1872">
        <f t="shared" si="227"/>
        <v>0</v>
      </c>
      <c r="G1872">
        <v>1822</v>
      </c>
      <c r="H1872" s="13">
        <f t="shared" si="232"/>
        <v>1.8572577375266519E-2</v>
      </c>
      <c r="I1872">
        <f t="shared" si="233"/>
        <v>138.34540025068614</v>
      </c>
      <c r="J1872">
        <f t="shared" si="228"/>
        <v>484.40428694718651</v>
      </c>
      <c r="K1872" s="27">
        <f t="shared" si="229"/>
        <v>4358.1215484223403</v>
      </c>
    </row>
    <row r="1873" spans="1:11" x14ac:dyDescent="0.25">
      <c r="A1873" s="26">
        <v>1823</v>
      </c>
      <c r="B1873" s="82">
        <f t="shared" si="230"/>
        <v>0</v>
      </c>
      <c r="C1873" s="58">
        <f t="shared" si="234"/>
        <v>104.50616427295054</v>
      </c>
      <c r="D1873" s="83">
        <f t="shared" si="231"/>
        <v>445.77777777777789</v>
      </c>
      <c r="E1873">
        <f t="shared" si="227"/>
        <v>0</v>
      </c>
      <c r="G1873">
        <v>1823</v>
      </c>
      <c r="H1873" s="13">
        <f t="shared" si="232"/>
        <v>1.8572577375266519E-2</v>
      </c>
      <c r="I1873">
        <f t="shared" si="233"/>
        <v>138.36397282806141</v>
      </c>
      <c r="J1873">
        <f t="shared" si="228"/>
        <v>484.41678632973719</v>
      </c>
      <c r="K1873" s="27">
        <f t="shared" si="229"/>
        <v>4358.3464048416072</v>
      </c>
    </row>
    <row r="1874" spans="1:11" x14ac:dyDescent="0.25">
      <c r="A1874" s="26">
        <v>1824</v>
      </c>
      <c r="B1874" s="82">
        <f t="shared" si="230"/>
        <v>0</v>
      </c>
      <c r="C1874" s="58">
        <f t="shared" si="234"/>
        <v>104.50616427295054</v>
      </c>
      <c r="D1874" s="83">
        <f t="shared" si="231"/>
        <v>445.77777777777789</v>
      </c>
      <c r="E1874">
        <f t="shared" si="227"/>
        <v>0</v>
      </c>
      <c r="G1874">
        <v>1824</v>
      </c>
      <c r="H1874" s="13">
        <f t="shared" si="232"/>
        <v>1.8572577375266519E-2</v>
      </c>
      <c r="I1874">
        <f t="shared" si="233"/>
        <v>138.38254540543667</v>
      </c>
      <c r="J1874">
        <f t="shared" si="228"/>
        <v>484.42927969066693</v>
      </c>
      <c r="K1874" s="27">
        <f t="shared" si="229"/>
        <v>4358.5711587301776</v>
      </c>
    </row>
    <row r="1875" spans="1:11" x14ac:dyDescent="0.25">
      <c r="A1875" s="26">
        <v>1825</v>
      </c>
      <c r="B1875" s="82">
        <f t="shared" si="230"/>
        <v>0</v>
      </c>
      <c r="C1875" s="58">
        <f t="shared" si="234"/>
        <v>104.50616427295054</v>
      </c>
      <c r="D1875" s="83">
        <f t="shared" si="231"/>
        <v>445.77777777777789</v>
      </c>
      <c r="E1875">
        <f t="shared" si="227"/>
        <v>0</v>
      </c>
      <c r="G1875">
        <v>1825</v>
      </c>
      <c r="H1875" s="13">
        <f t="shared" si="232"/>
        <v>1.8572577375266519E-2</v>
      </c>
      <c r="I1875">
        <f t="shared" si="233"/>
        <v>138.40111798281194</v>
      </c>
      <c r="J1875">
        <f t="shared" si="228"/>
        <v>484.44176703268693</v>
      </c>
      <c r="K1875" s="27">
        <f t="shared" si="229"/>
        <v>4358.7958101284339</v>
      </c>
    </row>
    <row r="1876" spans="1:11" x14ac:dyDescent="0.25">
      <c r="A1876" s="26">
        <v>1826</v>
      </c>
      <c r="B1876" s="82">
        <f t="shared" si="230"/>
        <v>0</v>
      </c>
      <c r="C1876" s="58">
        <f t="shared" si="234"/>
        <v>104.50616427295054</v>
      </c>
      <c r="D1876" s="83">
        <f t="shared" si="231"/>
        <v>445.77777777777789</v>
      </c>
      <c r="E1876">
        <f t="shared" si="227"/>
        <v>0</v>
      </c>
      <c r="G1876">
        <v>1826</v>
      </c>
      <c r="H1876" s="13">
        <f t="shared" si="232"/>
        <v>1.8572577375266519E-2</v>
      </c>
      <c r="I1876">
        <f t="shared" si="233"/>
        <v>138.41969056018721</v>
      </c>
      <c r="J1876">
        <f t="shared" si="228"/>
        <v>484.45424835850559</v>
      </c>
      <c r="K1876" s="27">
        <f t="shared" si="229"/>
        <v>4359.0203590767169</v>
      </c>
    </row>
    <row r="1877" spans="1:11" x14ac:dyDescent="0.25">
      <c r="A1877" s="26">
        <v>1827</v>
      </c>
      <c r="B1877" s="82">
        <f t="shared" si="230"/>
        <v>0</v>
      </c>
      <c r="C1877" s="58">
        <f t="shared" si="234"/>
        <v>104.50616427295054</v>
      </c>
      <c r="D1877" s="83">
        <f t="shared" si="231"/>
        <v>445.77777777777789</v>
      </c>
      <c r="E1877">
        <f t="shared" si="227"/>
        <v>0</v>
      </c>
      <c r="G1877">
        <v>1827</v>
      </c>
      <c r="H1877" s="13">
        <f t="shared" si="232"/>
        <v>1.8572577375266519E-2</v>
      </c>
      <c r="I1877">
        <f t="shared" si="233"/>
        <v>138.43826313756247</v>
      </c>
      <c r="J1877">
        <f t="shared" si="228"/>
        <v>484.46672367082829</v>
      </c>
      <c r="K1877" s="27">
        <f t="shared" si="229"/>
        <v>4359.2448056153198</v>
      </c>
    </row>
    <row r="1878" spans="1:11" x14ac:dyDescent="0.25">
      <c r="A1878" s="26">
        <v>1828</v>
      </c>
      <c r="B1878" s="82">
        <f t="shared" si="230"/>
        <v>0</v>
      </c>
      <c r="C1878" s="58">
        <f t="shared" si="234"/>
        <v>104.50616427295054</v>
      </c>
      <c r="D1878" s="83">
        <f t="shared" si="231"/>
        <v>445.77777777777789</v>
      </c>
      <c r="E1878">
        <f t="shared" si="227"/>
        <v>0</v>
      </c>
      <c r="G1878">
        <v>1828</v>
      </c>
      <c r="H1878" s="13">
        <f t="shared" si="232"/>
        <v>1.8572577375266519E-2</v>
      </c>
      <c r="I1878">
        <f t="shared" si="233"/>
        <v>138.45683571493774</v>
      </c>
      <c r="J1878">
        <f t="shared" si="228"/>
        <v>484.47919297235745</v>
      </c>
      <c r="K1878" s="27">
        <f t="shared" si="229"/>
        <v>4359.4691497844979</v>
      </c>
    </row>
    <row r="1879" spans="1:11" x14ac:dyDescent="0.25">
      <c r="A1879" s="26">
        <v>1829</v>
      </c>
      <c r="B1879" s="82">
        <f t="shared" si="230"/>
        <v>0</v>
      </c>
      <c r="C1879" s="58">
        <f t="shared" si="234"/>
        <v>104.50616427295054</v>
      </c>
      <c r="D1879" s="83">
        <f t="shared" si="231"/>
        <v>445.77777777777789</v>
      </c>
      <c r="E1879">
        <f t="shared" si="227"/>
        <v>0</v>
      </c>
      <c r="G1879">
        <v>1829</v>
      </c>
      <c r="H1879" s="13">
        <f t="shared" si="232"/>
        <v>1.8572577375266519E-2</v>
      </c>
      <c r="I1879">
        <f t="shared" si="233"/>
        <v>138.47540829231301</v>
      </c>
      <c r="J1879">
        <f t="shared" si="228"/>
        <v>484.49165626579276</v>
      </c>
      <c r="K1879" s="27">
        <f t="shared" si="229"/>
        <v>4359.6933916244579</v>
      </c>
    </row>
    <row r="1880" spans="1:11" x14ac:dyDescent="0.25">
      <c r="A1880" s="26">
        <v>1830</v>
      </c>
      <c r="B1880" s="82">
        <f t="shared" si="230"/>
        <v>0</v>
      </c>
      <c r="C1880" s="58">
        <f t="shared" si="234"/>
        <v>104.50616427295054</v>
      </c>
      <c r="D1880" s="83">
        <f t="shared" si="231"/>
        <v>445.77777777777789</v>
      </c>
      <c r="E1880">
        <f t="shared" si="227"/>
        <v>0</v>
      </c>
      <c r="G1880">
        <v>1830</v>
      </c>
      <c r="H1880" s="13">
        <f t="shared" si="232"/>
        <v>1.8572577375266519E-2</v>
      </c>
      <c r="I1880">
        <f t="shared" si="233"/>
        <v>138.49398086968827</v>
      </c>
      <c r="J1880">
        <f t="shared" si="228"/>
        <v>484.50411355383079</v>
      </c>
      <c r="K1880" s="27">
        <f t="shared" si="229"/>
        <v>4359.917531175367</v>
      </c>
    </row>
    <row r="1881" spans="1:11" x14ac:dyDescent="0.25">
      <c r="A1881" s="26">
        <v>1831</v>
      </c>
      <c r="B1881" s="82">
        <f t="shared" si="230"/>
        <v>0</v>
      </c>
      <c r="C1881" s="58">
        <f t="shared" si="234"/>
        <v>104.50616427295054</v>
      </c>
      <c r="D1881" s="83">
        <f t="shared" si="231"/>
        <v>445.77777777777789</v>
      </c>
      <c r="E1881">
        <f t="shared" si="227"/>
        <v>0</v>
      </c>
      <c r="G1881">
        <v>1831</v>
      </c>
      <c r="H1881" s="13">
        <f t="shared" si="232"/>
        <v>1.8572577375266519E-2</v>
      </c>
      <c r="I1881">
        <f t="shared" si="233"/>
        <v>138.51255344706354</v>
      </c>
      <c r="J1881">
        <f t="shared" si="228"/>
        <v>484.51656483916531</v>
      </c>
      <c r="K1881" s="27">
        <f t="shared" si="229"/>
        <v>4360.1415684773465</v>
      </c>
    </row>
    <row r="1882" spans="1:11" x14ac:dyDescent="0.25">
      <c r="A1882" s="26">
        <v>1832</v>
      </c>
      <c r="B1882" s="82">
        <f t="shared" si="230"/>
        <v>0</v>
      </c>
      <c r="C1882" s="58">
        <f t="shared" si="234"/>
        <v>104.50616427295054</v>
      </c>
      <c r="D1882" s="83">
        <f t="shared" si="231"/>
        <v>445.77777777777789</v>
      </c>
      <c r="E1882">
        <f t="shared" si="227"/>
        <v>0</v>
      </c>
      <c r="G1882">
        <v>1832</v>
      </c>
      <c r="H1882" s="13">
        <f t="shared" si="232"/>
        <v>1.8572577375266519E-2</v>
      </c>
      <c r="I1882">
        <f t="shared" si="233"/>
        <v>138.53112602443881</v>
      </c>
      <c r="J1882">
        <f t="shared" si="228"/>
        <v>484.52901012448706</v>
      </c>
      <c r="K1882" s="27">
        <f t="shared" si="229"/>
        <v>4360.3655035704751</v>
      </c>
    </row>
    <row r="1883" spans="1:11" x14ac:dyDescent="0.25">
      <c r="A1883" s="26">
        <v>1833</v>
      </c>
      <c r="B1883" s="82">
        <f t="shared" si="230"/>
        <v>0</v>
      </c>
      <c r="C1883" s="58">
        <f t="shared" si="234"/>
        <v>104.50616427295054</v>
      </c>
      <c r="D1883" s="83">
        <f t="shared" si="231"/>
        <v>445.77777777777789</v>
      </c>
      <c r="E1883">
        <f t="shared" si="227"/>
        <v>0</v>
      </c>
      <c r="G1883">
        <v>1833</v>
      </c>
      <c r="H1883" s="13">
        <f t="shared" si="232"/>
        <v>1.8572577375266519E-2</v>
      </c>
      <c r="I1883">
        <f t="shared" si="233"/>
        <v>138.54969860181407</v>
      </c>
      <c r="J1883">
        <f t="shared" si="228"/>
        <v>484.5414494124841</v>
      </c>
      <c r="K1883" s="27">
        <f t="shared" si="229"/>
        <v>4360.5893364947888</v>
      </c>
    </row>
    <row r="1884" spans="1:11" x14ac:dyDescent="0.25">
      <c r="A1884" s="26">
        <v>1834</v>
      </c>
      <c r="B1884" s="82">
        <f t="shared" si="230"/>
        <v>0</v>
      </c>
      <c r="C1884" s="58">
        <f t="shared" si="234"/>
        <v>104.50616427295054</v>
      </c>
      <c r="D1884" s="83">
        <f t="shared" si="231"/>
        <v>445.77777777777789</v>
      </c>
      <c r="E1884">
        <f t="shared" si="227"/>
        <v>0</v>
      </c>
      <c r="G1884">
        <v>1834</v>
      </c>
      <c r="H1884" s="13">
        <f t="shared" si="232"/>
        <v>1.8572577375266519E-2</v>
      </c>
      <c r="I1884">
        <f t="shared" si="233"/>
        <v>138.56827117918934</v>
      </c>
      <c r="J1884">
        <f t="shared" si="228"/>
        <v>484.55388270584137</v>
      </c>
      <c r="K1884" s="27">
        <f t="shared" si="229"/>
        <v>4360.8130672902807</v>
      </c>
    </row>
    <row r="1885" spans="1:11" x14ac:dyDescent="0.25">
      <c r="A1885" s="26">
        <v>1835</v>
      </c>
      <c r="B1885" s="82">
        <f t="shared" si="230"/>
        <v>0</v>
      </c>
      <c r="C1885" s="58">
        <f t="shared" si="234"/>
        <v>104.50616427295054</v>
      </c>
      <c r="D1885" s="83">
        <f t="shared" si="231"/>
        <v>445.77777777777789</v>
      </c>
      <c r="E1885">
        <f t="shared" si="227"/>
        <v>0</v>
      </c>
      <c r="G1885">
        <v>1835</v>
      </c>
      <c r="H1885" s="13">
        <f t="shared" si="232"/>
        <v>1.8572577375266519E-2</v>
      </c>
      <c r="I1885">
        <f t="shared" si="233"/>
        <v>138.5868437565646</v>
      </c>
      <c r="J1885">
        <f t="shared" si="228"/>
        <v>484.56631000724104</v>
      </c>
      <c r="K1885" s="27">
        <f t="shared" si="229"/>
        <v>4361.0366959968987</v>
      </c>
    </row>
    <row r="1886" spans="1:11" x14ac:dyDescent="0.25">
      <c r="A1886" s="26">
        <v>1836</v>
      </c>
      <c r="B1886" s="82">
        <f t="shared" si="230"/>
        <v>0</v>
      </c>
      <c r="C1886" s="58">
        <f t="shared" si="234"/>
        <v>104.50616427295054</v>
      </c>
      <c r="D1886" s="83">
        <f t="shared" si="231"/>
        <v>445.77777777777789</v>
      </c>
      <c r="E1886">
        <f t="shared" si="227"/>
        <v>0</v>
      </c>
      <c r="G1886">
        <v>1836</v>
      </c>
      <c r="H1886" s="13">
        <f t="shared" si="232"/>
        <v>1.8572577375266519E-2</v>
      </c>
      <c r="I1886">
        <f t="shared" si="233"/>
        <v>138.60541633393987</v>
      </c>
      <c r="J1886">
        <f t="shared" si="228"/>
        <v>484.57873131936236</v>
      </c>
      <c r="K1886" s="27">
        <f t="shared" si="229"/>
        <v>4361.2602226545487</v>
      </c>
    </row>
    <row r="1887" spans="1:11" x14ac:dyDescent="0.25">
      <c r="A1887" s="26">
        <v>1837</v>
      </c>
      <c r="B1887" s="82">
        <f t="shared" si="230"/>
        <v>0</v>
      </c>
      <c r="C1887" s="58">
        <f t="shared" si="234"/>
        <v>104.50616427295054</v>
      </c>
      <c r="D1887" s="83">
        <f t="shared" si="231"/>
        <v>445.77777777777789</v>
      </c>
      <c r="E1887">
        <f t="shared" si="227"/>
        <v>0</v>
      </c>
      <c r="G1887">
        <v>1837</v>
      </c>
      <c r="H1887" s="13">
        <f t="shared" si="232"/>
        <v>1.8572577375266519E-2</v>
      </c>
      <c r="I1887">
        <f t="shared" si="233"/>
        <v>138.62398891131514</v>
      </c>
      <c r="J1887">
        <f t="shared" si="228"/>
        <v>484.59114664488163</v>
      </c>
      <c r="K1887" s="27">
        <f t="shared" si="229"/>
        <v>4361.4836473030946</v>
      </c>
    </row>
    <row r="1888" spans="1:11" x14ac:dyDescent="0.25">
      <c r="A1888" s="26">
        <v>1838</v>
      </c>
      <c r="B1888" s="82">
        <f t="shared" si="230"/>
        <v>0</v>
      </c>
      <c r="C1888" s="58">
        <f t="shared" si="234"/>
        <v>104.50616427295054</v>
      </c>
      <c r="D1888" s="83">
        <f t="shared" si="231"/>
        <v>445.77777777777789</v>
      </c>
      <c r="E1888">
        <f t="shared" si="227"/>
        <v>0</v>
      </c>
      <c r="G1888">
        <v>1838</v>
      </c>
      <c r="H1888" s="13">
        <f t="shared" si="232"/>
        <v>1.8572577375266519E-2</v>
      </c>
      <c r="I1888">
        <f t="shared" si="233"/>
        <v>138.6425614886904</v>
      </c>
      <c r="J1888">
        <f t="shared" si="228"/>
        <v>484.60355598647232</v>
      </c>
      <c r="K1888" s="27">
        <f t="shared" si="229"/>
        <v>4361.7069699823578</v>
      </c>
    </row>
    <row r="1889" spans="1:11" x14ac:dyDescent="0.25">
      <c r="A1889" s="26">
        <v>1839</v>
      </c>
      <c r="B1889" s="82">
        <f t="shared" si="230"/>
        <v>0</v>
      </c>
      <c r="C1889" s="58">
        <f t="shared" si="234"/>
        <v>104.50616427295054</v>
      </c>
      <c r="D1889" s="83">
        <f t="shared" si="231"/>
        <v>445.77777777777789</v>
      </c>
      <c r="E1889">
        <f t="shared" si="227"/>
        <v>0</v>
      </c>
      <c r="G1889">
        <v>1839</v>
      </c>
      <c r="H1889" s="13">
        <f t="shared" si="232"/>
        <v>1.8572577375266519E-2</v>
      </c>
      <c r="I1889">
        <f t="shared" si="233"/>
        <v>138.66113406606567</v>
      </c>
      <c r="J1889">
        <f t="shared" si="228"/>
        <v>484.61595934680508</v>
      </c>
      <c r="K1889" s="27">
        <f t="shared" si="229"/>
        <v>4361.9301907321142</v>
      </c>
    </row>
    <row r="1890" spans="1:11" x14ac:dyDescent="0.25">
      <c r="A1890" s="26">
        <v>1840</v>
      </c>
      <c r="B1890" s="82">
        <f t="shared" si="230"/>
        <v>0</v>
      </c>
      <c r="C1890" s="58">
        <f t="shared" si="234"/>
        <v>104.50616427295054</v>
      </c>
      <c r="D1890" s="83">
        <f t="shared" si="231"/>
        <v>445.77777777777789</v>
      </c>
      <c r="E1890">
        <f t="shared" si="227"/>
        <v>0</v>
      </c>
      <c r="G1890">
        <v>1840</v>
      </c>
      <c r="H1890" s="13">
        <f t="shared" si="232"/>
        <v>1.8572577375266519E-2</v>
      </c>
      <c r="I1890">
        <f t="shared" si="233"/>
        <v>138.67970664344094</v>
      </c>
      <c r="J1890">
        <f t="shared" si="228"/>
        <v>484.6283567285476</v>
      </c>
      <c r="K1890" s="27">
        <f t="shared" si="229"/>
        <v>4362.1533095920986</v>
      </c>
    </row>
    <row r="1891" spans="1:11" x14ac:dyDescent="0.25">
      <c r="A1891" s="26">
        <v>1841</v>
      </c>
      <c r="B1891" s="82">
        <f t="shared" si="230"/>
        <v>0</v>
      </c>
      <c r="C1891" s="58">
        <f t="shared" si="234"/>
        <v>104.50616427295054</v>
      </c>
      <c r="D1891" s="83">
        <f t="shared" si="231"/>
        <v>445.77777777777789</v>
      </c>
      <c r="E1891">
        <f t="shared" si="227"/>
        <v>0</v>
      </c>
      <c r="G1891">
        <v>1841</v>
      </c>
      <c r="H1891" s="13">
        <f t="shared" si="232"/>
        <v>1.8572577375266519E-2</v>
      </c>
      <c r="I1891">
        <f t="shared" si="233"/>
        <v>138.6982792208162</v>
      </c>
      <c r="J1891">
        <f t="shared" si="228"/>
        <v>484.64074813436469</v>
      </c>
      <c r="K1891" s="27">
        <f t="shared" si="229"/>
        <v>4362.3763266020042</v>
      </c>
    </row>
    <row r="1892" spans="1:11" x14ac:dyDescent="0.25">
      <c r="A1892" s="26">
        <v>1842</v>
      </c>
      <c r="B1892" s="82">
        <f t="shared" si="230"/>
        <v>0</v>
      </c>
      <c r="C1892" s="58">
        <f t="shared" si="234"/>
        <v>104.50616427295054</v>
      </c>
      <c r="D1892" s="83">
        <f t="shared" si="231"/>
        <v>445.77777777777789</v>
      </c>
      <c r="E1892">
        <f t="shared" si="227"/>
        <v>0</v>
      </c>
      <c r="G1892">
        <v>1842</v>
      </c>
      <c r="H1892" s="13">
        <f t="shared" si="232"/>
        <v>1.8572577375266519E-2</v>
      </c>
      <c r="I1892">
        <f t="shared" si="233"/>
        <v>138.71685179819147</v>
      </c>
      <c r="J1892">
        <f t="shared" si="228"/>
        <v>484.65313356691837</v>
      </c>
      <c r="K1892" s="27">
        <f t="shared" si="229"/>
        <v>4362.5992418014785</v>
      </c>
    </row>
    <row r="1893" spans="1:11" x14ac:dyDescent="0.25">
      <c r="A1893" s="26">
        <v>1843</v>
      </c>
      <c r="B1893" s="82">
        <f t="shared" si="230"/>
        <v>0</v>
      </c>
      <c r="C1893" s="58">
        <f t="shared" si="234"/>
        <v>104.50616427295054</v>
      </c>
      <c r="D1893" s="83">
        <f t="shared" si="231"/>
        <v>445.77777777777789</v>
      </c>
      <c r="E1893">
        <f t="shared" si="227"/>
        <v>0</v>
      </c>
      <c r="G1893">
        <v>1843</v>
      </c>
      <c r="H1893" s="13">
        <f t="shared" si="232"/>
        <v>1.8572577375266519E-2</v>
      </c>
      <c r="I1893">
        <f t="shared" si="233"/>
        <v>138.73542437556674</v>
      </c>
      <c r="J1893">
        <f t="shared" si="228"/>
        <v>484.66551302886774</v>
      </c>
      <c r="K1893" s="27">
        <f t="shared" si="229"/>
        <v>4362.8220552301273</v>
      </c>
    </row>
    <row r="1894" spans="1:11" x14ac:dyDescent="0.25">
      <c r="A1894" s="26">
        <v>1844</v>
      </c>
      <c r="B1894" s="82">
        <f t="shared" si="230"/>
        <v>0</v>
      </c>
      <c r="C1894" s="58">
        <f t="shared" si="234"/>
        <v>104.50616427295054</v>
      </c>
      <c r="D1894" s="83">
        <f t="shared" si="231"/>
        <v>445.77777777777789</v>
      </c>
      <c r="E1894">
        <f t="shared" si="227"/>
        <v>0</v>
      </c>
      <c r="G1894">
        <v>1844</v>
      </c>
      <c r="H1894" s="13">
        <f t="shared" si="232"/>
        <v>1.8572577375266519E-2</v>
      </c>
      <c r="I1894">
        <f t="shared" si="233"/>
        <v>138.753996952942</v>
      </c>
      <c r="J1894">
        <f t="shared" si="228"/>
        <v>484.67788652286902</v>
      </c>
      <c r="K1894" s="27">
        <f t="shared" si="229"/>
        <v>4363.0447669275172</v>
      </c>
    </row>
    <row r="1895" spans="1:11" x14ac:dyDescent="0.25">
      <c r="A1895" s="26">
        <v>1845</v>
      </c>
      <c r="B1895" s="82">
        <f t="shared" si="230"/>
        <v>0</v>
      </c>
      <c r="C1895" s="58">
        <f t="shared" si="234"/>
        <v>104.50616427295054</v>
      </c>
      <c r="D1895" s="83">
        <f t="shared" si="231"/>
        <v>445.77777777777789</v>
      </c>
      <c r="E1895">
        <f t="shared" si="227"/>
        <v>0</v>
      </c>
      <c r="G1895">
        <v>1845</v>
      </c>
      <c r="H1895" s="13">
        <f t="shared" si="232"/>
        <v>1.8572577375266519E-2</v>
      </c>
      <c r="I1895">
        <f t="shared" si="233"/>
        <v>138.77256953031727</v>
      </c>
      <c r="J1895">
        <f t="shared" si="228"/>
        <v>484.69025405157566</v>
      </c>
      <c r="K1895" s="27">
        <f t="shared" si="229"/>
        <v>4363.2673769331686</v>
      </c>
    </row>
    <row r="1896" spans="1:11" x14ac:dyDescent="0.25">
      <c r="A1896" s="26">
        <v>1846</v>
      </c>
      <c r="B1896" s="82">
        <f t="shared" si="230"/>
        <v>0</v>
      </c>
      <c r="C1896" s="58">
        <f t="shared" si="234"/>
        <v>104.50616427295054</v>
      </c>
      <c r="D1896" s="83">
        <f t="shared" si="231"/>
        <v>445.77777777777789</v>
      </c>
      <c r="E1896">
        <f t="shared" si="227"/>
        <v>0</v>
      </c>
      <c r="G1896">
        <v>1846</v>
      </c>
      <c r="H1896" s="13">
        <f t="shared" si="232"/>
        <v>1.8572577375266519E-2</v>
      </c>
      <c r="I1896">
        <f t="shared" si="233"/>
        <v>138.79114210769254</v>
      </c>
      <c r="J1896">
        <f t="shared" si="228"/>
        <v>484.70261561763823</v>
      </c>
      <c r="K1896" s="27">
        <f t="shared" si="229"/>
        <v>4363.489885286559</v>
      </c>
    </row>
    <row r="1897" spans="1:11" x14ac:dyDescent="0.25">
      <c r="A1897" s="26">
        <v>1847</v>
      </c>
      <c r="B1897" s="82">
        <f t="shared" si="230"/>
        <v>0</v>
      </c>
      <c r="C1897" s="58">
        <f t="shared" si="234"/>
        <v>104.50616427295054</v>
      </c>
      <c r="D1897" s="83">
        <f t="shared" si="231"/>
        <v>445.77777777777789</v>
      </c>
      <c r="E1897">
        <f t="shared" si="227"/>
        <v>0</v>
      </c>
      <c r="G1897">
        <v>1847</v>
      </c>
      <c r="H1897" s="13">
        <f t="shared" si="232"/>
        <v>1.8572577375266519E-2</v>
      </c>
      <c r="I1897">
        <f t="shared" si="233"/>
        <v>138.8097146850678</v>
      </c>
      <c r="J1897">
        <f t="shared" si="228"/>
        <v>484.71497122370431</v>
      </c>
      <c r="K1897" s="27">
        <f t="shared" si="229"/>
        <v>4363.7122920271258</v>
      </c>
    </row>
    <row r="1898" spans="1:11" x14ac:dyDescent="0.25">
      <c r="A1898" s="26">
        <v>1848</v>
      </c>
      <c r="B1898" s="82">
        <f t="shared" si="230"/>
        <v>0</v>
      </c>
      <c r="C1898" s="58">
        <f t="shared" si="234"/>
        <v>104.50616427295054</v>
      </c>
      <c r="D1898" s="83">
        <f t="shared" si="231"/>
        <v>445.77777777777789</v>
      </c>
      <c r="E1898">
        <f t="shared" si="227"/>
        <v>0</v>
      </c>
      <c r="G1898">
        <v>1848</v>
      </c>
      <c r="H1898" s="13">
        <f t="shared" si="232"/>
        <v>1.8572577375266519E-2</v>
      </c>
      <c r="I1898">
        <f t="shared" si="233"/>
        <v>138.82828726244307</v>
      </c>
      <c r="J1898">
        <f t="shared" si="228"/>
        <v>484.72732087241889</v>
      </c>
      <c r="K1898" s="27">
        <f t="shared" si="229"/>
        <v>4363.9345971942648</v>
      </c>
    </row>
    <row r="1899" spans="1:11" x14ac:dyDescent="0.25">
      <c r="A1899" s="26">
        <v>1849</v>
      </c>
      <c r="B1899" s="82">
        <f t="shared" si="230"/>
        <v>0</v>
      </c>
      <c r="C1899" s="58">
        <f t="shared" si="234"/>
        <v>104.50616427295054</v>
      </c>
      <c r="D1899" s="83">
        <f t="shared" si="231"/>
        <v>445.77777777777789</v>
      </c>
      <c r="E1899">
        <f t="shared" si="227"/>
        <v>0</v>
      </c>
      <c r="G1899">
        <v>1849</v>
      </c>
      <c r="H1899" s="13">
        <f t="shared" si="232"/>
        <v>1.8572577375266519E-2</v>
      </c>
      <c r="I1899">
        <f t="shared" si="233"/>
        <v>138.84685983981834</v>
      </c>
      <c r="J1899">
        <f t="shared" si="228"/>
        <v>484.73966456642398</v>
      </c>
      <c r="K1899" s="27">
        <f t="shared" si="229"/>
        <v>4364.1568008273262</v>
      </c>
    </row>
    <row r="1900" spans="1:11" x14ac:dyDescent="0.25">
      <c r="A1900" s="26">
        <v>1850</v>
      </c>
      <c r="B1900" s="82">
        <f t="shared" si="230"/>
        <v>0</v>
      </c>
      <c r="C1900" s="58">
        <f t="shared" si="234"/>
        <v>104.50616427295054</v>
      </c>
      <c r="D1900" s="83">
        <f t="shared" si="231"/>
        <v>445.77777777777789</v>
      </c>
      <c r="E1900">
        <f t="shared" si="227"/>
        <v>0</v>
      </c>
      <c r="G1900">
        <v>1850</v>
      </c>
      <c r="H1900" s="13">
        <f t="shared" si="232"/>
        <v>1.8572577375266519E-2</v>
      </c>
      <c r="I1900">
        <f t="shared" si="233"/>
        <v>138.8654324171936</v>
      </c>
      <c r="J1900">
        <f t="shared" si="228"/>
        <v>484.75200230835873</v>
      </c>
      <c r="K1900" s="27">
        <f t="shared" si="229"/>
        <v>4364.3789029656209</v>
      </c>
    </row>
    <row r="1901" spans="1:11" x14ac:dyDescent="0.25">
      <c r="A1901" s="26">
        <v>1851</v>
      </c>
      <c r="B1901" s="82">
        <f t="shared" si="230"/>
        <v>0</v>
      </c>
      <c r="C1901" s="58">
        <f t="shared" si="234"/>
        <v>104.50616427295054</v>
      </c>
      <c r="D1901" s="83">
        <f t="shared" si="231"/>
        <v>445.77777777777789</v>
      </c>
      <c r="E1901">
        <f t="shared" si="227"/>
        <v>0</v>
      </c>
      <c r="G1901">
        <v>1851</v>
      </c>
      <c r="H1901" s="13">
        <f t="shared" si="232"/>
        <v>1.8572577375266519E-2</v>
      </c>
      <c r="I1901">
        <f t="shared" si="233"/>
        <v>138.88400499456887</v>
      </c>
      <c r="J1901">
        <f t="shared" si="228"/>
        <v>484.76433410085946</v>
      </c>
      <c r="K1901" s="27">
        <f t="shared" si="229"/>
        <v>4364.6009036484147</v>
      </c>
    </row>
    <row r="1902" spans="1:11" x14ac:dyDescent="0.25">
      <c r="A1902" s="26">
        <v>1852</v>
      </c>
      <c r="B1902" s="82">
        <f t="shared" si="230"/>
        <v>0</v>
      </c>
      <c r="C1902" s="58">
        <f t="shared" si="234"/>
        <v>104.50616427295054</v>
      </c>
      <c r="D1902" s="83">
        <f t="shared" si="231"/>
        <v>445.77777777777789</v>
      </c>
      <c r="E1902">
        <f t="shared" si="227"/>
        <v>0</v>
      </c>
      <c r="G1902">
        <v>1852</v>
      </c>
      <c r="H1902" s="13">
        <f t="shared" si="232"/>
        <v>1.8572577375266519E-2</v>
      </c>
      <c r="I1902">
        <f t="shared" si="233"/>
        <v>138.90257757194414</v>
      </c>
      <c r="J1902">
        <f t="shared" si="228"/>
        <v>484.77665994655979</v>
      </c>
      <c r="K1902" s="27">
        <f t="shared" si="229"/>
        <v>4364.822802914935</v>
      </c>
    </row>
    <row r="1903" spans="1:11" x14ac:dyDescent="0.25">
      <c r="A1903" s="26">
        <v>1853</v>
      </c>
      <c r="B1903" s="82">
        <f t="shared" si="230"/>
        <v>0</v>
      </c>
      <c r="C1903" s="58">
        <f t="shared" si="234"/>
        <v>104.50616427295054</v>
      </c>
      <c r="D1903" s="83">
        <f t="shared" si="231"/>
        <v>445.77777777777789</v>
      </c>
      <c r="E1903">
        <f t="shared" si="227"/>
        <v>0</v>
      </c>
      <c r="G1903">
        <v>1853</v>
      </c>
      <c r="H1903" s="13">
        <f t="shared" si="232"/>
        <v>1.8572577375266519E-2</v>
      </c>
      <c r="I1903">
        <f t="shared" si="233"/>
        <v>138.9211501493194</v>
      </c>
      <c r="J1903">
        <f t="shared" si="228"/>
        <v>484.78897984809032</v>
      </c>
      <c r="K1903" s="27">
        <f t="shared" si="229"/>
        <v>4365.0446008043646</v>
      </c>
    </row>
    <row r="1904" spans="1:11" x14ac:dyDescent="0.25">
      <c r="A1904" s="26">
        <v>1854</v>
      </c>
      <c r="B1904" s="82">
        <f t="shared" si="230"/>
        <v>0</v>
      </c>
      <c r="C1904" s="58">
        <f t="shared" si="234"/>
        <v>104.50616427295054</v>
      </c>
      <c r="D1904" s="83">
        <f t="shared" si="231"/>
        <v>445.77777777777789</v>
      </c>
      <c r="E1904">
        <f t="shared" si="227"/>
        <v>0</v>
      </c>
      <c r="G1904">
        <v>1854</v>
      </c>
      <c r="H1904" s="13">
        <f t="shared" si="232"/>
        <v>1.8572577375266519E-2</v>
      </c>
      <c r="I1904">
        <f t="shared" si="233"/>
        <v>138.93972272669467</v>
      </c>
      <c r="J1904">
        <f t="shared" si="228"/>
        <v>484.80129380807904</v>
      </c>
      <c r="K1904" s="27">
        <f t="shared" si="229"/>
        <v>4365.2662973558436</v>
      </c>
    </row>
    <row r="1905" spans="1:11" x14ac:dyDescent="0.25">
      <c r="A1905" s="26">
        <v>1855</v>
      </c>
      <c r="B1905" s="82">
        <f t="shared" si="230"/>
        <v>0</v>
      </c>
      <c r="C1905" s="58">
        <f t="shared" si="234"/>
        <v>104.50616427295054</v>
      </c>
      <c r="D1905" s="83">
        <f t="shared" si="231"/>
        <v>445.77777777777789</v>
      </c>
      <c r="E1905">
        <f t="shared" si="227"/>
        <v>0</v>
      </c>
      <c r="G1905">
        <v>1855</v>
      </c>
      <c r="H1905" s="13">
        <f t="shared" si="232"/>
        <v>1.8572577375266519E-2</v>
      </c>
      <c r="I1905">
        <f t="shared" si="233"/>
        <v>138.95829530406994</v>
      </c>
      <c r="J1905">
        <f t="shared" si="228"/>
        <v>484.81360182915097</v>
      </c>
      <c r="K1905" s="27">
        <f t="shared" si="229"/>
        <v>4365.4878926084748</v>
      </c>
    </row>
    <row r="1906" spans="1:11" x14ac:dyDescent="0.25">
      <c r="A1906" s="26">
        <v>1856</v>
      </c>
      <c r="B1906" s="82">
        <f t="shared" si="230"/>
        <v>0</v>
      </c>
      <c r="C1906" s="58">
        <f t="shared" si="234"/>
        <v>104.50616427295054</v>
      </c>
      <c r="D1906" s="83">
        <f t="shared" si="231"/>
        <v>445.77777777777789</v>
      </c>
      <c r="E1906">
        <f t="shared" si="227"/>
        <v>0</v>
      </c>
      <c r="G1906">
        <v>1856</v>
      </c>
      <c r="H1906" s="13">
        <f t="shared" si="232"/>
        <v>1.8572577375266519E-2</v>
      </c>
      <c r="I1906">
        <f t="shared" si="233"/>
        <v>138.9768678814452</v>
      </c>
      <c r="J1906">
        <f t="shared" si="228"/>
        <v>484.82590391392836</v>
      </c>
      <c r="K1906" s="27">
        <f t="shared" si="229"/>
        <v>4365.7093866013129</v>
      </c>
    </row>
    <row r="1907" spans="1:11" x14ac:dyDescent="0.25">
      <c r="A1907" s="26">
        <v>1857</v>
      </c>
      <c r="B1907" s="82">
        <f t="shared" si="230"/>
        <v>0</v>
      </c>
      <c r="C1907" s="58">
        <f t="shared" si="234"/>
        <v>104.50616427295054</v>
      </c>
      <c r="D1907" s="83">
        <f t="shared" si="231"/>
        <v>445.77777777777789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1.8572577375266519E-2</v>
      </c>
      <c r="I1907">
        <f t="shared" si="233"/>
        <v>138.99544045882047</v>
      </c>
      <c r="J1907">
        <f t="shared" ref="J1907:J1970" si="236">IF($G$28&lt;$C$14,0,((($C$11^2)-((I1907-$C$13)^2))^0.5)+$C$16)</f>
        <v>484.83820006503072</v>
      </c>
      <c r="K1907" s="27">
        <f t="shared" ref="K1907:K1970" si="237">((J1907^2)+(J1907*J1908)+(J1908^2))*H1908/3</f>
        <v>4365.9307793733742</v>
      </c>
    </row>
    <row r="1908" spans="1:11" x14ac:dyDescent="0.25">
      <c r="A1908" s="26">
        <v>1858</v>
      </c>
      <c r="B1908" s="82">
        <f t="shared" ref="B1908:B1971" si="238">C1908-C1907</f>
        <v>0</v>
      </c>
      <c r="C1908" s="58">
        <f t="shared" si="234"/>
        <v>104.50616427295054</v>
      </c>
      <c r="D1908" s="83">
        <f t="shared" ref="D1908:D1971" si="239">IF($G$28&lt;$C$14,0,((($C$11^2)-((C1908-$C$13)^2))^0.5)+$C$16)</f>
        <v>445.77777777777789</v>
      </c>
      <c r="E1908">
        <f t="shared" si="235"/>
        <v>0</v>
      </c>
      <c r="G1908">
        <v>1858</v>
      </c>
      <c r="H1908" s="13">
        <f t="shared" ref="H1908:H1971" si="240">I1908-I1907</f>
        <v>1.8572577375266519E-2</v>
      </c>
      <c r="I1908">
        <f t="shared" ref="I1908:I1971" si="241">($G$27-$C$14)/2000+I1907</f>
        <v>139.01401303619573</v>
      </c>
      <c r="J1908">
        <f t="shared" si="236"/>
        <v>484.85049028507456</v>
      </c>
      <c r="K1908" s="27">
        <f t="shared" si="237"/>
        <v>4366.1520709636343</v>
      </c>
    </row>
    <row r="1909" spans="1:11" x14ac:dyDescent="0.25">
      <c r="A1909" s="26">
        <v>1859</v>
      </c>
      <c r="B1909" s="82">
        <f t="shared" si="238"/>
        <v>0</v>
      </c>
      <c r="C1909" s="58">
        <f t="shared" si="234"/>
        <v>104.50616427295054</v>
      </c>
      <c r="D1909" s="83">
        <f t="shared" si="239"/>
        <v>445.77777777777789</v>
      </c>
      <c r="E1909">
        <f t="shared" si="235"/>
        <v>0</v>
      </c>
      <c r="G1909">
        <v>1859</v>
      </c>
      <c r="H1909" s="13">
        <f t="shared" si="240"/>
        <v>1.8572577375266519E-2</v>
      </c>
      <c r="I1909">
        <f t="shared" si="241"/>
        <v>139.032585613571</v>
      </c>
      <c r="J1909">
        <f t="shared" si="236"/>
        <v>484.86277457667393</v>
      </c>
      <c r="K1909" s="27">
        <f t="shared" si="237"/>
        <v>4366.373261411024</v>
      </c>
    </row>
    <row r="1910" spans="1:11" x14ac:dyDescent="0.25">
      <c r="A1910" s="26">
        <v>1860</v>
      </c>
      <c r="B1910" s="82">
        <f t="shared" si="238"/>
        <v>0</v>
      </c>
      <c r="C1910" s="58">
        <f t="shared" si="234"/>
        <v>104.50616427295054</v>
      </c>
      <c r="D1910" s="83">
        <f t="shared" si="239"/>
        <v>445.77777777777789</v>
      </c>
      <c r="E1910">
        <f t="shared" si="235"/>
        <v>0</v>
      </c>
      <c r="G1910">
        <v>1860</v>
      </c>
      <c r="H1910" s="13">
        <f t="shared" si="240"/>
        <v>1.8572577375266519E-2</v>
      </c>
      <c r="I1910">
        <f t="shared" si="241"/>
        <v>139.05115819094627</v>
      </c>
      <c r="J1910">
        <f t="shared" si="236"/>
        <v>484.87505294243977</v>
      </c>
      <c r="K1910" s="27">
        <f t="shared" si="237"/>
        <v>4366.5943507544353</v>
      </c>
    </row>
    <row r="1911" spans="1:11" x14ac:dyDescent="0.25">
      <c r="A1911" s="26">
        <v>1861</v>
      </c>
      <c r="B1911" s="82">
        <f t="shared" si="238"/>
        <v>0</v>
      </c>
      <c r="C1911" s="58">
        <f t="shared" si="234"/>
        <v>104.50616427295054</v>
      </c>
      <c r="D1911" s="83">
        <f t="shared" si="239"/>
        <v>445.77777777777789</v>
      </c>
      <c r="E1911">
        <f t="shared" si="235"/>
        <v>0</v>
      </c>
      <c r="G1911">
        <v>1861</v>
      </c>
      <c r="H1911" s="13">
        <f t="shared" si="240"/>
        <v>1.8572577375266519E-2</v>
      </c>
      <c r="I1911">
        <f t="shared" si="241"/>
        <v>139.06973076832153</v>
      </c>
      <c r="J1911">
        <f t="shared" si="236"/>
        <v>484.88732538498033</v>
      </c>
      <c r="K1911" s="27">
        <f t="shared" si="237"/>
        <v>4366.815339032717</v>
      </c>
    </row>
    <row r="1912" spans="1:11" x14ac:dyDescent="0.25">
      <c r="A1912" s="26">
        <v>1862</v>
      </c>
      <c r="B1912" s="82">
        <f t="shared" si="238"/>
        <v>0</v>
      </c>
      <c r="C1912" s="58">
        <f t="shared" si="234"/>
        <v>104.50616427295054</v>
      </c>
      <c r="D1912" s="83">
        <f t="shared" si="239"/>
        <v>445.77777777777789</v>
      </c>
      <c r="E1912">
        <f t="shared" si="235"/>
        <v>0</v>
      </c>
      <c r="G1912">
        <v>1862</v>
      </c>
      <c r="H1912" s="13">
        <f t="shared" si="240"/>
        <v>1.8572577375266519E-2</v>
      </c>
      <c r="I1912">
        <f t="shared" si="241"/>
        <v>139.0883033456968</v>
      </c>
      <c r="J1912">
        <f t="shared" si="236"/>
        <v>484.89959190690115</v>
      </c>
      <c r="K1912" s="27">
        <f t="shared" si="237"/>
        <v>4367.0362262846766</v>
      </c>
    </row>
    <row r="1913" spans="1:11" x14ac:dyDescent="0.25">
      <c r="A1913" s="26">
        <v>1863</v>
      </c>
      <c r="B1913" s="82">
        <f t="shared" si="238"/>
        <v>0</v>
      </c>
      <c r="C1913" s="58">
        <f t="shared" si="234"/>
        <v>104.50616427295054</v>
      </c>
      <c r="D1913" s="83">
        <f t="shared" si="239"/>
        <v>445.77777777777789</v>
      </c>
      <c r="E1913">
        <f t="shared" si="235"/>
        <v>0</v>
      </c>
      <c r="G1913">
        <v>1863</v>
      </c>
      <c r="H1913" s="13">
        <f t="shared" si="240"/>
        <v>1.8572577375266519E-2</v>
      </c>
      <c r="I1913">
        <f t="shared" si="241"/>
        <v>139.10687592307207</v>
      </c>
      <c r="J1913">
        <f t="shared" si="236"/>
        <v>484.91185251080486</v>
      </c>
      <c r="K1913" s="27">
        <f t="shared" si="237"/>
        <v>4367.2570125490802</v>
      </c>
    </row>
    <row r="1914" spans="1:11" x14ac:dyDescent="0.25">
      <c r="A1914" s="26">
        <v>1864</v>
      </c>
      <c r="B1914" s="82">
        <f t="shared" si="238"/>
        <v>0</v>
      </c>
      <c r="C1914" s="58">
        <f t="shared" si="234"/>
        <v>104.50616427295054</v>
      </c>
      <c r="D1914" s="83">
        <f t="shared" si="239"/>
        <v>445.77777777777789</v>
      </c>
      <c r="E1914">
        <f t="shared" si="235"/>
        <v>0</v>
      </c>
      <c r="G1914">
        <v>1864</v>
      </c>
      <c r="H1914" s="13">
        <f t="shared" si="240"/>
        <v>1.8572577375266519E-2</v>
      </c>
      <c r="I1914">
        <f t="shared" si="241"/>
        <v>139.12544850044733</v>
      </c>
      <c r="J1914">
        <f t="shared" si="236"/>
        <v>484.92410719929143</v>
      </c>
      <c r="K1914" s="27">
        <f t="shared" si="237"/>
        <v>4367.4776978646541</v>
      </c>
    </row>
    <row r="1915" spans="1:11" x14ac:dyDescent="0.25">
      <c r="A1915" s="26">
        <v>1865</v>
      </c>
      <c r="B1915" s="82">
        <f t="shared" si="238"/>
        <v>0</v>
      </c>
      <c r="C1915" s="58">
        <f t="shared" si="234"/>
        <v>104.50616427295054</v>
      </c>
      <c r="D1915" s="83">
        <f t="shared" si="239"/>
        <v>445.77777777777789</v>
      </c>
      <c r="E1915">
        <f t="shared" si="235"/>
        <v>0</v>
      </c>
      <c r="G1915">
        <v>1865</v>
      </c>
      <c r="H1915" s="13">
        <f t="shared" si="240"/>
        <v>1.8572577375266519E-2</v>
      </c>
      <c r="I1915">
        <f t="shared" si="241"/>
        <v>139.1440210778226</v>
      </c>
      <c r="J1915">
        <f t="shared" si="236"/>
        <v>484.93635597495796</v>
      </c>
      <c r="K1915" s="27">
        <f t="shared" si="237"/>
        <v>4367.6982822700802</v>
      </c>
    </row>
    <row r="1916" spans="1:11" x14ac:dyDescent="0.25">
      <c r="A1916" s="26">
        <v>1866</v>
      </c>
      <c r="B1916" s="82">
        <f t="shared" si="238"/>
        <v>0</v>
      </c>
      <c r="C1916" s="58">
        <f t="shared" si="234"/>
        <v>104.50616427295054</v>
      </c>
      <c r="D1916" s="83">
        <f t="shared" si="239"/>
        <v>445.77777777777789</v>
      </c>
      <c r="E1916">
        <f t="shared" si="235"/>
        <v>0</v>
      </c>
      <c r="G1916">
        <v>1866</v>
      </c>
      <c r="H1916" s="13">
        <f t="shared" si="240"/>
        <v>1.8572577375266519E-2</v>
      </c>
      <c r="I1916">
        <f t="shared" si="241"/>
        <v>139.16259365519787</v>
      </c>
      <c r="J1916">
        <f t="shared" si="236"/>
        <v>484.9485988403988</v>
      </c>
      <c r="K1916" s="27">
        <f t="shared" si="237"/>
        <v>4367.9187658040009</v>
      </c>
    </row>
    <row r="1917" spans="1:11" x14ac:dyDescent="0.25">
      <c r="A1917" s="26">
        <v>1867</v>
      </c>
      <c r="B1917" s="82">
        <f t="shared" si="238"/>
        <v>0</v>
      </c>
      <c r="C1917" s="58">
        <f t="shared" si="234"/>
        <v>104.50616427295054</v>
      </c>
      <c r="D1917" s="83">
        <f t="shared" si="239"/>
        <v>445.77777777777789</v>
      </c>
      <c r="E1917">
        <f t="shared" si="235"/>
        <v>0</v>
      </c>
      <c r="G1917">
        <v>1867</v>
      </c>
      <c r="H1917" s="13">
        <f t="shared" si="240"/>
        <v>1.8572577375266519E-2</v>
      </c>
      <c r="I1917">
        <f t="shared" si="241"/>
        <v>139.18116623257313</v>
      </c>
      <c r="J1917">
        <f t="shared" si="236"/>
        <v>484.96083579820561</v>
      </c>
      <c r="K1917" s="27">
        <f t="shared" si="237"/>
        <v>4368.1391485050181</v>
      </c>
    </row>
    <row r="1918" spans="1:11" x14ac:dyDescent="0.25">
      <c r="A1918" s="26">
        <v>1868</v>
      </c>
      <c r="B1918" s="82">
        <f t="shared" si="238"/>
        <v>0</v>
      </c>
      <c r="C1918" s="58">
        <f t="shared" si="234"/>
        <v>104.50616427295054</v>
      </c>
      <c r="D1918" s="83">
        <f t="shared" si="239"/>
        <v>445.77777777777789</v>
      </c>
      <c r="E1918">
        <f t="shared" si="235"/>
        <v>0</v>
      </c>
      <c r="G1918">
        <v>1868</v>
      </c>
      <c r="H1918" s="13">
        <f t="shared" si="240"/>
        <v>1.8572577375266519E-2</v>
      </c>
      <c r="I1918">
        <f t="shared" si="241"/>
        <v>139.1997388099484</v>
      </c>
      <c r="J1918">
        <f t="shared" si="236"/>
        <v>484.9730668509672</v>
      </c>
      <c r="K1918" s="27">
        <f t="shared" si="237"/>
        <v>4368.3594304116914</v>
      </c>
    </row>
    <row r="1919" spans="1:11" x14ac:dyDescent="0.25">
      <c r="A1919" s="26">
        <v>1869</v>
      </c>
      <c r="B1919" s="82">
        <f t="shared" si="238"/>
        <v>0</v>
      </c>
      <c r="C1919" s="58">
        <f t="shared" si="234"/>
        <v>104.50616427295054</v>
      </c>
      <c r="D1919" s="83">
        <f t="shared" si="239"/>
        <v>445.77777777777789</v>
      </c>
      <c r="E1919">
        <f t="shared" si="235"/>
        <v>0</v>
      </c>
      <c r="G1919">
        <v>1869</v>
      </c>
      <c r="H1919" s="13">
        <f t="shared" si="240"/>
        <v>1.8572577375266519E-2</v>
      </c>
      <c r="I1919">
        <f t="shared" si="241"/>
        <v>139.21831138732367</v>
      </c>
      <c r="J1919">
        <f t="shared" si="236"/>
        <v>484.98529200126956</v>
      </c>
      <c r="K1919" s="27">
        <f t="shared" si="237"/>
        <v>4368.579611562539</v>
      </c>
    </row>
    <row r="1920" spans="1:11" x14ac:dyDescent="0.25">
      <c r="A1920" s="26">
        <v>1870</v>
      </c>
      <c r="B1920" s="82">
        <f t="shared" si="238"/>
        <v>0</v>
      </c>
      <c r="C1920" s="58">
        <f t="shared" si="234"/>
        <v>104.50616427295054</v>
      </c>
      <c r="D1920" s="83">
        <f t="shared" si="239"/>
        <v>445.77777777777789</v>
      </c>
      <c r="E1920">
        <f t="shared" si="235"/>
        <v>0</v>
      </c>
      <c r="G1920">
        <v>1870</v>
      </c>
      <c r="H1920" s="13">
        <f t="shared" si="240"/>
        <v>1.8572577375266519E-2</v>
      </c>
      <c r="I1920">
        <f t="shared" si="241"/>
        <v>139.23688396469893</v>
      </c>
      <c r="J1920">
        <f t="shared" si="236"/>
        <v>484.9975112516961</v>
      </c>
      <c r="K1920" s="27">
        <f t="shared" si="237"/>
        <v>4368.7996919960397</v>
      </c>
    </row>
    <row r="1921" spans="1:11" x14ac:dyDescent="0.25">
      <c r="A1921" s="26">
        <v>1871</v>
      </c>
      <c r="B1921" s="82">
        <f t="shared" si="238"/>
        <v>0</v>
      </c>
      <c r="C1921" s="58">
        <f t="shared" si="234"/>
        <v>104.50616427295054</v>
      </c>
      <c r="D1921" s="83">
        <f t="shared" si="239"/>
        <v>445.77777777777789</v>
      </c>
      <c r="E1921">
        <f t="shared" si="235"/>
        <v>0</v>
      </c>
      <c r="G1921">
        <v>1871</v>
      </c>
      <c r="H1921" s="13">
        <f t="shared" si="240"/>
        <v>1.8572577375266519E-2</v>
      </c>
      <c r="I1921">
        <f t="shared" si="241"/>
        <v>139.2554565420742</v>
      </c>
      <c r="J1921">
        <f t="shared" si="236"/>
        <v>485.0097246048274</v>
      </c>
      <c r="K1921" s="27">
        <f t="shared" si="237"/>
        <v>4369.0196717506287</v>
      </c>
    </row>
    <row r="1922" spans="1:11" x14ac:dyDescent="0.25">
      <c r="A1922" s="26">
        <v>1872</v>
      </c>
      <c r="B1922" s="82">
        <f t="shared" si="238"/>
        <v>0</v>
      </c>
      <c r="C1922" s="58">
        <f t="shared" si="234"/>
        <v>104.50616427295054</v>
      </c>
      <c r="D1922" s="83">
        <f t="shared" si="239"/>
        <v>445.77777777777789</v>
      </c>
      <c r="E1922">
        <f t="shared" si="235"/>
        <v>0</v>
      </c>
      <c r="G1922">
        <v>1872</v>
      </c>
      <c r="H1922" s="13">
        <f t="shared" si="240"/>
        <v>1.8572577375266519E-2</v>
      </c>
      <c r="I1922">
        <f t="shared" si="241"/>
        <v>139.27402911944947</v>
      </c>
      <c r="J1922">
        <f t="shared" si="236"/>
        <v>485.0219320632412</v>
      </c>
      <c r="K1922" s="27">
        <f t="shared" si="237"/>
        <v>4369.2395508647032</v>
      </c>
    </row>
    <row r="1923" spans="1:11" x14ac:dyDescent="0.25">
      <c r="A1923" s="26">
        <v>1873</v>
      </c>
      <c r="B1923" s="82">
        <f t="shared" si="238"/>
        <v>0</v>
      </c>
      <c r="C1923" s="58">
        <f t="shared" si="234"/>
        <v>104.50616427295054</v>
      </c>
      <c r="D1923" s="83">
        <f t="shared" si="239"/>
        <v>445.77777777777789</v>
      </c>
      <c r="E1923">
        <f t="shared" si="235"/>
        <v>0</v>
      </c>
      <c r="G1923">
        <v>1873</v>
      </c>
      <c r="H1923" s="13">
        <f t="shared" si="240"/>
        <v>1.8572577375266519E-2</v>
      </c>
      <c r="I1923">
        <f t="shared" si="241"/>
        <v>139.29260169682473</v>
      </c>
      <c r="J1923">
        <f t="shared" si="236"/>
        <v>485.03413362951255</v>
      </c>
      <c r="K1923" s="27">
        <f t="shared" si="237"/>
        <v>4369.4593293766166</v>
      </c>
    </row>
    <row r="1924" spans="1:11" x14ac:dyDescent="0.25">
      <c r="A1924" s="26">
        <v>1874</v>
      </c>
      <c r="B1924" s="82">
        <f t="shared" si="238"/>
        <v>0</v>
      </c>
      <c r="C1924" s="58">
        <f t="shared" si="234"/>
        <v>104.50616427295054</v>
      </c>
      <c r="D1924" s="83">
        <f t="shared" si="239"/>
        <v>445.77777777777789</v>
      </c>
      <c r="E1924">
        <f t="shared" si="235"/>
        <v>0</v>
      </c>
      <c r="G1924">
        <v>1874</v>
      </c>
      <c r="H1924" s="13">
        <f t="shared" si="240"/>
        <v>1.8572577375266519E-2</v>
      </c>
      <c r="I1924">
        <f t="shared" si="241"/>
        <v>139.3111742742</v>
      </c>
      <c r="J1924">
        <f t="shared" si="236"/>
        <v>485.04632930621386</v>
      </c>
      <c r="K1924" s="27">
        <f t="shared" si="237"/>
        <v>4369.6790073246839</v>
      </c>
    </row>
    <row r="1925" spans="1:11" x14ac:dyDescent="0.25">
      <c r="A1925" s="26">
        <v>1875</v>
      </c>
      <c r="B1925" s="82">
        <f t="shared" si="238"/>
        <v>0</v>
      </c>
      <c r="C1925" s="58">
        <f t="shared" si="234"/>
        <v>104.50616427295054</v>
      </c>
      <c r="D1925" s="83">
        <f t="shared" si="239"/>
        <v>445.77777777777789</v>
      </c>
      <c r="E1925">
        <f t="shared" si="235"/>
        <v>0</v>
      </c>
      <c r="G1925">
        <v>1875</v>
      </c>
      <c r="H1925" s="13">
        <f t="shared" si="240"/>
        <v>1.8572577375266519E-2</v>
      </c>
      <c r="I1925">
        <f t="shared" si="241"/>
        <v>139.32974685157527</v>
      </c>
      <c r="J1925">
        <f t="shared" si="236"/>
        <v>485.05851909591468</v>
      </c>
      <c r="K1925" s="27">
        <f t="shared" si="237"/>
        <v>4369.8985847471777</v>
      </c>
    </row>
    <row r="1926" spans="1:11" x14ac:dyDescent="0.25">
      <c r="A1926" s="26">
        <v>1876</v>
      </c>
      <c r="B1926" s="82">
        <f t="shared" si="238"/>
        <v>0</v>
      </c>
      <c r="C1926" s="58">
        <f t="shared" si="234"/>
        <v>104.50616427295054</v>
      </c>
      <c r="D1926" s="83">
        <f t="shared" si="239"/>
        <v>445.77777777777789</v>
      </c>
      <c r="E1926">
        <f t="shared" si="235"/>
        <v>0</v>
      </c>
      <c r="G1926">
        <v>1876</v>
      </c>
      <c r="H1926" s="13">
        <f t="shared" si="240"/>
        <v>1.8572577375266519E-2</v>
      </c>
      <c r="I1926">
        <f t="shared" si="241"/>
        <v>139.34831942895053</v>
      </c>
      <c r="J1926">
        <f t="shared" si="236"/>
        <v>485.07070300118181</v>
      </c>
      <c r="K1926" s="27">
        <f t="shared" si="237"/>
        <v>4370.1180616823312</v>
      </c>
    </row>
    <row r="1927" spans="1:11" x14ac:dyDescent="0.25">
      <c r="A1927" s="26">
        <v>1877</v>
      </c>
      <c r="B1927" s="82">
        <f t="shared" si="238"/>
        <v>0</v>
      </c>
      <c r="C1927" s="58">
        <f t="shared" si="234"/>
        <v>104.50616427295054</v>
      </c>
      <c r="D1927" s="83">
        <f t="shared" si="239"/>
        <v>445.77777777777789</v>
      </c>
      <c r="E1927">
        <f t="shared" si="235"/>
        <v>0</v>
      </c>
      <c r="G1927">
        <v>1877</v>
      </c>
      <c r="H1927" s="13">
        <f t="shared" si="240"/>
        <v>1.8572577375266519E-2</v>
      </c>
      <c r="I1927">
        <f t="shared" si="241"/>
        <v>139.3668920063258</v>
      </c>
      <c r="J1927">
        <f t="shared" si="236"/>
        <v>485.08288102457948</v>
      </c>
      <c r="K1927" s="27">
        <f t="shared" si="237"/>
        <v>4370.337438168337</v>
      </c>
    </row>
    <row r="1928" spans="1:11" x14ac:dyDescent="0.25">
      <c r="A1928" s="26">
        <v>1878</v>
      </c>
      <c r="B1928" s="82">
        <f t="shared" si="238"/>
        <v>0</v>
      </c>
      <c r="C1928" s="58">
        <f t="shared" si="234"/>
        <v>104.50616427295054</v>
      </c>
      <c r="D1928" s="83">
        <f t="shared" si="239"/>
        <v>445.77777777777789</v>
      </c>
      <c r="E1928">
        <f t="shared" si="235"/>
        <v>0</v>
      </c>
      <c r="G1928">
        <v>1878</v>
      </c>
      <c r="H1928" s="13">
        <f t="shared" si="240"/>
        <v>1.8572577375266519E-2</v>
      </c>
      <c r="I1928">
        <f t="shared" si="241"/>
        <v>139.38546458370107</v>
      </c>
      <c r="J1928">
        <f t="shared" si="236"/>
        <v>485.09505316866904</v>
      </c>
      <c r="K1928" s="27">
        <f t="shared" si="237"/>
        <v>4370.5567142433456</v>
      </c>
    </row>
    <row r="1929" spans="1:11" x14ac:dyDescent="0.25">
      <c r="A1929" s="26">
        <v>1879</v>
      </c>
      <c r="B1929" s="82">
        <f t="shared" si="238"/>
        <v>0</v>
      </c>
      <c r="C1929" s="58">
        <f t="shared" si="234"/>
        <v>104.50616427295054</v>
      </c>
      <c r="D1929" s="83">
        <f t="shared" si="239"/>
        <v>445.77777777777789</v>
      </c>
      <c r="E1929">
        <f t="shared" si="235"/>
        <v>0</v>
      </c>
      <c r="G1929">
        <v>1879</v>
      </c>
      <c r="H1929" s="13">
        <f t="shared" si="240"/>
        <v>1.8572577375266519E-2</v>
      </c>
      <c r="I1929">
        <f t="shared" si="241"/>
        <v>139.40403716107633</v>
      </c>
      <c r="J1929">
        <f t="shared" si="236"/>
        <v>485.10721943600913</v>
      </c>
      <c r="K1929" s="27">
        <f t="shared" si="237"/>
        <v>4370.7758899454666</v>
      </c>
    </row>
    <row r="1930" spans="1:11" x14ac:dyDescent="0.25">
      <c r="A1930" s="26">
        <v>1880</v>
      </c>
      <c r="B1930" s="82">
        <f t="shared" si="238"/>
        <v>0</v>
      </c>
      <c r="C1930" s="58">
        <f t="shared" si="234"/>
        <v>104.50616427295054</v>
      </c>
      <c r="D1930" s="83">
        <f t="shared" si="239"/>
        <v>445.77777777777789</v>
      </c>
      <c r="E1930">
        <f t="shared" si="235"/>
        <v>0</v>
      </c>
      <c r="G1930">
        <v>1880</v>
      </c>
      <c r="H1930" s="13">
        <f t="shared" si="240"/>
        <v>1.8572577375266519E-2</v>
      </c>
      <c r="I1930">
        <f t="shared" si="241"/>
        <v>139.4226097384516</v>
      </c>
      <c r="J1930">
        <f t="shared" si="236"/>
        <v>485.11937982915572</v>
      </c>
      <c r="K1930" s="27">
        <f t="shared" si="237"/>
        <v>4370.9949653127715</v>
      </c>
    </row>
    <row r="1931" spans="1:11" x14ac:dyDescent="0.25">
      <c r="A1931" s="26">
        <v>1881</v>
      </c>
      <c r="B1931" s="82">
        <f t="shared" si="238"/>
        <v>0</v>
      </c>
      <c r="C1931" s="58">
        <f t="shared" si="234"/>
        <v>104.50616427295054</v>
      </c>
      <c r="D1931" s="83">
        <f t="shared" si="239"/>
        <v>445.77777777777789</v>
      </c>
      <c r="E1931">
        <f t="shared" si="235"/>
        <v>0</v>
      </c>
      <c r="G1931">
        <v>1881</v>
      </c>
      <c r="H1931" s="13">
        <f t="shared" si="240"/>
        <v>1.8572577375266519E-2</v>
      </c>
      <c r="I1931">
        <f t="shared" si="241"/>
        <v>139.44118231582686</v>
      </c>
      <c r="J1931">
        <f t="shared" si="236"/>
        <v>485.13153435066209</v>
      </c>
      <c r="K1931" s="27">
        <f t="shared" si="237"/>
        <v>4371.2139403832907</v>
      </c>
    </row>
    <row r="1932" spans="1:11" x14ac:dyDescent="0.25">
      <c r="A1932" s="26">
        <v>1882</v>
      </c>
      <c r="B1932" s="82">
        <f t="shared" si="238"/>
        <v>0</v>
      </c>
      <c r="C1932" s="58">
        <f t="shared" si="234"/>
        <v>104.50616427295054</v>
      </c>
      <c r="D1932" s="83">
        <f t="shared" si="239"/>
        <v>445.77777777777789</v>
      </c>
      <c r="E1932">
        <f t="shared" si="235"/>
        <v>0</v>
      </c>
      <c r="G1932">
        <v>1882</v>
      </c>
      <c r="H1932" s="13">
        <f t="shared" si="240"/>
        <v>1.8572577375266519E-2</v>
      </c>
      <c r="I1932">
        <f t="shared" si="241"/>
        <v>139.45975489320213</v>
      </c>
      <c r="J1932">
        <f t="shared" si="236"/>
        <v>485.14368300307876</v>
      </c>
      <c r="K1932" s="27">
        <f t="shared" si="237"/>
        <v>4371.4328151950122</v>
      </c>
    </row>
    <row r="1933" spans="1:11" x14ac:dyDescent="0.25">
      <c r="A1933" s="26">
        <v>1883</v>
      </c>
      <c r="B1933" s="82">
        <f t="shared" si="238"/>
        <v>0</v>
      </c>
      <c r="C1933" s="58">
        <f t="shared" si="234"/>
        <v>104.50616427295054</v>
      </c>
      <c r="D1933" s="83">
        <f t="shared" si="239"/>
        <v>445.77777777777789</v>
      </c>
      <c r="E1933">
        <f t="shared" si="235"/>
        <v>0</v>
      </c>
      <c r="G1933">
        <v>1883</v>
      </c>
      <c r="H1933" s="13">
        <f t="shared" si="240"/>
        <v>1.8572577375266519E-2</v>
      </c>
      <c r="I1933">
        <f t="shared" si="241"/>
        <v>139.4783274705774</v>
      </c>
      <c r="J1933">
        <f t="shared" si="236"/>
        <v>485.15582578895356</v>
      </c>
      <c r="K1933" s="27">
        <f t="shared" si="237"/>
        <v>4371.6515897858872</v>
      </c>
    </row>
    <row r="1934" spans="1:11" x14ac:dyDescent="0.25">
      <c r="A1934" s="26">
        <v>1884</v>
      </c>
      <c r="B1934" s="82">
        <f t="shared" si="238"/>
        <v>0</v>
      </c>
      <c r="C1934" s="58">
        <f t="shared" si="234"/>
        <v>104.50616427295054</v>
      </c>
      <c r="D1934" s="83">
        <f t="shared" si="239"/>
        <v>445.77777777777789</v>
      </c>
      <c r="E1934">
        <f t="shared" si="235"/>
        <v>0</v>
      </c>
      <c r="G1934">
        <v>1884</v>
      </c>
      <c r="H1934" s="13">
        <f t="shared" si="240"/>
        <v>1.8572577375266519E-2</v>
      </c>
      <c r="I1934">
        <f t="shared" si="241"/>
        <v>139.49690004795266</v>
      </c>
      <c r="J1934">
        <f t="shared" si="236"/>
        <v>485.16796271083155</v>
      </c>
      <c r="K1934" s="27">
        <f t="shared" si="237"/>
        <v>4371.8702641938207</v>
      </c>
    </row>
    <row r="1935" spans="1:11" x14ac:dyDescent="0.25">
      <c r="A1935" s="26">
        <v>1885</v>
      </c>
      <c r="B1935" s="82">
        <f t="shared" si="238"/>
        <v>0</v>
      </c>
      <c r="C1935" s="58">
        <f t="shared" si="234"/>
        <v>104.50616427295054</v>
      </c>
      <c r="D1935" s="83">
        <f t="shared" si="239"/>
        <v>445.77777777777789</v>
      </c>
      <c r="E1935">
        <f t="shared" si="235"/>
        <v>0</v>
      </c>
      <c r="G1935">
        <v>1885</v>
      </c>
      <c r="H1935" s="13">
        <f t="shared" si="240"/>
        <v>1.8572577375266519E-2</v>
      </c>
      <c r="I1935">
        <f t="shared" si="241"/>
        <v>139.51547262532793</v>
      </c>
      <c r="J1935">
        <f t="shared" si="236"/>
        <v>485.1800937712552</v>
      </c>
      <c r="K1935" s="27">
        <f t="shared" si="237"/>
        <v>4372.0888384566861</v>
      </c>
    </row>
    <row r="1936" spans="1:11" x14ac:dyDescent="0.25">
      <c r="A1936" s="26">
        <v>1886</v>
      </c>
      <c r="B1936" s="82">
        <f t="shared" si="238"/>
        <v>0</v>
      </c>
      <c r="C1936" s="58">
        <f t="shared" ref="C1936:C1999" si="242">($C$37-$C$36)/2000+C1935</f>
        <v>104.50616427295054</v>
      </c>
      <c r="D1936" s="83">
        <f t="shared" si="239"/>
        <v>445.77777777777789</v>
      </c>
      <c r="E1936">
        <f t="shared" si="235"/>
        <v>0</v>
      </c>
      <c r="G1936">
        <v>1886</v>
      </c>
      <c r="H1936" s="13">
        <f t="shared" si="240"/>
        <v>1.8572577375266519E-2</v>
      </c>
      <c r="I1936">
        <f t="shared" si="241"/>
        <v>139.5340452027032</v>
      </c>
      <c r="J1936">
        <f t="shared" si="236"/>
        <v>485.19221897276424</v>
      </c>
      <c r="K1936" s="27">
        <f t="shared" si="237"/>
        <v>4372.3073126123081</v>
      </c>
    </row>
    <row r="1937" spans="1:11" x14ac:dyDescent="0.25">
      <c r="A1937" s="26">
        <v>1887</v>
      </c>
      <c r="B1937" s="82">
        <f t="shared" si="238"/>
        <v>0</v>
      </c>
      <c r="C1937" s="58">
        <f t="shared" si="242"/>
        <v>104.50616427295054</v>
      </c>
      <c r="D1937" s="83">
        <f t="shared" si="239"/>
        <v>445.77777777777789</v>
      </c>
      <c r="E1937">
        <f t="shared" si="235"/>
        <v>0</v>
      </c>
      <c r="G1937">
        <v>1887</v>
      </c>
      <c r="H1937" s="13">
        <f t="shared" si="240"/>
        <v>1.8572577375266519E-2</v>
      </c>
      <c r="I1937">
        <f t="shared" si="241"/>
        <v>139.55261778007846</v>
      </c>
      <c r="J1937">
        <f t="shared" si="236"/>
        <v>485.20433831789569</v>
      </c>
      <c r="K1937" s="27">
        <f t="shared" si="237"/>
        <v>4372.5256866984791</v>
      </c>
    </row>
    <row r="1938" spans="1:11" x14ac:dyDescent="0.25">
      <c r="A1938" s="26">
        <v>1888</v>
      </c>
      <c r="B1938" s="82">
        <f t="shared" si="238"/>
        <v>0</v>
      </c>
      <c r="C1938" s="58">
        <f t="shared" si="242"/>
        <v>104.50616427295054</v>
      </c>
      <c r="D1938" s="83">
        <f t="shared" si="239"/>
        <v>445.77777777777789</v>
      </c>
      <c r="E1938">
        <f t="shared" si="235"/>
        <v>0</v>
      </c>
      <c r="G1938">
        <v>1888</v>
      </c>
      <c r="H1938" s="13">
        <f t="shared" si="240"/>
        <v>1.8572577375266519E-2</v>
      </c>
      <c r="I1938">
        <f t="shared" si="241"/>
        <v>139.57119035745373</v>
      </c>
      <c r="J1938">
        <f t="shared" si="236"/>
        <v>485.21645180918387</v>
      </c>
      <c r="K1938" s="27">
        <f t="shared" si="237"/>
        <v>4372.7439607529432</v>
      </c>
    </row>
    <row r="1939" spans="1:11" x14ac:dyDescent="0.25">
      <c r="A1939" s="26">
        <v>1889</v>
      </c>
      <c r="B1939" s="82">
        <f t="shared" si="238"/>
        <v>0</v>
      </c>
      <c r="C1939" s="58">
        <f t="shared" si="242"/>
        <v>104.50616427295054</v>
      </c>
      <c r="D1939" s="83">
        <f t="shared" si="239"/>
        <v>445.77777777777789</v>
      </c>
      <c r="E1939">
        <f t="shared" si="235"/>
        <v>0</v>
      </c>
      <c r="G1939">
        <v>1889</v>
      </c>
      <c r="H1939" s="13">
        <f t="shared" si="240"/>
        <v>1.8572577375266519E-2</v>
      </c>
      <c r="I1939">
        <f t="shared" si="241"/>
        <v>139.589762934829</v>
      </c>
      <c r="J1939">
        <f t="shared" si="236"/>
        <v>485.22855944916046</v>
      </c>
      <c r="K1939" s="27">
        <f t="shared" si="237"/>
        <v>4372.9621348134106</v>
      </c>
    </row>
    <row r="1940" spans="1:11" x14ac:dyDescent="0.25">
      <c r="A1940" s="26">
        <v>1890</v>
      </c>
      <c r="B1940" s="82">
        <f t="shared" si="238"/>
        <v>0</v>
      </c>
      <c r="C1940" s="58">
        <f t="shared" si="242"/>
        <v>104.50616427295054</v>
      </c>
      <c r="D1940" s="83">
        <f t="shared" si="239"/>
        <v>445.77777777777789</v>
      </c>
      <c r="E1940">
        <f t="shared" si="235"/>
        <v>0</v>
      </c>
      <c r="G1940">
        <v>1890</v>
      </c>
      <c r="H1940" s="13">
        <f t="shared" si="240"/>
        <v>1.8572577375266519E-2</v>
      </c>
      <c r="I1940">
        <f t="shared" si="241"/>
        <v>139.60833551220426</v>
      </c>
      <c r="J1940">
        <f t="shared" si="236"/>
        <v>485.24066124035443</v>
      </c>
      <c r="K1940" s="27">
        <f t="shared" si="237"/>
        <v>4373.1802089175499</v>
      </c>
    </row>
    <row r="1941" spans="1:11" x14ac:dyDescent="0.25">
      <c r="A1941" s="26">
        <v>1891</v>
      </c>
      <c r="B1941" s="82">
        <f t="shared" si="238"/>
        <v>0</v>
      </c>
      <c r="C1941" s="58">
        <f t="shared" si="242"/>
        <v>104.50616427295054</v>
      </c>
      <c r="D1941" s="83">
        <f t="shared" si="239"/>
        <v>445.77777777777789</v>
      </c>
      <c r="E1941">
        <f t="shared" si="235"/>
        <v>0</v>
      </c>
      <c r="G1941">
        <v>1891</v>
      </c>
      <c r="H1941" s="13">
        <f t="shared" si="240"/>
        <v>1.8572577375266519E-2</v>
      </c>
      <c r="I1941">
        <f t="shared" si="241"/>
        <v>139.62690808957953</v>
      </c>
      <c r="J1941">
        <f t="shared" si="236"/>
        <v>485.25275718529207</v>
      </c>
      <c r="K1941" s="27">
        <f t="shared" si="237"/>
        <v>4373.3981831029896</v>
      </c>
    </row>
    <row r="1942" spans="1:11" x14ac:dyDescent="0.25">
      <c r="A1942" s="26">
        <v>1892</v>
      </c>
      <c r="B1942" s="82">
        <f t="shared" si="238"/>
        <v>0</v>
      </c>
      <c r="C1942" s="58">
        <f t="shared" si="242"/>
        <v>104.50616427295054</v>
      </c>
      <c r="D1942" s="83">
        <f t="shared" si="239"/>
        <v>445.77777777777789</v>
      </c>
      <c r="E1942">
        <f t="shared" si="235"/>
        <v>0</v>
      </c>
      <c r="G1942">
        <v>1892</v>
      </c>
      <c r="H1942" s="13">
        <f t="shared" si="240"/>
        <v>1.8572577375266519E-2</v>
      </c>
      <c r="I1942">
        <f t="shared" si="241"/>
        <v>139.6454806669548</v>
      </c>
      <c r="J1942">
        <f t="shared" si="236"/>
        <v>485.264847286497</v>
      </c>
      <c r="K1942" s="27">
        <f t="shared" si="237"/>
        <v>4373.6160574073192</v>
      </c>
    </row>
    <row r="1943" spans="1:11" x14ac:dyDescent="0.25">
      <c r="A1943" s="26">
        <v>1893</v>
      </c>
      <c r="B1943" s="82">
        <f t="shared" si="238"/>
        <v>0</v>
      </c>
      <c r="C1943" s="58">
        <f t="shared" si="242"/>
        <v>104.50616427295054</v>
      </c>
      <c r="D1943" s="83">
        <f t="shared" si="239"/>
        <v>445.77777777777789</v>
      </c>
      <c r="E1943">
        <f t="shared" si="235"/>
        <v>0</v>
      </c>
      <c r="G1943">
        <v>1893</v>
      </c>
      <c r="H1943" s="13">
        <f t="shared" si="240"/>
        <v>1.8572577375266519E-2</v>
      </c>
      <c r="I1943">
        <f t="shared" si="241"/>
        <v>139.66405324433006</v>
      </c>
      <c r="J1943">
        <f t="shared" si="236"/>
        <v>485.27693154649018</v>
      </c>
      <c r="K1943" s="27">
        <f t="shared" si="237"/>
        <v>4373.8338318680862</v>
      </c>
    </row>
    <row r="1944" spans="1:11" x14ac:dyDescent="0.25">
      <c r="A1944" s="26">
        <v>1894</v>
      </c>
      <c r="B1944" s="82">
        <f t="shared" si="238"/>
        <v>0</v>
      </c>
      <c r="C1944" s="58">
        <f t="shared" si="242"/>
        <v>104.50616427295054</v>
      </c>
      <c r="D1944" s="83">
        <f t="shared" si="239"/>
        <v>445.77777777777789</v>
      </c>
      <c r="E1944">
        <f t="shared" si="235"/>
        <v>0</v>
      </c>
      <c r="G1944">
        <v>1894</v>
      </c>
      <c r="H1944" s="13">
        <f t="shared" si="240"/>
        <v>1.8572577375266519E-2</v>
      </c>
      <c r="I1944">
        <f t="shared" si="241"/>
        <v>139.68262582170533</v>
      </c>
      <c r="J1944">
        <f t="shared" si="236"/>
        <v>485.28900996778992</v>
      </c>
      <c r="K1944" s="27">
        <f t="shared" si="237"/>
        <v>4374.0515065228001</v>
      </c>
    </row>
    <row r="1945" spans="1:11" x14ac:dyDescent="0.25">
      <c r="A1945" s="26">
        <v>1895</v>
      </c>
      <c r="B1945" s="82">
        <f t="shared" si="238"/>
        <v>0</v>
      </c>
      <c r="C1945" s="58">
        <f t="shared" si="242"/>
        <v>104.50616427295054</v>
      </c>
      <c r="D1945" s="83">
        <f t="shared" si="239"/>
        <v>445.77777777777789</v>
      </c>
      <c r="E1945">
        <f t="shared" si="235"/>
        <v>0</v>
      </c>
      <c r="G1945">
        <v>1895</v>
      </c>
      <c r="H1945" s="13">
        <f t="shared" si="240"/>
        <v>1.8572577375266519E-2</v>
      </c>
      <c r="I1945">
        <f t="shared" si="241"/>
        <v>139.7011983990806</v>
      </c>
      <c r="J1945">
        <f t="shared" si="236"/>
        <v>485.30108255291179</v>
      </c>
      <c r="K1945" s="27">
        <f t="shared" si="237"/>
        <v>4374.2690814089319</v>
      </c>
    </row>
    <row r="1946" spans="1:11" x14ac:dyDescent="0.25">
      <c r="A1946" s="26">
        <v>1896</v>
      </c>
      <c r="B1946" s="82">
        <f t="shared" si="238"/>
        <v>0</v>
      </c>
      <c r="C1946" s="58">
        <f t="shared" si="242"/>
        <v>104.50616427295054</v>
      </c>
      <c r="D1946" s="83">
        <f t="shared" si="239"/>
        <v>445.77777777777789</v>
      </c>
      <c r="E1946">
        <f t="shared" si="235"/>
        <v>0</v>
      </c>
      <c r="G1946">
        <v>1896</v>
      </c>
      <c r="H1946" s="13">
        <f t="shared" si="240"/>
        <v>1.8572577375266519E-2</v>
      </c>
      <c r="I1946">
        <f t="shared" si="241"/>
        <v>139.71977097645586</v>
      </c>
      <c r="J1946">
        <f t="shared" si="236"/>
        <v>485.31314930436878</v>
      </c>
      <c r="K1946" s="27">
        <f t="shared" si="237"/>
        <v>4374.4865565639093</v>
      </c>
    </row>
    <row r="1947" spans="1:11" x14ac:dyDescent="0.25">
      <c r="A1947" s="26">
        <v>1897</v>
      </c>
      <c r="B1947" s="82">
        <f t="shared" si="238"/>
        <v>0</v>
      </c>
      <c r="C1947" s="58">
        <f t="shared" si="242"/>
        <v>104.50616427295054</v>
      </c>
      <c r="D1947" s="83">
        <f t="shared" si="239"/>
        <v>445.77777777777789</v>
      </c>
      <c r="E1947">
        <f t="shared" si="235"/>
        <v>0</v>
      </c>
      <c r="G1947">
        <v>1897</v>
      </c>
      <c r="H1947" s="13">
        <f t="shared" si="240"/>
        <v>1.8572577375266519E-2</v>
      </c>
      <c r="I1947">
        <f t="shared" si="241"/>
        <v>139.73834355383113</v>
      </c>
      <c r="J1947">
        <f t="shared" si="236"/>
        <v>485.3252102246712</v>
      </c>
      <c r="K1947" s="27">
        <f t="shared" si="237"/>
        <v>4374.7039320251251</v>
      </c>
    </row>
    <row r="1948" spans="1:11" x14ac:dyDescent="0.25">
      <c r="A1948" s="26">
        <v>1898</v>
      </c>
      <c r="B1948" s="82">
        <f t="shared" si="238"/>
        <v>0</v>
      </c>
      <c r="C1948" s="58">
        <f t="shared" si="242"/>
        <v>104.50616427295054</v>
      </c>
      <c r="D1948" s="83">
        <f t="shared" si="239"/>
        <v>445.77777777777789</v>
      </c>
      <c r="E1948">
        <f t="shared" si="235"/>
        <v>0</v>
      </c>
      <c r="G1948">
        <v>1898</v>
      </c>
      <c r="H1948" s="13">
        <f t="shared" si="240"/>
        <v>1.8572577375266519E-2</v>
      </c>
      <c r="I1948">
        <f t="shared" si="241"/>
        <v>139.7569161312064</v>
      </c>
      <c r="J1948">
        <f t="shared" si="236"/>
        <v>485.33726531632675</v>
      </c>
      <c r="K1948" s="27">
        <f t="shared" si="237"/>
        <v>4374.9212078299288</v>
      </c>
    </row>
    <row r="1949" spans="1:11" x14ac:dyDescent="0.25">
      <c r="A1949" s="26">
        <v>1899</v>
      </c>
      <c r="B1949" s="82">
        <f t="shared" si="238"/>
        <v>0</v>
      </c>
      <c r="C1949" s="58">
        <f t="shared" si="242"/>
        <v>104.50616427295054</v>
      </c>
      <c r="D1949" s="83">
        <f t="shared" si="239"/>
        <v>445.77777777777789</v>
      </c>
      <c r="E1949">
        <f t="shared" si="235"/>
        <v>0</v>
      </c>
      <c r="G1949">
        <v>1899</v>
      </c>
      <c r="H1949" s="13">
        <f t="shared" si="240"/>
        <v>1.8572577375266519E-2</v>
      </c>
      <c r="I1949">
        <f t="shared" si="241"/>
        <v>139.77548870858166</v>
      </c>
      <c r="J1949">
        <f t="shared" si="236"/>
        <v>485.34931458184036</v>
      </c>
      <c r="K1949" s="27">
        <f t="shared" si="237"/>
        <v>4375.1383840156313</v>
      </c>
    </row>
    <row r="1950" spans="1:11" x14ac:dyDescent="0.25">
      <c r="A1950" s="26">
        <v>1900</v>
      </c>
      <c r="B1950" s="82">
        <f t="shared" si="238"/>
        <v>0</v>
      </c>
      <c r="C1950" s="58">
        <f t="shared" si="242"/>
        <v>104.50616427295054</v>
      </c>
      <c r="D1950" s="83">
        <f t="shared" si="239"/>
        <v>445.77777777777789</v>
      </c>
      <c r="E1950">
        <f t="shared" si="235"/>
        <v>0</v>
      </c>
      <c r="G1950">
        <v>1900</v>
      </c>
      <c r="H1950" s="13">
        <f t="shared" si="240"/>
        <v>1.8572577375266519E-2</v>
      </c>
      <c r="I1950">
        <f t="shared" si="241"/>
        <v>139.79406128595693</v>
      </c>
      <c r="J1950">
        <f t="shared" si="236"/>
        <v>485.36135802371439</v>
      </c>
      <c r="K1950" s="27">
        <f t="shared" si="237"/>
        <v>4375.3554606195075</v>
      </c>
    </row>
    <row r="1951" spans="1:11" x14ac:dyDescent="0.25">
      <c r="A1951" s="26">
        <v>1901</v>
      </c>
      <c r="B1951" s="82">
        <f t="shared" si="238"/>
        <v>0</v>
      </c>
      <c r="C1951" s="58">
        <f t="shared" si="242"/>
        <v>104.50616427295054</v>
      </c>
      <c r="D1951" s="83">
        <f t="shared" si="239"/>
        <v>445.77777777777789</v>
      </c>
      <c r="E1951">
        <f t="shared" si="235"/>
        <v>0</v>
      </c>
      <c r="G1951">
        <v>1901</v>
      </c>
      <c r="H1951" s="13">
        <f t="shared" si="240"/>
        <v>1.8572577375266519E-2</v>
      </c>
      <c r="I1951">
        <f t="shared" si="241"/>
        <v>139.8126338633322</v>
      </c>
      <c r="J1951">
        <f t="shared" si="236"/>
        <v>485.37339564444864</v>
      </c>
      <c r="K1951" s="27">
        <f t="shared" si="237"/>
        <v>4375.5724376787866</v>
      </c>
    </row>
    <row r="1952" spans="1:11" x14ac:dyDescent="0.25">
      <c r="A1952" s="26">
        <v>1902</v>
      </c>
      <c r="B1952" s="82">
        <f t="shared" si="238"/>
        <v>0</v>
      </c>
      <c r="C1952" s="58">
        <f t="shared" si="242"/>
        <v>104.50616427295054</v>
      </c>
      <c r="D1952" s="83">
        <f t="shared" si="239"/>
        <v>445.77777777777789</v>
      </c>
      <c r="E1952">
        <f t="shared" si="235"/>
        <v>0</v>
      </c>
      <c r="G1952">
        <v>1902</v>
      </c>
      <c r="H1952" s="13">
        <f t="shared" si="240"/>
        <v>1.8572577375266519E-2</v>
      </c>
      <c r="I1952">
        <f t="shared" si="241"/>
        <v>139.83120644070746</v>
      </c>
      <c r="J1952">
        <f t="shared" si="236"/>
        <v>485.38542744654012</v>
      </c>
      <c r="K1952" s="27">
        <f t="shared" si="237"/>
        <v>4375.7893152306651</v>
      </c>
    </row>
    <row r="1953" spans="1:11" x14ac:dyDescent="0.25">
      <c r="A1953" s="26">
        <v>1903</v>
      </c>
      <c r="B1953" s="82">
        <f t="shared" si="238"/>
        <v>0</v>
      </c>
      <c r="C1953" s="58">
        <f t="shared" si="242"/>
        <v>104.50616427295054</v>
      </c>
      <c r="D1953" s="83">
        <f t="shared" si="239"/>
        <v>445.77777777777789</v>
      </c>
      <c r="E1953">
        <f t="shared" si="235"/>
        <v>0</v>
      </c>
      <c r="G1953">
        <v>1903</v>
      </c>
      <c r="H1953" s="13">
        <f t="shared" si="240"/>
        <v>1.8572577375266519E-2</v>
      </c>
      <c r="I1953">
        <f t="shared" si="241"/>
        <v>139.84977901808273</v>
      </c>
      <c r="J1953">
        <f t="shared" si="236"/>
        <v>485.39745343248336</v>
      </c>
      <c r="K1953" s="27">
        <f t="shared" si="237"/>
        <v>4376.0060933122959</v>
      </c>
    </row>
    <row r="1954" spans="1:11" x14ac:dyDescent="0.25">
      <c r="A1954" s="26">
        <v>1904</v>
      </c>
      <c r="B1954" s="82">
        <f t="shared" si="238"/>
        <v>0</v>
      </c>
      <c r="C1954" s="58">
        <f t="shared" si="242"/>
        <v>104.50616427295054</v>
      </c>
      <c r="D1954" s="83">
        <f t="shared" si="239"/>
        <v>445.77777777777789</v>
      </c>
      <c r="E1954">
        <f t="shared" si="235"/>
        <v>0</v>
      </c>
      <c r="G1954">
        <v>1904</v>
      </c>
      <c r="H1954" s="13">
        <f t="shared" si="240"/>
        <v>1.8572577375266519E-2</v>
      </c>
      <c r="I1954">
        <f t="shared" si="241"/>
        <v>139.86835159545799</v>
      </c>
      <c r="J1954">
        <f t="shared" si="236"/>
        <v>485.40947360477008</v>
      </c>
      <c r="K1954" s="27">
        <f t="shared" si="237"/>
        <v>4376.2227719607945</v>
      </c>
    </row>
    <row r="1955" spans="1:11" x14ac:dyDescent="0.25">
      <c r="A1955" s="26">
        <v>1905</v>
      </c>
      <c r="B1955" s="82">
        <f t="shared" si="238"/>
        <v>0</v>
      </c>
      <c r="C1955" s="58">
        <f t="shared" si="242"/>
        <v>104.50616427295054</v>
      </c>
      <c r="D1955" s="83">
        <f t="shared" si="239"/>
        <v>445.77777777777789</v>
      </c>
      <c r="E1955">
        <f t="shared" si="235"/>
        <v>0</v>
      </c>
      <c r="G1955">
        <v>1905</v>
      </c>
      <c r="H1955" s="13">
        <f t="shared" si="240"/>
        <v>1.8572577375266519E-2</v>
      </c>
      <c r="I1955">
        <f t="shared" si="241"/>
        <v>139.88692417283326</v>
      </c>
      <c r="J1955">
        <f t="shared" si="236"/>
        <v>485.42148796588953</v>
      </c>
      <c r="K1955" s="27">
        <f t="shared" si="237"/>
        <v>4376.4393512132365</v>
      </c>
    </row>
    <row r="1956" spans="1:11" x14ac:dyDescent="0.25">
      <c r="A1956" s="26">
        <v>1906</v>
      </c>
      <c r="B1956" s="82">
        <f t="shared" si="238"/>
        <v>0</v>
      </c>
      <c r="C1956" s="58">
        <f t="shared" si="242"/>
        <v>104.50616427295054</v>
      </c>
      <c r="D1956" s="83">
        <f t="shared" si="239"/>
        <v>445.77777777777789</v>
      </c>
      <c r="E1956">
        <f t="shared" si="235"/>
        <v>0</v>
      </c>
      <c r="G1956">
        <v>1906</v>
      </c>
      <c r="H1956" s="13">
        <f t="shared" si="240"/>
        <v>1.8572577375266519E-2</v>
      </c>
      <c r="I1956">
        <f t="shared" si="241"/>
        <v>139.90549675020853</v>
      </c>
      <c r="J1956">
        <f t="shared" si="236"/>
        <v>485.43349651832824</v>
      </c>
      <c r="K1956" s="27">
        <f t="shared" si="237"/>
        <v>4376.6558311066574</v>
      </c>
    </row>
    <row r="1957" spans="1:11" x14ac:dyDescent="0.25">
      <c r="A1957" s="26">
        <v>1907</v>
      </c>
      <c r="B1957" s="82">
        <f t="shared" si="238"/>
        <v>0</v>
      </c>
      <c r="C1957" s="58">
        <f t="shared" si="242"/>
        <v>104.50616427295054</v>
      </c>
      <c r="D1957" s="83">
        <f t="shared" si="239"/>
        <v>445.77777777777789</v>
      </c>
      <c r="E1957">
        <f t="shared" si="235"/>
        <v>0</v>
      </c>
      <c r="G1957">
        <v>1907</v>
      </c>
      <c r="H1957" s="13">
        <f t="shared" si="240"/>
        <v>1.8572577375266519E-2</v>
      </c>
      <c r="I1957">
        <f t="shared" si="241"/>
        <v>139.92406932758379</v>
      </c>
      <c r="J1957">
        <f t="shared" si="236"/>
        <v>485.44549926457023</v>
      </c>
      <c r="K1957" s="27">
        <f t="shared" si="237"/>
        <v>4376.8722116780582</v>
      </c>
    </row>
    <row r="1958" spans="1:11" x14ac:dyDescent="0.25">
      <c r="A1958" s="26">
        <v>1908</v>
      </c>
      <c r="B1958" s="82">
        <f t="shared" si="238"/>
        <v>0</v>
      </c>
      <c r="C1958" s="58">
        <f t="shared" si="242"/>
        <v>104.50616427295054</v>
      </c>
      <c r="D1958" s="83">
        <f t="shared" si="239"/>
        <v>445.77777777777789</v>
      </c>
      <c r="E1958">
        <f t="shared" si="235"/>
        <v>0</v>
      </c>
      <c r="G1958">
        <v>1908</v>
      </c>
      <c r="H1958" s="13">
        <f t="shared" si="240"/>
        <v>1.8572577375266519E-2</v>
      </c>
      <c r="I1958">
        <f t="shared" si="241"/>
        <v>139.94264190495906</v>
      </c>
      <c r="J1958">
        <f t="shared" si="236"/>
        <v>485.45749620709677</v>
      </c>
      <c r="K1958" s="27">
        <f t="shared" si="237"/>
        <v>4377.0884929643953</v>
      </c>
    </row>
    <row r="1959" spans="1:11" x14ac:dyDescent="0.25">
      <c r="A1959" s="26">
        <v>1909</v>
      </c>
      <c r="B1959" s="82">
        <f t="shared" si="238"/>
        <v>0</v>
      </c>
      <c r="C1959" s="58">
        <f t="shared" si="242"/>
        <v>104.50616427295054</v>
      </c>
      <c r="D1959" s="83">
        <f t="shared" si="239"/>
        <v>445.77777777777789</v>
      </c>
      <c r="E1959">
        <f t="shared" si="235"/>
        <v>0</v>
      </c>
      <c r="G1959">
        <v>1909</v>
      </c>
      <c r="H1959" s="13">
        <f t="shared" si="240"/>
        <v>1.8572577375266519E-2</v>
      </c>
      <c r="I1959">
        <f t="shared" si="241"/>
        <v>139.96121448233433</v>
      </c>
      <c r="J1959">
        <f t="shared" si="236"/>
        <v>485.46948734838662</v>
      </c>
      <c r="K1959" s="27">
        <f t="shared" si="237"/>
        <v>4377.3046750025906</v>
      </c>
    </row>
    <row r="1960" spans="1:11" x14ac:dyDescent="0.25">
      <c r="A1960" s="26">
        <v>1910</v>
      </c>
      <c r="B1960" s="82">
        <f t="shared" si="238"/>
        <v>0</v>
      </c>
      <c r="C1960" s="58">
        <f t="shared" si="242"/>
        <v>104.50616427295054</v>
      </c>
      <c r="D1960" s="83">
        <f t="shared" si="239"/>
        <v>445.77777777777789</v>
      </c>
      <c r="E1960">
        <f t="shared" si="235"/>
        <v>0</v>
      </c>
      <c r="G1960">
        <v>1910</v>
      </c>
      <c r="H1960" s="13">
        <f t="shared" si="240"/>
        <v>1.8572577375266519E-2</v>
      </c>
      <c r="I1960">
        <f t="shared" si="241"/>
        <v>139.97978705970959</v>
      </c>
      <c r="J1960">
        <f t="shared" si="236"/>
        <v>485.48147269091584</v>
      </c>
      <c r="K1960" s="27">
        <f t="shared" si="237"/>
        <v>4377.5207578295231</v>
      </c>
    </row>
    <row r="1961" spans="1:11" x14ac:dyDescent="0.25">
      <c r="A1961" s="26">
        <v>1911</v>
      </c>
      <c r="B1961" s="82">
        <f t="shared" si="238"/>
        <v>0</v>
      </c>
      <c r="C1961" s="58">
        <f t="shared" si="242"/>
        <v>104.50616427295054</v>
      </c>
      <c r="D1961" s="83">
        <f t="shared" si="239"/>
        <v>445.77777777777789</v>
      </c>
      <c r="E1961">
        <f t="shared" si="235"/>
        <v>0</v>
      </c>
      <c r="G1961">
        <v>1911</v>
      </c>
      <c r="H1961" s="13">
        <f t="shared" si="240"/>
        <v>1.8572577375266519E-2</v>
      </c>
      <c r="I1961">
        <f t="shared" si="241"/>
        <v>139.99835963708486</v>
      </c>
      <c r="J1961">
        <f t="shared" si="236"/>
        <v>485.49345223715795</v>
      </c>
      <c r="K1961" s="27">
        <f t="shared" si="237"/>
        <v>4377.7367414820374</v>
      </c>
    </row>
    <row r="1962" spans="1:11" x14ac:dyDescent="0.25">
      <c r="A1962" s="26">
        <v>1912</v>
      </c>
      <c r="B1962" s="82">
        <f t="shared" si="238"/>
        <v>0</v>
      </c>
      <c r="C1962" s="58">
        <f t="shared" si="242"/>
        <v>104.50616427295054</v>
      </c>
      <c r="D1962" s="83">
        <f t="shared" si="239"/>
        <v>445.77777777777789</v>
      </c>
      <c r="E1962">
        <f t="shared" si="235"/>
        <v>0</v>
      </c>
      <c r="G1962">
        <v>1912</v>
      </c>
      <c r="H1962" s="13">
        <f t="shared" si="240"/>
        <v>1.8572577375266519E-2</v>
      </c>
      <c r="I1962">
        <f t="shared" si="241"/>
        <v>140.01693221446013</v>
      </c>
      <c r="J1962">
        <f t="shared" si="236"/>
        <v>485.50542598958396</v>
      </c>
      <c r="K1962" s="27">
        <f t="shared" si="237"/>
        <v>4377.9526259969361</v>
      </c>
    </row>
    <row r="1963" spans="1:11" x14ac:dyDescent="0.25">
      <c r="A1963" s="26">
        <v>1913</v>
      </c>
      <c r="B1963" s="82">
        <f t="shared" si="238"/>
        <v>0</v>
      </c>
      <c r="C1963" s="58">
        <f t="shared" si="242"/>
        <v>104.50616427295054</v>
      </c>
      <c r="D1963" s="83">
        <f t="shared" si="239"/>
        <v>445.77777777777789</v>
      </c>
      <c r="E1963">
        <f t="shared" si="235"/>
        <v>0</v>
      </c>
      <c r="G1963">
        <v>1913</v>
      </c>
      <c r="H1963" s="13">
        <f t="shared" si="240"/>
        <v>1.8572577375266519E-2</v>
      </c>
      <c r="I1963">
        <f t="shared" si="241"/>
        <v>140.03550479183539</v>
      </c>
      <c r="J1963">
        <f t="shared" si="236"/>
        <v>485.51739395066204</v>
      </c>
      <c r="K1963" s="27">
        <f t="shared" si="237"/>
        <v>4378.1684114109839</v>
      </c>
    </row>
    <row r="1964" spans="1:11" x14ac:dyDescent="0.25">
      <c r="A1964" s="26">
        <v>1914</v>
      </c>
      <c r="B1964" s="82">
        <f t="shared" si="238"/>
        <v>0</v>
      </c>
      <c r="C1964" s="58">
        <f t="shared" si="242"/>
        <v>104.50616427295054</v>
      </c>
      <c r="D1964" s="83">
        <f t="shared" si="239"/>
        <v>445.77777777777789</v>
      </c>
      <c r="E1964">
        <f t="shared" si="235"/>
        <v>0</v>
      </c>
      <c r="G1964">
        <v>1914</v>
      </c>
      <c r="H1964" s="13">
        <f t="shared" si="240"/>
        <v>1.8572577375266519E-2</v>
      </c>
      <c r="I1964">
        <f t="shared" si="241"/>
        <v>140.05407736921066</v>
      </c>
      <c r="J1964">
        <f t="shared" si="236"/>
        <v>485.52935612285791</v>
      </c>
      <c r="K1964" s="27">
        <f t="shared" si="237"/>
        <v>4378.384097760907</v>
      </c>
    </row>
    <row r="1965" spans="1:11" x14ac:dyDescent="0.25">
      <c r="A1965" s="26">
        <v>1915</v>
      </c>
      <c r="B1965" s="82">
        <f t="shared" si="238"/>
        <v>0</v>
      </c>
      <c r="C1965" s="58">
        <f t="shared" si="242"/>
        <v>104.50616427295054</v>
      </c>
      <c r="D1965" s="83">
        <f t="shared" si="239"/>
        <v>445.77777777777789</v>
      </c>
      <c r="E1965">
        <f t="shared" si="235"/>
        <v>0</v>
      </c>
      <c r="G1965">
        <v>1915</v>
      </c>
      <c r="H1965" s="13">
        <f t="shared" si="240"/>
        <v>1.8572577375266519E-2</v>
      </c>
      <c r="I1965">
        <f t="shared" si="241"/>
        <v>140.07264994658593</v>
      </c>
      <c r="J1965">
        <f t="shared" si="236"/>
        <v>485.54131250863475</v>
      </c>
      <c r="K1965" s="27">
        <f t="shared" si="237"/>
        <v>4378.5996850833953</v>
      </c>
    </row>
    <row r="1966" spans="1:11" x14ac:dyDescent="0.25">
      <c r="A1966" s="26">
        <v>1916</v>
      </c>
      <c r="B1966" s="82">
        <f t="shared" si="238"/>
        <v>0</v>
      </c>
      <c r="C1966" s="58">
        <f t="shared" si="242"/>
        <v>104.50616427295054</v>
      </c>
      <c r="D1966" s="83">
        <f t="shared" si="239"/>
        <v>445.77777777777789</v>
      </c>
      <c r="E1966">
        <f t="shared" si="235"/>
        <v>0</v>
      </c>
      <c r="G1966">
        <v>1916</v>
      </c>
      <c r="H1966" s="13">
        <f t="shared" si="240"/>
        <v>1.8572577375266519E-2</v>
      </c>
      <c r="I1966">
        <f t="shared" si="241"/>
        <v>140.09122252396119</v>
      </c>
      <c r="J1966">
        <f t="shared" si="236"/>
        <v>485.55326311045314</v>
      </c>
      <c r="K1966" s="27">
        <f t="shared" si="237"/>
        <v>4378.8151734150952</v>
      </c>
    </row>
    <row r="1967" spans="1:11" x14ac:dyDescent="0.25">
      <c r="A1967" s="26">
        <v>1917</v>
      </c>
      <c r="B1967" s="82">
        <f t="shared" si="238"/>
        <v>0</v>
      </c>
      <c r="C1967" s="58">
        <f t="shared" si="242"/>
        <v>104.50616427295054</v>
      </c>
      <c r="D1967" s="83">
        <f t="shared" si="239"/>
        <v>445.77777777777789</v>
      </c>
      <c r="E1967">
        <f t="shared" si="235"/>
        <v>0</v>
      </c>
      <c r="G1967">
        <v>1917</v>
      </c>
      <c r="H1967" s="13">
        <f t="shared" si="240"/>
        <v>1.8572577375266519E-2</v>
      </c>
      <c r="I1967">
        <f t="shared" si="241"/>
        <v>140.10979510133646</v>
      </c>
      <c r="J1967">
        <f t="shared" si="236"/>
        <v>485.5652079307709</v>
      </c>
      <c r="K1967" s="27">
        <f t="shared" si="237"/>
        <v>4379.0305627926173</v>
      </c>
    </row>
    <row r="1968" spans="1:11" x14ac:dyDescent="0.25">
      <c r="A1968" s="26">
        <v>1918</v>
      </c>
      <c r="B1968" s="82">
        <f t="shared" si="238"/>
        <v>0</v>
      </c>
      <c r="C1968" s="58">
        <f t="shared" si="242"/>
        <v>104.50616427295054</v>
      </c>
      <c r="D1968" s="83">
        <f t="shared" si="239"/>
        <v>445.77777777777789</v>
      </c>
      <c r="E1968">
        <f t="shared" si="235"/>
        <v>0</v>
      </c>
      <c r="G1968">
        <v>1918</v>
      </c>
      <c r="H1968" s="13">
        <f t="shared" si="240"/>
        <v>1.8572577375266519E-2</v>
      </c>
      <c r="I1968">
        <f t="shared" si="241"/>
        <v>140.12836767871173</v>
      </c>
      <c r="J1968">
        <f t="shared" si="236"/>
        <v>485.57714697204347</v>
      </c>
      <c r="K1968" s="27">
        <f t="shared" si="237"/>
        <v>4379.2458532525352</v>
      </c>
    </row>
    <row r="1969" spans="1:11" x14ac:dyDescent="0.25">
      <c r="A1969" s="26">
        <v>1919</v>
      </c>
      <c r="B1969" s="82">
        <f t="shared" si="238"/>
        <v>0</v>
      </c>
      <c r="C1969" s="58">
        <f t="shared" si="242"/>
        <v>104.50616427295054</v>
      </c>
      <c r="D1969" s="83">
        <f t="shared" si="239"/>
        <v>445.77777777777789</v>
      </c>
      <c r="E1969">
        <f t="shared" si="235"/>
        <v>0</v>
      </c>
      <c r="G1969">
        <v>1919</v>
      </c>
      <c r="H1969" s="13">
        <f t="shared" si="240"/>
        <v>1.8572577375266519E-2</v>
      </c>
      <c r="I1969">
        <f t="shared" si="241"/>
        <v>140.14694025608699</v>
      </c>
      <c r="J1969">
        <f t="shared" si="236"/>
        <v>485.58908023672365</v>
      </c>
      <c r="K1969" s="27">
        <f t="shared" si="237"/>
        <v>4379.4610448313842</v>
      </c>
    </row>
    <row r="1970" spans="1:11" x14ac:dyDescent="0.25">
      <c r="A1970" s="26">
        <v>1920</v>
      </c>
      <c r="B1970" s="82">
        <f t="shared" si="238"/>
        <v>0</v>
      </c>
      <c r="C1970" s="58">
        <f t="shared" si="242"/>
        <v>104.50616427295054</v>
      </c>
      <c r="D1970" s="83">
        <f t="shared" si="239"/>
        <v>445.77777777777789</v>
      </c>
      <c r="E1970">
        <f t="shared" si="235"/>
        <v>0</v>
      </c>
      <c r="G1970">
        <v>1920</v>
      </c>
      <c r="H1970" s="13">
        <f t="shared" si="240"/>
        <v>1.8572577375266519E-2</v>
      </c>
      <c r="I1970">
        <f t="shared" si="241"/>
        <v>140.16551283346226</v>
      </c>
      <c r="J1970">
        <f t="shared" si="236"/>
        <v>485.60100772726162</v>
      </c>
      <c r="K1970" s="27">
        <f t="shared" si="237"/>
        <v>4379.6761375656561</v>
      </c>
    </row>
    <row r="1971" spans="1:11" x14ac:dyDescent="0.25">
      <c r="A1971" s="26">
        <v>1921</v>
      </c>
      <c r="B1971" s="82">
        <f t="shared" si="238"/>
        <v>0</v>
      </c>
      <c r="C1971" s="58">
        <f t="shared" si="242"/>
        <v>104.50616427295054</v>
      </c>
      <c r="D1971" s="83">
        <f t="shared" si="239"/>
        <v>445.77777777777789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1.8572577375266519E-2</v>
      </c>
      <c r="I1971">
        <f t="shared" si="241"/>
        <v>140.18408541083753</v>
      </c>
      <c r="J1971">
        <f t="shared" ref="J1971:J2034" si="244">IF($G$28&lt;$C$14,0,((($C$11^2)-((I1971-$C$13)^2))^0.5)+$C$16)</f>
        <v>485.61292944610506</v>
      </c>
      <c r="K1971" s="27">
        <f t="shared" ref="K1971:K2034" si="245">((J1971^2)+(J1971*J1972)+(J1972^2))*H1972/3</f>
        <v>4379.8911314918114</v>
      </c>
    </row>
    <row r="1972" spans="1:11" x14ac:dyDescent="0.25">
      <c r="A1972" s="26">
        <v>1922</v>
      </c>
      <c r="B1972" s="82">
        <f t="shared" ref="B1972:B2035" si="246">C1972-C1971</f>
        <v>0</v>
      </c>
      <c r="C1972" s="58">
        <f t="shared" si="242"/>
        <v>104.50616427295054</v>
      </c>
      <c r="D1972" s="83">
        <f t="shared" ref="D1972:D2035" si="247">IF($G$28&lt;$C$14,0,((($C$11^2)-((C1972-$C$13)^2))^0.5)+$C$16)</f>
        <v>445.77777777777789</v>
      </c>
      <c r="E1972">
        <f t="shared" si="243"/>
        <v>0</v>
      </c>
      <c r="G1972">
        <v>1922</v>
      </c>
      <c r="H1972" s="13">
        <f t="shared" ref="H1972:H2035" si="248">I1972-I1971</f>
        <v>1.8572577375266519E-2</v>
      </c>
      <c r="I1972">
        <f t="shared" ref="I1972:I2035" si="249">($G$27-$C$14)/2000+I1971</f>
        <v>140.20265798821279</v>
      </c>
      <c r="J1972">
        <f t="shared" si="244"/>
        <v>485.62484539569903</v>
      </c>
      <c r="K1972" s="27">
        <f t="shared" si="245"/>
        <v>4380.1060266462673</v>
      </c>
    </row>
    <row r="1973" spans="1:11" x14ac:dyDescent="0.25">
      <c r="A1973" s="26">
        <v>1923</v>
      </c>
      <c r="B1973" s="82">
        <f t="shared" si="246"/>
        <v>0</v>
      </c>
      <c r="C1973" s="58">
        <f t="shared" si="242"/>
        <v>104.50616427295054</v>
      </c>
      <c r="D1973" s="83">
        <f t="shared" si="247"/>
        <v>445.77777777777789</v>
      </c>
      <c r="E1973">
        <f t="shared" si="243"/>
        <v>0</v>
      </c>
      <c r="G1973">
        <v>1923</v>
      </c>
      <c r="H1973" s="13">
        <f t="shared" si="248"/>
        <v>1.8572577375266519E-2</v>
      </c>
      <c r="I1973">
        <f t="shared" si="249"/>
        <v>140.22123056558806</v>
      </c>
      <c r="J1973">
        <f t="shared" si="244"/>
        <v>485.63675557848603</v>
      </c>
      <c r="K1973" s="27">
        <f t="shared" si="245"/>
        <v>4380.3208230654054</v>
      </c>
    </row>
    <row r="1974" spans="1:11" x14ac:dyDescent="0.25">
      <c r="A1974" s="26">
        <v>1924</v>
      </c>
      <c r="B1974" s="82">
        <f t="shared" si="246"/>
        <v>0</v>
      </c>
      <c r="C1974" s="58">
        <f t="shared" si="242"/>
        <v>104.50616427295054</v>
      </c>
      <c r="D1974" s="83">
        <f t="shared" si="247"/>
        <v>445.77777777777789</v>
      </c>
      <c r="E1974">
        <f t="shared" si="243"/>
        <v>0</v>
      </c>
      <c r="G1974">
        <v>1924</v>
      </c>
      <c r="H1974" s="13">
        <f t="shared" si="248"/>
        <v>1.8572577375266519E-2</v>
      </c>
      <c r="I1974">
        <f t="shared" si="249"/>
        <v>140.23980314296332</v>
      </c>
      <c r="J1974">
        <f t="shared" si="244"/>
        <v>485.64865999690608</v>
      </c>
      <c r="K1974" s="27">
        <f t="shared" si="245"/>
        <v>4380.5355207855691</v>
      </c>
    </row>
    <row r="1975" spans="1:11" x14ac:dyDescent="0.25">
      <c r="A1975" s="26">
        <v>1925</v>
      </c>
      <c r="B1975" s="82">
        <f t="shared" si="246"/>
        <v>0</v>
      </c>
      <c r="C1975" s="58">
        <f t="shared" si="242"/>
        <v>104.50616427295054</v>
      </c>
      <c r="D1975" s="83">
        <f t="shared" si="247"/>
        <v>445.77777777777789</v>
      </c>
      <c r="E1975">
        <f t="shared" si="243"/>
        <v>0</v>
      </c>
      <c r="G1975">
        <v>1925</v>
      </c>
      <c r="H1975" s="13">
        <f t="shared" si="248"/>
        <v>1.8572577375266519E-2</v>
      </c>
      <c r="I1975">
        <f t="shared" si="249"/>
        <v>140.25837572033859</v>
      </c>
      <c r="J1975">
        <f t="shared" si="244"/>
        <v>485.66055865339655</v>
      </c>
      <c r="K1975" s="27">
        <f t="shared" si="245"/>
        <v>4380.7501198430627</v>
      </c>
    </row>
    <row r="1976" spans="1:11" x14ac:dyDescent="0.25">
      <c r="A1976" s="26">
        <v>1926</v>
      </c>
      <c r="B1976" s="82">
        <f t="shared" si="246"/>
        <v>0</v>
      </c>
      <c r="C1976" s="58">
        <f t="shared" si="242"/>
        <v>104.50616427295054</v>
      </c>
      <c r="D1976" s="83">
        <f t="shared" si="247"/>
        <v>445.77777777777789</v>
      </c>
      <c r="E1976">
        <f t="shared" si="243"/>
        <v>0</v>
      </c>
      <c r="G1976">
        <v>1926</v>
      </c>
      <c r="H1976" s="13">
        <f t="shared" si="248"/>
        <v>1.8572577375266519E-2</v>
      </c>
      <c r="I1976">
        <f t="shared" si="249"/>
        <v>140.27694829771386</v>
      </c>
      <c r="J1976">
        <f t="shared" si="244"/>
        <v>485.67245155039228</v>
      </c>
      <c r="K1976" s="27">
        <f t="shared" si="245"/>
        <v>4380.9646202741505</v>
      </c>
    </row>
    <row r="1977" spans="1:11" x14ac:dyDescent="0.25">
      <c r="A1977" s="26">
        <v>1927</v>
      </c>
      <c r="B1977" s="82">
        <f t="shared" si="246"/>
        <v>0</v>
      </c>
      <c r="C1977" s="58">
        <f t="shared" si="242"/>
        <v>104.50616427295054</v>
      </c>
      <c r="D1977" s="83">
        <f t="shared" si="247"/>
        <v>445.77777777777789</v>
      </c>
      <c r="E1977">
        <f t="shared" si="243"/>
        <v>0</v>
      </c>
      <c r="G1977">
        <v>1927</v>
      </c>
      <c r="H1977" s="13">
        <f t="shared" si="248"/>
        <v>1.8572577375266519E-2</v>
      </c>
      <c r="I1977">
        <f t="shared" si="249"/>
        <v>140.29552087508912</v>
      </c>
      <c r="J1977">
        <f t="shared" si="244"/>
        <v>485.68433869032555</v>
      </c>
      <c r="K1977" s="27">
        <f t="shared" si="245"/>
        <v>4381.179022115065</v>
      </c>
    </row>
    <row r="1978" spans="1:11" x14ac:dyDescent="0.25">
      <c r="A1978" s="26">
        <v>1928</v>
      </c>
      <c r="B1978" s="82">
        <f t="shared" si="246"/>
        <v>0</v>
      </c>
      <c r="C1978" s="58">
        <f t="shared" si="242"/>
        <v>104.50616427295054</v>
      </c>
      <c r="D1978" s="83">
        <f t="shared" si="247"/>
        <v>445.77777777777789</v>
      </c>
      <c r="E1978">
        <f t="shared" si="243"/>
        <v>0</v>
      </c>
      <c r="G1978">
        <v>1928</v>
      </c>
      <c r="H1978" s="13">
        <f t="shared" si="248"/>
        <v>1.8572577375266519E-2</v>
      </c>
      <c r="I1978">
        <f t="shared" si="249"/>
        <v>140.31409345246439</v>
      </c>
      <c r="J1978">
        <f t="shared" si="244"/>
        <v>485.69622007562617</v>
      </c>
      <c r="K1978" s="27">
        <f t="shared" si="245"/>
        <v>4381.3933254019958</v>
      </c>
    </row>
    <row r="1979" spans="1:11" x14ac:dyDescent="0.25">
      <c r="A1979" s="26">
        <v>1929</v>
      </c>
      <c r="B1979" s="82">
        <f t="shared" si="246"/>
        <v>0</v>
      </c>
      <c r="C1979" s="58">
        <f t="shared" si="242"/>
        <v>104.50616427295054</v>
      </c>
      <c r="D1979" s="83">
        <f t="shared" si="247"/>
        <v>445.77777777777789</v>
      </c>
      <c r="E1979">
        <f t="shared" si="243"/>
        <v>0</v>
      </c>
      <c r="G1979">
        <v>1929</v>
      </c>
      <c r="H1979" s="13">
        <f t="shared" si="248"/>
        <v>1.8572577375266519E-2</v>
      </c>
      <c r="I1979">
        <f t="shared" si="249"/>
        <v>140.33266602983966</v>
      </c>
      <c r="J1979">
        <f t="shared" si="244"/>
        <v>485.70809570872132</v>
      </c>
      <c r="K1979" s="27">
        <f t="shared" si="245"/>
        <v>4381.6075301710944</v>
      </c>
    </row>
    <row r="1980" spans="1:11" x14ac:dyDescent="0.25">
      <c r="A1980" s="26">
        <v>1930</v>
      </c>
      <c r="B1980" s="82">
        <f t="shared" si="246"/>
        <v>0</v>
      </c>
      <c r="C1980" s="58">
        <f t="shared" si="242"/>
        <v>104.50616427295054</v>
      </c>
      <c r="D1980" s="83">
        <f t="shared" si="247"/>
        <v>445.77777777777789</v>
      </c>
      <c r="E1980">
        <f t="shared" si="243"/>
        <v>0</v>
      </c>
      <c r="G1980">
        <v>1930</v>
      </c>
      <c r="H1980" s="13">
        <f t="shared" si="248"/>
        <v>1.8572577375266519E-2</v>
      </c>
      <c r="I1980">
        <f t="shared" si="249"/>
        <v>140.35123860721492</v>
      </c>
      <c r="J1980">
        <f t="shared" si="244"/>
        <v>485.71996559203563</v>
      </c>
      <c r="K1980" s="27">
        <f t="shared" si="245"/>
        <v>4381.8216364584769</v>
      </c>
    </row>
    <row r="1981" spans="1:11" x14ac:dyDescent="0.25">
      <c r="A1981" s="26">
        <v>1931</v>
      </c>
      <c r="B1981" s="82">
        <f t="shared" si="246"/>
        <v>0</v>
      </c>
      <c r="C1981" s="58">
        <f t="shared" si="242"/>
        <v>104.50616427295054</v>
      </c>
      <c r="D1981" s="83">
        <f t="shared" si="247"/>
        <v>445.77777777777789</v>
      </c>
      <c r="E1981">
        <f t="shared" si="243"/>
        <v>0</v>
      </c>
      <c r="G1981">
        <v>1931</v>
      </c>
      <c r="H1981" s="13">
        <f t="shared" si="248"/>
        <v>1.8572577375266519E-2</v>
      </c>
      <c r="I1981">
        <f t="shared" si="249"/>
        <v>140.36981118459019</v>
      </c>
      <c r="J1981">
        <f t="shared" si="244"/>
        <v>485.73182972799134</v>
      </c>
      <c r="K1981" s="27">
        <f t="shared" si="245"/>
        <v>4382.0356443002211</v>
      </c>
    </row>
    <row r="1982" spans="1:11" x14ac:dyDescent="0.25">
      <c r="A1982" s="26">
        <v>1932</v>
      </c>
      <c r="B1982" s="82">
        <f t="shared" si="246"/>
        <v>0</v>
      </c>
      <c r="C1982" s="58">
        <f t="shared" si="242"/>
        <v>104.50616427295054</v>
      </c>
      <c r="D1982" s="83">
        <f t="shared" si="247"/>
        <v>445.77777777777789</v>
      </c>
      <c r="E1982">
        <f t="shared" si="243"/>
        <v>0</v>
      </c>
      <c r="G1982">
        <v>1932</v>
      </c>
      <c r="H1982" s="13">
        <f t="shared" si="248"/>
        <v>1.8572577375266519E-2</v>
      </c>
      <c r="I1982">
        <f t="shared" si="249"/>
        <v>140.38838376196546</v>
      </c>
      <c r="J1982">
        <f t="shared" si="244"/>
        <v>485.74368811900791</v>
      </c>
      <c r="K1982" s="27">
        <f t="shared" si="245"/>
        <v>4382.2495537323648</v>
      </c>
    </row>
    <row r="1983" spans="1:11" x14ac:dyDescent="0.25">
      <c r="A1983" s="26">
        <v>1933</v>
      </c>
      <c r="B1983" s="82">
        <f t="shared" si="246"/>
        <v>0</v>
      </c>
      <c r="C1983" s="58">
        <f t="shared" si="242"/>
        <v>104.50616427295054</v>
      </c>
      <c r="D1983" s="83">
        <f t="shared" si="247"/>
        <v>445.77777777777789</v>
      </c>
      <c r="E1983">
        <f t="shared" si="243"/>
        <v>0</v>
      </c>
      <c r="G1983">
        <v>1933</v>
      </c>
      <c r="H1983" s="13">
        <f t="shared" si="248"/>
        <v>1.8572577375266519E-2</v>
      </c>
      <c r="I1983">
        <f t="shared" si="249"/>
        <v>140.40695633934072</v>
      </c>
      <c r="J1983">
        <f t="shared" si="244"/>
        <v>485.75554076750257</v>
      </c>
      <c r="K1983" s="27">
        <f t="shared" si="245"/>
        <v>4382.4633647909122</v>
      </c>
    </row>
    <row r="1984" spans="1:11" x14ac:dyDescent="0.25">
      <c r="A1984" s="26">
        <v>1934</v>
      </c>
      <c r="B1984" s="82">
        <f t="shared" si="246"/>
        <v>0</v>
      </c>
      <c r="C1984" s="58">
        <f t="shared" si="242"/>
        <v>104.50616427295054</v>
      </c>
      <c r="D1984" s="83">
        <f t="shared" si="247"/>
        <v>445.77777777777789</v>
      </c>
      <c r="E1984">
        <f t="shared" si="243"/>
        <v>0</v>
      </c>
      <c r="G1984">
        <v>1934</v>
      </c>
      <c r="H1984" s="13">
        <f t="shared" si="248"/>
        <v>1.8572577375266519E-2</v>
      </c>
      <c r="I1984">
        <f t="shared" si="249"/>
        <v>140.42552891671599</v>
      </c>
      <c r="J1984">
        <f t="shared" si="244"/>
        <v>485.76738767588978</v>
      </c>
      <c r="K1984" s="27">
        <f t="shared" si="245"/>
        <v>4382.6770775118266</v>
      </c>
    </row>
    <row r="1985" spans="1:11" x14ac:dyDescent="0.25">
      <c r="A1985" s="26">
        <v>1935</v>
      </c>
      <c r="B1985" s="82">
        <f t="shared" si="246"/>
        <v>0</v>
      </c>
      <c r="C1985" s="58">
        <f t="shared" si="242"/>
        <v>104.50616427295054</v>
      </c>
      <c r="D1985" s="83">
        <f t="shared" si="247"/>
        <v>445.77777777777789</v>
      </c>
      <c r="E1985">
        <f t="shared" si="243"/>
        <v>0</v>
      </c>
      <c r="G1985">
        <v>1935</v>
      </c>
      <c r="H1985" s="13">
        <f t="shared" si="248"/>
        <v>1.8572577375266519E-2</v>
      </c>
      <c r="I1985">
        <f t="shared" si="249"/>
        <v>140.44410149409126</v>
      </c>
      <c r="J1985">
        <f t="shared" si="244"/>
        <v>485.77922884658153</v>
      </c>
      <c r="K1985" s="27">
        <f t="shared" si="245"/>
        <v>4382.8906919310348</v>
      </c>
    </row>
    <row r="1986" spans="1:11" x14ac:dyDescent="0.25">
      <c r="A1986" s="26">
        <v>1936</v>
      </c>
      <c r="B1986" s="82">
        <f t="shared" si="246"/>
        <v>0</v>
      </c>
      <c r="C1986" s="58">
        <f t="shared" si="242"/>
        <v>104.50616427295054</v>
      </c>
      <c r="D1986" s="83">
        <f t="shared" si="247"/>
        <v>445.77777777777789</v>
      </c>
      <c r="E1986">
        <f t="shared" si="243"/>
        <v>0</v>
      </c>
      <c r="G1986">
        <v>1936</v>
      </c>
      <c r="H1986" s="13">
        <f t="shared" si="248"/>
        <v>1.8572577375266519E-2</v>
      </c>
      <c r="I1986">
        <f t="shared" si="249"/>
        <v>140.46267407146652</v>
      </c>
      <c r="J1986">
        <f t="shared" si="244"/>
        <v>485.79106428198747</v>
      </c>
      <c r="K1986" s="27">
        <f t="shared" si="245"/>
        <v>4383.1042080844281</v>
      </c>
    </row>
    <row r="1987" spans="1:11" x14ac:dyDescent="0.25">
      <c r="A1987" s="26">
        <v>1937</v>
      </c>
      <c r="B1987" s="82">
        <f t="shared" si="246"/>
        <v>0</v>
      </c>
      <c r="C1987" s="58">
        <f t="shared" si="242"/>
        <v>104.50616427295054</v>
      </c>
      <c r="D1987" s="83">
        <f t="shared" si="247"/>
        <v>445.77777777777789</v>
      </c>
      <c r="E1987">
        <f t="shared" si="243"/>
        <v>0</v>
      </c>
      <c r="G1987">
        <v>1937</v>
      </c>
      <c r="H1987" s="13">
        <f t="shared" si="248"/>
        <v>1.8572577375266519E-2</v>
      </c>
      <c r="I1987">
        <f t="shared" si="249"/>
        <v>140.48124664884179</v>
      </c>
      <c r="J1987">
        <f t="shared" si="244"/>
        <v>485.80289398451453</v>
      </c>
      <c r="K1987" s="27">
        <f t="shared" si="245"/>
        <v>4383.3176260078544</v>
      </c>
    </row>
    <row r="1988" spans="1:11" x14ac:dyDescent="0.25">
      <c r="A1988" s="26">
        <v>1938</v>
      </c>
      <c r="B1988" s="82">
        <f t="shared" si="246"/>
        <v>0</v>
      </c>
      <c r="C1988" s="58">
        <f t="shared" si="242"/>
        <v>104.50616427295054</v>
      </c>
      <c r="D1988" s="83">
        <f t="shared" si="247"/>
        <v>445.77777777777789</v>
      </c>
      <c r="E1988">
        <f t="shared" si="243"/>
        <v>0</v>
      </c>
      <c r="G1988">
        <v>1938</v>
      </c>
      <c r="H1988" s="13">
        <f t="shared" si="248"/>
        <v>1.8572577375266519E-2</v>
      </c>
      <c r="I1988">
        <f t="shared" si="249"/>
        <v>140.49981922621706</v>
      </c>
      <c r="J1988">
        <f t="shared" si="244"/>
        <v>485.81471795656711</v>
      </c>
      <c r="K1988" s="27">
        <f t="shared" si="245"/>
        <v>4383.5309457371313</v>
      </c>
    </row>
    <row r="1989" spans="1:11" x14ac:dyDescent="0.25">
      <c r="A1989" s="26">
        <v>1939</v>
      </c>
      <c r="B1989" s="82">
        <f t="shared" si="246"/>
        <v>0</v>
      </c>
      <c r="C1989" s="58">
        <f t="shared" si="242"/>
        <v>104.50616427295054</v>
      </c>
      <c r="D1989" s="83">
        <f t="shared" si="247"/>
        <v>445.77777777777789</v>
      </c>
      <c r="E1989">
        <f t="shared" si="243"/>
        <v>0</v>
      </c>
      <c r="G1989">
        <v>1939</v>
      </c>
      <c r="H1989" s="13">
        <f t="shared" si="248"/>
        <v>1.8572577375266519E-2</v>
      </c>
      <c r="I1989">
        <f t="shared" si="249"/>
        <v>140.51839180359232</v>
      </c>
      <c r="J1989">
        <f t="shared" si="244"/>
        <v>485.82653620054731</v>
      </c>
      <c r="K1989" s="27">
        <f t="shared" si="245"/>
        <v>4383.7441673080348</v>
      </c>
    </row>
    <row r="1990" spans="1:11" x14ac:dyDescent="0.25">
      <c r="A1990" s="26">
        <v>1940</v>
      </c>
      <c r="B1990" s="82">
        <f t="shared" si="246"/>
        <v>0</v>
      </c>
      <c r="C1990" s="58">
        <f t="shared" si="242"/>
        <v>104.50616427295054</v>
      </c>
      <c r="D1990" s="83">
        <f t="shared" si="247"/>
        <v>445.77777777777789</v>
      </c>
      <c r="E1990">
        <f t="shared" si="243"/>
        <v>0</v>
      </c>
      <c r="G1990">
        <v>1940</v>
      </c>
      <c r="H1990" s="13">
        <f t="shared" si="248"/>
        <v>1.8572577375266519E-2</v>
      </c>
      <c r="I1990">
        <f t="shared" si="249"/>
        <v>140.53696438096759</v>
      </c>
      <c r="J1990">
        <f t="shared" si="244"/>
        <v>485.83834871885455</v>
      </c>
      <c r="K1990" s="27">
        <f t="shared" si="245"/>
        <v>4383.9572907563052</v>
      </c>
    </row>
    <row r="1991" spans="1:11" x14ac:dyDescent="0.25">
      <c r="A1991" s="26">
        <v>1941</v>
      </c>
      <c r="B1991" s="82">
        <f t="shared" si="246"/>
        <v>0</v>
      </c>
      <c r="C1991" s="58">
        <f t="shared" si="242"/>
        <v>104.50616427295054</v>
      </c>
      <c r="D1991" s="83">
        <f t="shared" si="247"/>
        <v>445.77777777777789</v>
      </c>
      <c r="E1991">
        <f t="shared" si="243"/>
        <v>0</v>
      </c>
      <c r="G1991">
        <v>1941</v>
      </c>
      <c r="H1991" s="13">
        <f t="shared" si="248"/>
        <v>1.8572577375266519E-2</v>
      </c>
      <c r="I1991">
        <f t="shared" si="249"/>
        <v>140.55553695834286</v>
      </c>
      <c r="J1991">
        <f t="shared" si="244"/>
        <v>485.85015551388574</v>
      </c>
      <c r="K1991" s="27">
        <f t="shared" si="245"/>
        <v>4384.1703161176438</v>
      </c>
    </row>
    <row r="1992" spans="1:11" x14ac:dyDescent="0.25">
      <c r="A1992" s="26">
        <v>1942</v>
      </c>
      <c r="B1992" s="82">
        <f t="shared" si="246"/>
        <v>0</v>
      </c>
      <c r="C1992" s="58">
        <f t="shared" si="242"/>
        <v>104.50616427295054</v>
      </c>
      <c r="D1992" s="83">
        <f t="shared" si="247"/>
        <v>445.77777777777789</v>
      </c>
      <c r="E1992">
        <f t="shared" si="243"/>
        <v>0</v>
      </c>
      <c r="G1992">
        <v>1942</v>
      </c>
      <c r="H1992" s="13">
        <f t="shared" si="248"/>
        <v>1.8572577375266519E-2</v>
      </c>
      <c r="I1992">
        <f t="shared" si="249"/>
        <v>140.57410953571812</v>
      </c>
      <c r="J1992">
        <f t="shared" si="244"/>
        <v>485.86195658803547</v>
      </c>
      <c r="K1992" s="27">
        <f t="shared" si="245"/>
        <v>4384.3832434277192</v>
      </c>
    </row>
    <row r="1993" spans="1:11" x14ac:dyDescent="0.25">
      <c r="A1993" s="26">
        <v>1943</v>
      </c>
      <c r="B1993" s="82">
        <f t="shared" si="246"/>
        <v>0</v>
      </c>
      <c r="C1993" s="58">
        <f t="shared" si="242"/>
        <v>104.50616427295054</v>
      </c>
      <c r="D1993" s="83">
        <f t="shared" si="247"/>
        <v>445.77777777777789</v>
      </c>
      <c r="E1993">
        <f t="shared" si="243"/>
        <v>0</v>
      </c>
      <c r="G1993">
        <v>1943</v>
      </c>
      <c r="H1993" s="13">
        <f t="shared" si="248"/>
        <v>1.8572577375266519E-2</v>
      </c>
      <c r="I1993">
        <f t="shared" si="249"/>
        <v>140.59268211309339</v>
      </c>
      <c r="J1993">
        <f t="shared" si="244"/>
        <v>485.87375194369565</v>
      </c>
      <c r="K1993" s="27">
        <f t="shared" si="245"/>
        <v>4384.5960727221564</v>
      </c>
    </row>
    <row r="1994" spans="1:11" x14ac:dyDescent="0.25">
      <c r="A1994" s="26">
        <v>1944</v>
      </c>
      <c r="B1994" s="82">
        <f t="shared" si="246"/>
        <v>0</v>
      </c>
      <c r="C1994" s="58">
        <f t="shared" si="242"/>
        <v>104.50616427295054</v>
      </c>
      <c r="D1994" s="83">
        <f t="shared" si="247"/>
        <v>445.77777777777789</v>
      </c>
      <c r="E1994">
        <f t="shared" si="243"/>
        <v>0</v>
      </c>
      <c r="G1994">
        <v>1944</v>
      </c>
      <c r="H1994" s="13">
        <f t="shared" si="248"/>
        <v>1.8572577375266519E-2</v>
      </c>
      <c r="I1994">
        <f t="shared" si="249"/>
        <v>140.61125469046866</v>
      </c>
      <c r="J1994">
        <f t="shared" si="244"/>
        <v>485.88554158325576</v>
      </c>
      <c r="K1994" s="27">
        <f t="shared" si="245"/>
        <v>4384.8088040365465</v>
      </c>
    </row>
    <row r="1995" spans="1:11" x14ac:dyDescent="0.25">
      <c r="A1995" s="26">
        <v>1945</v>
      </c>
      <c r="B1995" s="82">
        <f t="shared" si="246"/>
        <v>0</v>
      </c>
      <c r="C1995" s="58">
        <f t="shared" si="242"/>
        <v>104.50616427295054</v>
      </c>
      <c r="D1995" s="83">
        <f t="shared" si="247"/>
        <v>445.77777777777789</v>
      </c>
      <c r="E1995">
        <f t="shared" si="243"/>
        <v>0</v>
      </c>
      <c r="G1995">
        <v>1945</v>
      </c>
      <c r="H1995" s="13">
        <f t="shared" si="248"/>
        <v>1.8572577375266519E-2</v>
      </c>
      <c r="I1995">
        <f t="shared" si="249"/>
        <v>140.62982726784392</v>
      </c>
      <c r="J1995">
        <f t="shared" si="244"/>
        <v>485.89732550910281</v>
      </c>
      <c r="K1995" s="27">
        <f t="shared" si="245"/>
        <v>4385.0214374064444</v>
      </c>
    </row>
    <row r="1996" spans="1:11" x14ac:dyDescent="0.25">
      <c r="A1996" s="26">
        <v>1946</v>
      </c>
      <c r="B1996" s="82">
        <f t="shared" si="246"/>
        <v>0</v>
      </c>
      <c r="C1996" s="58">
        <f t="shared" si="242"/>
        <v>104.50616427295054</v>
      </c>
      <c r="D1996" s="83">
        <f t="shared" si="247"/>
        <v>445.77777777777789</v>
      </c>
      <c r="E1996">
        <f t="shared" si="243"/>
        <v>0</v>
      </c>
      <c r="G1996">
        <v>1946</v>
      </c>
      <c r="H1996" s="13">
        <f t="shared" si="248"/>
        <v>1.8572577375266519E-2</v>
      </c>
      <c r="I1996">
        <f t="shared" si="249"/>
        <v>140.64839984521919</v>
      </c>
      <c r="J1996">
        <f t="shared" si="244"/>
        <v>485.90910372362134</v>
      </c>
      <c r="K1996" s="27">
        <f t="shared" si="245"/>
        <v>4385.2339728673687</v>
      </c>
    </row>
    <row r="1997" spans="1:11" x14ac:dyDescent="0.25">
      <c r="A1997" s="26">
        <v>1947</v>
      </c>
      <c r="B1997" s="82">
        <f t="shared" si="246"/>
        <v>0</v>
      </c>
      <c r="C1997" s="58">
        <f t="shared" si="242"/>
        <v>104.50616427295054</v>
      </c>
      <c r="D1997" s="83">
        <f t="shared" si="247"/>
        <v>445.77777777777789</v>
      </c>
      <c r="E1997">
        <f t="shared" si="243"/>
        <v>0</v>
      </c>
      <c r="G1997">
        <v>1947</v>
      </c>
      <c r="H1997" s="13">
        <f t="shared" si="248"/>
        <v>1.8572577375266519E-2</v>
      </c>
      <c r="I1997">
        <f t="shared" si="249"/>
        <v>140.66697242259445</v>
      </c>
      <c r="J1997">
        <f t="shared" si="244"/>
        <v>485.92087622919331</v>
      </c>
      <c r="K1997" s="27">
        <f t="shared" si="245"/>
        <v>4385.446410454796</v>
      </c>
    </row>
    <row r="1998" spans="1:11" x14ac:dyDescent="0.25">
      <c r="A1998" s="26">
        <v>1948</v>
      </c>
      <c r="B1998" s="82">
        <f t="shared" si="246"/>
        <v>0</v>
      </c>
      <c r="C1998" s="58">
        <f t="shared" si="242"/>
        <v>104.50616427295054</v>
      </c>
      <c r="D1998" s="83">
        <f t="shared" si="247"/>
        <v>445.77777777777789</v>
      </c>
      <c r="E1998">
        <f t="shared" si="243"/>
        <v>0</v>
      </c>
      <c r="G1998">
        <v>1948</v>
      </c>
      <c r="H1998" s="13">
        <f t="shared" si="248"/>
        <v>1.8572577375266519E-2</v>
      </c>
      <c r="I1998">
        <f t="shared" si="249"/>
        <v>140.68554499996972</v>
      </c>
      <c r="J1998">
        <f t="shared" si="244"/>
        <v>485.9326430281983</v>
      </c>
      <c r="K1998" s="27">
        <f t="shared" si="245"/>
        <v>4385.6587502041721</v>
      </c>
    </row>
    <row r="1999" spans="1:11" x14ac:dyDescent="0.25">
      <c r="A1999" s="26">
        <v>1949</v>
      </c>
      <c r="B1999" s="82">
        <f t="shared" si="246"/>
        <v>0</v>
      </c>
      <c r="C1999" s="58">
        <f t="shared" si="242"/>
        <v>104.50616427295054</v>
      </c>
      <c r="D1999" s="83">
        <f t="shared" si="247"/>
        <v>445.77777777777789</v>
      </c>
      <c r="E1999">
        <f t="shared" si="243"/>
        <v>0</v>
      </c>
      <c r="G1999">
        <v>1949</v>
      </c>
      <c r="H1999" s="13">
        <f t="shared" si="248"/>
        <v>1.8572577375266519E-2</v>
      </c>
      <c r="I1999">
        <f t="shared" si="249"/>
        <v>140.70411757734499</v>
      </c>
      <c r="J1999">
        <f t="shared" si="244"/>
        <v>485.94440412301344</v>
      </c>
      <c r="K1999" s="27">
        <f t="shared" si="245"/>
        <v>4385.8709921509035</v>
      </c>
    </row>
    <row r="2000" spans="1:11" x14ac:dyDescent="0.25">
      <c r="A2000" s="26">
        <v>1950</v>
      </c>
      <c r="B2000" s="82">
        <f t="shared" si="246"/>
        <v>0</v>
      </c>
      <c r="C2000" s="58">
        <f t="shared" ref="C2000:C2049" si="250">($C$37-$C$36)/2000+C1999</f>
        <v>104.50616427295054</v>
      </c>
      <c r="D2000" s="83">
        <f t="shared" si="247"/>
        <v>445.77777777777789</v>
      </c>
      <c r="E2000">
        <f t="shared" si="243"/>
        <v>0</v>
      </c>
      <c r="G2000">
        <v>1950</v>
      </c>
      <c r="H2000" s="13">
        <f t="shared" si="248"/>
        <v>1.8572577375266519E-2</v>
      </c>
      <c r="I2000">
        <f t="shared" si="249"/>
        <v>140.72269015472025</v>
      </c>
      <c r="J2000">
        <f t="shared" si="244"/>
        <v>485.95615951601332</v>
      </c>
      <c r="K2000" s="27">
        <f t="shared" si="245"/>
        <v>4386.0831363303578</v>
      </c>
    </row>
    <row r="2001" spans="1:11" x14ac:dyDescent="0.25">
      <c r="A2001" s="26">
        <v>1951</v>
      </c>
      <c r="B2001" s="82">
        <f t="shared" si="246"/>
        <v>0</v>
      </c>
      <c r="C2001" s="58">
        <f t="shared" si="250"/>
        <v>104.50616427295054</v>
      </c>
      <c r="D2001" s="83">
        <f t="shared" si="247"/>
        <v>445.77777777777789</v>
      </c>
      <c r="E2001">
        <f t="shared" si="243"/>
        <v>0</v>
      </c>
      <c r="G2001">
        <v>1951</v>
      </c>
      <c r="H2001" s="13">
        <f t="shared" si="248"/>
        <v>1.8572577375266519E-2</v>
      </c>
      <c r="I2001">
        <f t="shared" si="249"/>
        <v>140.74126273209552</v>
      </c>
      <c r="J2001">
        <f t="shared" si="244"/>
        <v>485.96790920957005</v>
      </c>
      <c r="K2001" s="27">
        <f t="shared" si="245"/>
        <v>4386.2951827778707</v>
      </c>
    </row>
    <row r="2002" spans="1:11" x14ac:dyDescent="0.25">
      <c r="A2002" s="26">
        <v>1952</v>
      </c>
      <c r="B2002" s="82">
        <f t="shared" si="246"/>
        <v>0</v>
      </c>
      <c r="C2002" s="58">
        <f t="shared" si="250"/>
        <v>104.50616427295054</v>
      </c>
      <c r="D2002" s="83">
        <f t="shared" si="247"/>
        <v>445.77777777777789</v>
      </c>
      <c r="E2002">
        <f t="shared" si="243"/>
        <v>0</v>
      </c>
      <c r="G2002">
        <v>1952</v>
      </c>
      <c r="H2002" s="13">
        <f t="shared" si="248"/>
        <v>1.8572577375266519E-2</v>
      </c>
      <c r="I2002">
        <f t="shared" si="249"/>
        <v>140.75983530947079</v>
      </c>
      <c r="J2002">
        <f t="shared" si="244"/>
        <v>485.97965320605329</v>
      </c>
      <c r="K2002" s="27">
        <f t="shared" si="245"/>
        <v>4386.5071315287341</v>
      </c>
    </row>
    <row r="2003" spans="1:11" x14ac:dyDescent="0.25">
      <c r="A2003" s="26">
        <v>1953</v>
      </c>
      <c r="B2003" s="82">
        <f t="shared" si="246"/>
        <v>0</v>
      </c>
      <c r="C2003" s="58">
        <f t="shared" si="250"/>
        <v>104.50616427295054</v>
      </c>
      <c r="D2003" s="83">
        <f t="shared" si="247"/>
        <v>445.77777777777789</v>
      </c>
      <c r="E2003">
        <f t="shared" si="243"/>
        <v>0</v>
      </c>
      <c r="G2003">
        <v>1953</v>
      </c>
      <c r="H2003" s="13">
        <f t="shared" si="248"/>
        <v>1.8572577375266519E-2</v>
      </c>
      <c r="I2003">
        <f t="shared" si="249"/>
        <v>140.77840788684605</v>
      </c>
      <c r="J2003">
        <f t="shared" si="244"/>
        <v>485.99139150783026</v>
      </c>
      <c r="K2003" s="27">
        <f t="shared" si="245"/>
        <v>4386.7189826182102</v>
      </c>
    </row>
    <row r="2004" spans="1:11" x14ac:dyDescent="0.25">
      <c r="A2004" s="26">
        <v>1954</v>
      </c>
      <c r="B2004" s="82">
        <f t="shared" si="246"/>
        <v>0</v>
      </c>
      <c r="C2004" s="58">
        <f t="shared" si="250"/>
        <v>104.50616427295054</v>
      </c>
      <c r="D2004" s="83">
        <f t="shared" si="247"/>
        <v>445.77777777777789</v>
      </c>
      <c r="E2004">
        <f t="shared" si="243"/>
        <v>0</v>
      </c>
      <c r="G2004">
        <v>1954</v>
      </c>
      <c r="H2004" s="13">
        <f t="shared" si="248"/>
        <v>1.8572577375266519E-2</v>
      </c>
      <c r="I2004">
        <f t="shared" si="249"/>
        <v>140.79698046422132</v>
      </c>
      <c r="J2004">
        <f t="shared" si="244"/>
        <v>486.00312411726577</v>
      </c>
      <c r="K2004" s="27">
        <f t="shared" si="245"/>
        <v>4386.9307360815219</v>
      </c>
    </row>
    <row r="2005" spans="1:11" x14ac:dyDescent="0.25">
      <c r="A2005" s="26">
        <v>1955</v>
      </c>
      <c r="B2005" s="82">
        <f t="shared" si="246"/>
        <v>0</v>
      </c>
      <c r="C2005" s="58">
        <f t="shared" si="250"/>
        <v>104.50616427295054</v>
      </c>
      <c r="D2005" s="83">
        <f t="shared" si="247"/>
        <v>445.77777777777789</v>
      </c>
      <c r="E2005">
        <f t="shared" si="243"/>
        <v>0</v>
      </c>
      <c r="G2005">
        <v>1955</v>
      </c>
      <c r="H2005" s="13">
        <f t="shared" si="248"/>
        <v>1.8572577375266519E-2</v>
      </c>
      <c r="I2005">
        <f t="shared" si="249"/>
        <v>140.81555304159659</v>
      </c>
      <c r="J2005">
        <f t="shared" si="244"/>
        <v>486.01485103672201</v>
      </c>
      <c r="K2005" s="27">
        <f t="shared" si="245"/>
        <v>4387.1423919538538</v>
      </c>
    </row>
    <row r="2006" spans="1:11" x14ac:dyDescent="0.25">
      <c r="A2006" s="26">
        <v>1956</v>
      </c>
      <c r="B2006" s="82">
        <f t="shared" si="246"/>
        <v>0</v>
      </c>
      <c r="C2006" s="58">
        <f t="shared" si="250"/>
        <v>104.50616427295054</v>
      </c>
      <c r="D2006" s="83">
        <f t="shared" si="247"/>
        <v>445.77777777777789</v>
      </c>
      <c r="E2006">
        <f t="shared" si="243"/>
        <v>0</v>
      </c>
      <c r="G2006">
        <v>1956</v>
      </c>
      <c r="H2006" s="13">
        <f t="shared" si="248"/>
        <v>1.8572577375266519E-2</v>
      </c>
      <c r="I2006">
        <f t="shared" si="249"/>
        <v>140.83412561897185</v>
      </c>
      <c r="J2006">
        <f t="shared" si="244"/>
        <v>486.02657226855899</v>
      </c>
      <c r="K2006" s="27">
        <f t="shared" si="245"/>
        <v>4387.3539502703579</v>
      </c>
    </row>
    <row r="2007" spans="1:11" x14ac:dyDescent="0.25">
      <c r="A2007" s="26">
        <v>1957</v>
      </c>
      <c r="B2007" s="82">
        <f t="shared" si="246"/>
        <v>0</v>
      </c>
      <c r="C2007" s="58">
        <f t="shared" si="250"/>
        <v>104.50616427295054</v>
      </c>
      <c r="D2007" s="83">
        <f t="shared" si="247"/>
        <v>445.77777777777789</v>
      </c>
      <c r="E2007">
        <f t="shared" si="243"/>
        <v>0</v>
      </c>
      <c r="G2007">
        <v>1957</v>
      </c>
      <c r="H2007" s="13">
        <f t="shared" si="248"/>
        <v>1.8572577375266519E-2</v>
      </c>
      <c r="I2007">
        <f t="shared" si="249"/>
        <v>140.85269819634712</v>
      </c>
      <c r="J2007">
        <f t="shared" si="244"/>
        <v>486.03828781513397</v>
      </c>
      <c r="K2007" s="27">
        <f t="shared" si="245"/>
        <v>4387.5654110661453</v>
      </c>
    </row>
    <row r="2008" spans="1:11" x14ac:dyDescent="0.25">
      <c r="A2008" s="26">
        <v>1958</v>
      </c>
      <c r="B2008" s="82">
        <f t="shared" si="246"/>
        <v>0</v>
      </c>
      <c r="C2008" s="58">
        <f t="shared" si="250"/>
        <v>104.50616427295054</v>
      </c>
      <c r="D2008" s="83">
        <f t="shared" si="247"/>
        <v>445.77777777777789</v>
      </c>
      <c r="E2008">
        <f t="shared" si="243"/>
        <v>0</v>
      </c>
      <c r="G2008">
        <v>1958</v>
      </c>
      <c r="H2008" s="13">
        <f t="shared" si="248"/>
        <v>1.8572577375266519E-2</v>
      </c>
      <c r="I2008">
        <f t="shared" si="249"/>
        <v>140.87127077372239</v>
      </c>
      <c r="J2008">
        <f t="shared" si="244"/>
        <v>486.04999767880196</v>
      </c>
      <c r="K2008" s="27">
        <f t="shared" si="245"/>
        <v>4387.7767743762934</v>
      </c>
    </row>
    <row r="2009" spans="1:11" x14ac:dyDescent="0.25">
      <c r="A2009" s="26">
        <v>1959</v>
      </c>
      <c r="B2009" s="82">
        <f t="shared" si="246"/>
        <v>0</v>
      </c>
      <c r="C2009" s="58">
        <f t="shared" si="250"/>
        <v>104.50616427295054</v>
      </c>
      <c r="D2009" s="83">
        <f t="shared" si="247"/>
        <v>445.77777777777789</v>
      </c>
      <c r="E2009">
        <f t="shared" si="243"/>
        <v>0</v>
      </c>
      <c r="G2009">
        <v>1959</v>
      </c>
      <c r="H2009" s="13">
        <f t="shared" si="248"/>
        <v>1.8572577375266519E-2</v>
      </c>
      <c r="I2009">
        <f t="shared" si="249"/>
        <v>140.88984335109765</v>
      </c>
      <c r="J2009">
        <f t="shared" si="244"/>
        <v>486.06170186191542</v>
      </c>
      <c r="K2009" s="27">
        <f t="shared" si="245"/>
        <v>4387.9880402358422</v>
      </c>
    </row>
    <row r="2010" spans="1:11" x14ac:dyDescent="0.25">
      <c r="A2010" s="26">
        <v>1960</v>
      </c>
      <c r="B2010" s="82">
        <f t="shared" si="246"/>
        <v>0</v>
      </c>
      <c r="C2010" s="58">
        <f t="shared" si="250"/>
        <v>104.50616427295054</v>
      </c>
      <c r="D2010" s="83">
        <f t="shared" si="247"/>
        <v>445.77777777777789</v>
      </c>
      <c r="E2010">
        <f t="shared" si="243"/>
        <v>0</v>
      </c>
      <c r="G2010">
        <v>1960</v>
      </c>
      <c r="H2010" s="13">
        <f t="shared" si="248"/>
        <v>1.8572577375266519E-2</v>
      </c>
      <c r="I2010">
        <f t="shared" si="249"/>
        <v>140.90841592847292</v>
      </c>
      <c r="J2010">
        <f t="shared" si="244"/>
        <v>486.0734003668245</v>
      </c>
      <c r="K2010" s="27">
        <f t="shared" si="245"/>
        <v>4388.1992086797973</v>
      </c>
    </row>
    <row r="2011" spans="1:11" x14ac:dyDescent="0.25">
      <c r="A2011" s="26">
        <v>1961</v>
      </c>
      <c r="B2011" s="82">
        <f t="shared" si="246"/>
        <v>0</v>
      </c>
      <c r="C2011" s="58">
        <f t="shared" si="250"/>
        <v>104.50616427295054</v>
      </c>
      <c r="D2011" s="83">
        <f t="shared" si="247"/>
        <v>445.77777777777789</v>
      </c>
      <c r="E2011">
        <f t="shared" si="243"/>
        <v>0</v>
      </c>
      <c r="G2011">
        <v>1961</v>
      </c>
      <c r="H2011" s="13">
        <f t="shared" si="248"/>
        <v>1.8572577375266519E-2</v>
      </c>
      <c r="I2011">
        <f t="shared" si="249"/>
        <v>140.92698850584819</v>
      </c>
      <c r="J2011">
        <f t="shared" si="244"/>
        <v>486.08509319587682</v>
      </c>
      <c r="K2011" s="27">
        <f t="shared" si="245"/>
        <v>4388.410279743126</v>
      </c>
    </row>
    <row r="2012" spans="1:11" x14ac:dyDescent="0.25">
      <c r="A2012" s="26">
        <v>1962</v>
      </c>
      <c r="B2012" s="82">
        <f t="shared" si="246"/>
        <v>0</v>
      </c>
      <c r="C2012" s="58">
        <f t="shared" si="250"/>
        <v>104.50616427295054</v>
      </c>
      <c r="D2012" s="83">
        <f t="shared" si="247"/>
        <v>445.77777777777789</v>
      </c>
      <c r="E2012">
        <f t="shared" si="243"/>
        <v>0</v>
      </c>
      <c r="G2012">
        <v>1962</v>
      </c>
      <c r="H2012" s="13">
        <f t="shared" si="248"/>
        <v>1.8572577375266519E-2</v>
      </c>
      <c r="I2012">
        <f t="shared" si="249"/>
        <v>140.94556108322345</v>
      </c>
      <c r="J2012">
        <f t="shared" si="244"/>
        <v>486.09678035141758</v>
      </c>
      <c r="K2012" s="27">
        <f t="shared" si="245"/>
        <v>4388.6212534607603</v>
      </c>
    </row>
    <row r="2013" spans="1:11" x14ac:dyDescent="0.25">
      <c r="A2013" s="26">
        <v>1963</v>
      </c>
      <c r="B2013" s="82">
        <f t="shared" si="246"/>
        <v>0</v>
      </c>
      <c r="C2013" s="58">
        <f t="shared" si="250"/>
        <v>104.50616427295054</v>
      </c>
      <c r="D2013" s="83">
        <f t="shared" si="247"/>
        <v>445.77777777777789</v>
      </c>
      <c r="E2013">
        <f t="shared" si="243"/>
        <v>0</v>
      </c>
      <c r="G2013">
        <v>1963</v>
      </c>
      <c r="H2013" s="13">
        <f t="shared" si="248"/>
        <v>1.8572577375266519E-2</v>
      </c>
      <c r="I2013">
        <f t="shared" si="249"/>
        <v>140.96413366059872</v>
      </c>
      <c r="J2013">
        <f t="shared" si="244"/>
        <v>486.10846183578951</v>
      </c>
      <c r="K2013" s="27">
        <f t="shared" si="245"/>
        <v>4388.8321298675946</v>
      </c>
    </row>
    <row r="2014" spans="1:11" x14ac:dyDescent="0.25">
      <c r="A2014" s="26">
        <v>1964</v>
      </c>
      <c r="B2014" s="82">
        <f t="shared" si="246"/>
        <v>0</v>
      </c>
      <c r="C2014" s="58">
        <f t="shared" si="250"/>
        <v>104.50616427295054</v>
      </c>
      <c r="D2014" s="83">
        <f t="shared" si="247"/>
        <v>445.77777777777789</v>
      </c>
      <c r="E2014">
        <f t="shared" si="243"/>
        <v>0</v>
      </c>
      <c r="G2014">
        <v>1964</v>
      </c>
      <c r="H2014" s="13">
        <f t="shared" si="248"/>
        <v>1.8572577375266519E-2</v>
      </c>
      <c r="I2014">
        <f t="shared" si="249"/>
        <v>140.98270623797399</v>
      </c>
      <c r="J2014">
        <f t="shared" si="244"/>
        <v>486.12013765133304</v>
      </c>
      <c r="K2014" s="27">
        <f t="shared" si="245"/>
        <v>4389.0429089984891</v>
      </c>
    </row>
    <row r="2015" spans="1:11" x14ac:dyDescent="0.25">
      <c r="A2015" s="26">
        <v>1965</v>
      </c>
      <c r="B2015" s="82">
        <f t="shared" si="246"/>
        <v>0</v>
      </c>
      <c r="C2015" s="58">
        <f t="shared" si="250"/>
        <v>104.50616427295054</v>
      </c>
      <c r="D2015" s="83">
        <f t="shared" si="247"/>
        <v>445.77777777777789</v>
      </c>
      <c r="E2015">
        <f t="shared" si="243"/>
        <v>0</v>
      </c>
      <c r="G2015">
        <v>1965</v>
      </c>
      <c r="H2015" s="13">
        <f t="shared" si="248"/>
        <v>1.8572577375266519E-2</v>
      </c>
      <c r="I2015">
        <f t="shared" si="249"/>
        <v>141.00127881534925</v>
      </c>
      <c r="J2015">
        <f t="shared" si="244"/>
        <v>486.13180780038601</v>
      </c>
      <c r="K2015" s="27">
        <f t="shared" si="245"/>
        <v>4389.2535908882655</v>
      </c>
    </row>
    <row r="2016" spans="1:11" x14ac:dyDescent="0.25">
      <c r="A2016" s="26">
        <v>1966</v>
      </c>
      <c r="B2016" s="82">
        <f t="shared" si="246"/>
        <v>0</v>
      </c>
      <c r="C2016" s="58">
        <f t="shared" si="250"/>
        <v>104.50616427295054</v>
      </c>
      <c r="D2016" s="83">
        <f t="shared" si="247"/>
        <v>445.77777777777789</v>
      </c>
      <c r="E2016">
        <f t="shared" si="243"/>
        <v>0</v>
      </c>
      <c r="G2016">
        <v>1966</v>
      </c>
      <c r="H2016" s="13">
        <f t="shared" si="248"/>
        <v>1.8572577375266519E-2</v>
      </c>
      <c r="I2016">
        <f t="shared" si="249"/>
        <v>141.01985139272452</v>
      </c>
      <c r="J2016">
        <f t="shared" si="244"/>
        <v>486.14347228528402</v>
      </c>
      <c r="K2016" s="27">
        <f t="shared" si="245"/>
        <v>4389.4641755717139</v>
      </c>
    </row>
    <row r="2017" spans="1:11" x14ac:dyDescent="0.25">
      <c r="A2017" s="26">
        <v>1967</v>
      </c>
      <c r="B2017" s="82">
        <f t="shared" si="246"/>
        <v>0</v>
      </c>
      <c r="C2017" s="58">
        <f t="shared" si="250"/>
        <v>104.50616427295054</v>
      </c>
      <c r="D2017" s="83">
        <f t="shared" si="247"/>
        <v>445.77777777777789</v>
      </c>
      <c r="E2017">
        <f t="shared" si="243"/>
        <v>0</v>
      </c>
      <c r="G2017">
        <v>1967</v>
      </c>
      <c r="H2017" s="13">
        <f t="shared" si="248"/>
        <v>1.8572577375266519E-2</v>
      </c>
      <c r="I2017">
        <f t="shared" si="249"/>
        <v>141.03842397009979</v>
      </c>
      <c r="J2017">
        <f t="shared" si="244"/>
        <v>486.15513110836008</v>
      </c>
      <c r="K2017" s="27">
        <f t="shared" si="245"/>
        <v>4389.6746630835833</v>
      </c>
    </row>
    <row r="2018" spans="1:11" x14ac:dyDescent="0.25">
      <c r="A2018" s="26">
        <v>1968</v>
      </c>
      <c r="B2018" s="82">
        <f t="shared" si="246"/>
        <v>0</v>
      </c>
      <c r="C2018" s="58">
        <f t="shared" si="250"/>
        <v>104.50616427295054</v>
      </c>
      <c r="D2018" s="83">
        <f t="shared" si="247"/>
        <v>445.77777777777789</v>
      </c>
      <c r="E2018">
        <f t="shared" si="243"/>
        <v>0</v>
      </c>
      <c r="G2018">
        <v>1968</v>
      </c>
      <c r="H2018" s="13">
        <f t="shared" si="248"/>
        <v>1.8572577375266519E-2</v>
      </c>
      <c r="I2018">
        <f t="shared" si="249"/>
        <v>141.05699654747505</v>
      </c>
      <c r="J2018">
        <f t="shared" si="244"/>
        <v>486.16678427194495</v>
      </c>
      <c r="K2018" s="27">
        <f t="shared" si="245"/>
        <v>4389.8850534585899</v>
      </c>
    </row>
    <row r="2019" spans="1:11" x14ac:dyDescent="0.25">
      <c r="A2019" s="26">
        <v>1969</v>
      </c>
      <c r="B2019" s="82">
        <f t="shared" si="246"/>
        <v>0</v>
      </c>
      <c r="C2019" s="58">
        <f t="shared" si="250"/>
        <v>104.50616427295054</v>
      </c>
      <c r="D2019" s="83">
        <f t="shared" si="247"/>
        <v>445.77777777777789</v>
      </c>
      <c r="E2019">
        <f t="shared" si="243"/>
        <v>0</v>
      </c>
      <c r="G2019">
        <v>1969</v>
      </c>
      <c r="H2019" s="13">
        <f t="shared" si="248"/>
        <v>1.8572577375266519E-2</v>
      </c>
      <c r="I2019">
        <f t="shared" si="249"/>
        <v>141.07556912485032</v>
      </c>
      <c r="J2019">
        <f t="shared" si="244"/>
        <v>486.17843177836687</v>
      </c>
      <c r="K2019" s="27">
        <f t="shared" si="245"/>
        <v>4390.095346731413</v>
      </c>
    </row>
    <row r="2020" spans="1:11" x14ac:dyDescent="0.25">
      <c r="A2020" s="26">
        <v>1970</v>
      </c>
      <c r="B2020" s="82">
        <f t="shared" si="246"/>
        <v>0</v>
      </c>
      <c r="C2020" s="58">
        <f t="shared" si="250"/>
        <v>104.50616427295054</v>
      </c>
      <c r="D2020" s="83">
        <f t="shared" si="247"/>
        <v>445.77777777777789</v>
      </c>
      <c r="E2020">
        <f t="shared" si="243"/>
        <v>0</v>
      </c>
      <c r="G2020">
        <v>1970</v>
      </c>
      <c r="H2020" s="13">
        <f t="shared" si="248"/>
        <v>1.8572577375266519E-2</v>
      </c>
      <c r="I2020">
        <f t="shared" si="249"/>
        <v>141.09414170222558</v>
      </c>
      <c r="J2020">
        <f t="shared" si="244"/>
        <v>486.19007362995171</v>
      </c>
      <c r="K2020" s="27">
        <f t="shared" si="245"/>
        <v>4390.3055429366968</v>
      </c>
    </row>
    <row r="2021" spans="1:11" x14ac:dyDescent="0.25">
      <c r="A2021" s="26">
        <v>1971</v>
      </c>
      <c r="B2021" s="82">
        <f t="shared" si="246"/>
        <v>0</v>
      </c>
      <c r="C2021" s="58">
        <f t="shared" si="250"/>
        <v>104.50616427295054</v>
      </c>
      <c r="D2021" s="83">
        <f t="shared" si="247"/>
        <v>445.77777777777789</v>
      </c>
      <c r="E2021">
        <f t="shared" si="243"/>
        <v>0</v>
      </c>
      <c r="G2021">
        <v>1971</v>
      </c>
      <c r="H2021" s="13">
        <f t="shared" si="248"/>
        <v>1.8572577375266519E-2</v>
      </c>
      <c r="I2021">
        <f t="shared" si="249"/>
        <v>141.11271427960085</v>
      </c>
      <c r="J2021">
        <f t="shared" si="244"/>
        <v>486.20170982902289</v>
      </c>
      <c r="K2021" s="27">
        <f t="shared" si="245"/>
        <v>4390.5156421090478</v>
      </c>
    </row>
    <row r="2022" spans="1:11" x14ac:dyDescent="0.25">
      <c r="A2022" s="26">
        <v>1972</v>
      </c>
      <c r="B2022" s="82">
        <f t="shared" si="246"/>
        <v>0</v>
      </c>
      <c r="C2022" s="58">
        <f t="shared" si="250"/>
        <v>104.50616427295054</v>
      </c>
      <c r="D2022" s="83">
        <f t="shared" si="247"/>
        <v>445.77777777777789</v>
      </c>
      <c r="E2022">
        <f t="shared" si="243"/>
        <v>0</v>
      </c>
      <c r="G2022">
        <v>1972</v>
      </c>
      <c r="H2022" s="13">
        <f t="shared" si="248"/>
        <v>1.8572577375266519E-2</v>
      </c>
      <c r="I2022">
        <f t="shared" si="249"/>
        <v>141.13128685697612</v>
      </c>
      <c r="J2022">
        <f t="shared" si="244"/>
        <v>486.21334037790155</v>
      </c>
      <c r="K2022" s="27">
        <f t="shared" si="245"/>
        <v>4390.7256442830394</v>
      </c>
    </row>
    <row r="2023" spans="1:11" x14ac:dyDescent="0.25">
      <c r="A2023" s="26">
        <v>1973</v>
      </c>
      <c r="B2023" s="82">
        <f t="shared" si="246"/>
        <v>0</v>
      </c>
      <c r="C2023" s="58">
        <f t="shared" si="250"/>
        <v>104.50616427295054</v>
      </c>
      <c r="D2023" s="83">
        <f t="shared" si="247"/>
        <v>445.77777777777789</v>
      </c>
      <c r="E2023">
        <f t="shared" si="243"/>
        <v>0</v>
      </c>
      <c r="G2023">
        <v>1973</v>
      </c>
      <c r="H2023" s="13">
        <f t="shared" si="248"/>
        <v>1.8572577375266519E-2</v>
      </c>
      <c r="I2023">
        <f t="shared" si="249"/>
        <v>141.14985943435138</v>
      </c>
      <c r="J2023">
        <f t="shared" si="244"/>
        <v>486.22496527890632</v>
      </c>
      <c r="K2023" s="27">
        <f t="shared" si="245"/>
        <v>4390.9355494932088</v>
      </c>
    </row>
    <row r="2024" spans="1:11" x14ac:dyDescent="0.25">
      <c r="A2024" s="26">
        <v>1974</v>
      </c>
      <c r="B2024" s="82">
        <f t="shared" si="246"/>
        <v>0</v>
      </c>
      <c r="C2024" s="58">
        <f t="shared" si="250"/>
        <v>104.50616427295054</v>
      </c>
      <c r="D2024" s="83">
        <f t="shared" si="247"/>
        <v>445.77777777777789</v>
      </c>
      <c r="E2024">
        <f t="shared" si="243"/>
        <v>0</v>
      </c>
      <c r="G2024">
        <v>1974</v>
      </c>
      <c r="H2024" s="13">
        <f t="shared" si="248"/>
        <v>1.8572577375266519E-2</v>
      </c>
      <c r="I2024">
        <f t="shared" si="249"/>
        <v>141.16843201172665</v>
      </c>
      <c r="J2024">
        <f t="shared" si="244"/>
        <v>486.23658453435348</v>
      </c>
      <c r="K2024" s="27">
        <f t="shared" si="245"/>
        <v>4391.1453577740531</v>
      </c>
    </row>
    <row r="2025" spans="1:11" x14ac:dyDescent="0.25">
      <c r="A2025" s="26">
        <v>1975</v>
      </c>
      <c r="B2025" s="82">
        <f t="shared" si="246"/>
        <v>0</v>
      </c>
      <c r="C2025" s="58">
        <f t="shared" si="250"/>
        <v>104.50616427295054</v>
      </c>
      <c r="D2025" s="83">
        <f t="shared" si="247"/>
        <v>445.77777777777789</v>
      </c>
      <c r="E2025">
        <f t="shared" si="243"/>
        <v>0</v>
      </c>
      <c r="G2025">
        <v>1975</v>
      </c>
      <c r="H2025" s="13">
        <f t="shared" si="248"/>
        <v>1.8572577375266519E-2</v>
      </c>
      <c r="I2025">
        <f t="shared" si="249"/>
        <v>141.18700458910192</v>
      </c>
      <c r="J2025">
        <f t="shared" si="244"/>
        <v>486.24819814655683</v>
      </c>
      <c r="K2025" s="27">
        <f t="shared" si="245"/>
        <v>4391.3550691600412</v>
      </c>
    </row>
    <row r="2026" spans="1:11" x14ac:dyDescent="0.25">
      <c r="A2026" s="26">
        <v>1976</v>
      </c>
      <c r="B2026" s="82">
        <f t="shared" si="246"/>
        <v>0</v>
      </c>
      <c r="C2026" s="58">
        <f t="shared" si="250"/>
        <v>104.50616427295054</v>
      </c>
      <c r="D2026" s="83">
        <f t="shared" si="247"/>
        <v>445.77777777777789</v>
      </c>
      <c r="E2026">
        <f t="shared" si="243"/>
        <v>0</v>
      </c>
      <c r="G2026">
        <v>1976</v>
      </c>
      <c r="H2026" s="13">
        <f t="shared" si="248"/>
        <v>1.8572577375266519E-2</v>
      </c>
      <c r="I2026">
        <f t="shared" si="249"/>
        <v>141.20557716647718</v>
      </c>
      <c r="J2026">
        <f t="shared" si="244"/>
        <v>486.25980611782802</v>
      </c>
      <c r="K2026" s="27">
        <f t="shared" si="245"/>
        <v>4391.5646836856022</v>
      </c>
    </row>
    <row r="2027" spans="1:11" x14ac:dyDescent="0.25">
      <c r="A2027" s="26">
        <v>1977</v>
      </c>
      <c r="B2027" s="82">
        <f t="shared" si="246"/>
        <v>0</v>
      </c>
      <c r="C2027" s="58">
        <f t="shared" si="250"/>
        <v>104.50616427295054</v>
      </c>
      <c r="D2027" s="83">
        <f t="shared" si="247"/>
        <v>445.77777777777789</v>
      </c>
      <c r="E2027">
        <f t="shared" si="243"/>
        <v>0</v>
      </c>
      <c r="G2027">
        <v>1977</v>
      </c>
      <c r="H2027" s="13">
        <f t="shared" si="248"/>
        <v>1.8572577375266519E-2</v>
      </c>
      <c r="I2027">
        <f t="shared" si="249"/>
        <v>141.22414974385245</v>
      </c>
      <c r="J2027">
        <f t="shared" si="244"/>
        <v>486.27140845047603</v>
      </c>
      <c r="K2027" s="27">
        <f t="shared" si="245"/>
        <v>4391.7742013851284</v>
      </c>
    </row>
    <row r="2028" spans="1:11" x14ac:dyDescent="0.25">
      <c r="A2028" s="26">
        <v>1978</v>
      </c>
      <c r="B2028" s="82">
        <f t="shared" si="246"/>
        <v>0</v>
      </c>
      <c r="C2028" s="58">
        <f t="shared" si="250"/>
        <v>104.50616427295054</v>
      </c>
      <c r="D2028" s="83">
        <f t="shared" si="247"/>
        <v>445.77777777777789</v>
      </c>
      <c r="E2028">
        <f t="shared" si="243"/>
        <v>0</v>
      </c>
      <c r="G2028">
        <v>1978</v>
      </c>
      <c r="H2028" s="13">
        <f t="shared" si="248"/>
        <v>1.8572577375266519E-2</v>
      </c>
      <c r="I2028">
        <f t="shared" si="249"/>
        <v>141.24272232122772</v>
      </c>
      <c r="J2028">
        <f t="shared" si="244"/>
        <v>486.28300514680768</v>
      </c>
      <c r="K2028" s="27">
        <f t="shared" si="245"/>
        <v>4391.9836222929798</v>
      </c>
    </row>
    <row r="2029" spans="1:11" x14ac:dyDescent="0.25">
      <c r="A2029" s="26">
        <v>1979</v>
      </c>
      <c r="B2029" s="82">
        <f t="shared" si="246"/>
        <v>0</v>
      </c>
      <c r="C2029" s="58">
        <f t="shared" si="250"/>
        <v>104.50616427295054</v>
      </c>
      <c r="D2029" s="83">
        <f t="shared" si="247"/>
        <v>445.77777777777789</v>
      </c>
      <c r="E2029">
        <f t="shared" si="243"/>
        <v>0</v>
      </c>
      <c r="G2029">
        <v>1979</v>
      </c>
      <c r="H2029" s="13">
        <f t="shared" si="248"/>
        <v>1.8572577375266519E-2</v>
      </c>
      <c r="I2029">
        <f t="shared" si="249"/>
        <v>141.26129489860298</v>
      </c>
      <c r="J2029">
        <f t="shared" si="244"/>
        <v>486.29459620912723</v>
      </c>
      <c r="K2029" s="27">
        <f t="shared" si="245"/>
        <v>4392.1929464434779</v>
      </c>
    </row>
    <row r="2030" spans="1:11" x14ac:dyDescent="0.25">
      <c r="A2030" s="26">
        <v>1980</v>
      </c>
      <c r="B2030" s="82">
        <f t="shared" si="246"/>
        <v>0</v>
      </c>
      <c r="C2030" s="58">
        <f t="shared" si="250"/>
        <v>104.50616427295054</v>
      </c>
      <c r="D2030" s="83">
        <f t="shared" si="247"/>
        <v>445.77777777777789</v>
      </c>
      <c r="E2030">
        <f t="shared" si="243"/>
        <v>0</v>
      </c>
      <c r="G2030">
        <v>1980</v>
      </c>
      <c r="H2030" s="13">
        <f t="shared" si="248"/>
        <v>1.8572577375266519E-2</v>
      </c>
      <c r="I2030">
        <f t="shared" si="249"/>
        <v>141.27986747597825</v>
      </c>
      <c r="J2030">
        <f t="shared" si="244"/>
        <v>486.30618163973674</v>
      </c>
      <c r="K2030" s="27">
        <f t="shared" si="245"/>
        <v>4392.4021738709125</v>
      </c>
    </row>
    <row r="2031" spans="1:11" x14ac:dyDescent="0.25">
      <c r="A2031" s="26">
        <v>1981</v>
      </c>
      <c r="B2031" s="82">
        <f t="shared" si="246"/>
        <v>0</v>
      </c>
      <c r="C2031" s="58">
        <f t="shared" si="250"/>
        <v>104.50616427295054</v>
      </c>
      <c r="D2031" s="83">
        <f t="shared" si="247"/>
        <v>445.77777777777789</v>
      </c>
      <c r="E2031">
        <f t="shared" si="243"/>
        <v>0</v>
      </c>
      <c r="G2031">
        <v>1981</v>
      </c>
      <c r="H2031" s="13">
        <f t="shared" si="248"/>
        <v>1.8572577375266519E-2</v>
      </c>
      <c r="I2031">
        <f t="shared" si="249"/>
        <v>141.29844005335352</v>
      </c>
      <c r="J2031">
        <f t="shared" si="244"/>
        <v>486.31776144093578</v>
      </c>
      <c r="K2031" s="27">
        <f t="shared" si="245"/>
        <v>4392.611304609537</v>
      </c>
    </row>
    <row r="2032" spans="1:11" x14ac:dyDescent="0.25">
      <c r="A2032" s="26">
        <v>1982</v>
      </c>
      <c r="B2032" s="82">
        <f t="shared" si="246"/>
        <v>0</v>
      </c>
      <c r="C2032" s="58">
        <f t="shared" si="250"/>
        <v>104.50616427295054</v>
      </c>
      <c r="D2032" s="83">
        <f t="shared" si="247"/>
        <v>445.77777777777789</v>
      </c>
      <c r="E2032">
        <f t="shared" si="243"/>
        <v>0</v>
      </c>
      <c r="G2032">
        <v>1982</v>
      </c>
      <c r="H2032" s="13">
        <f t="shared" si="248"/>
        <v>1.8572577375266519E-2</v>
      </c>
      <c r="I2032">
        <f t="shared" si="249"/>
        <v>141.31701263072878</v>
      </c>
      <c r="J2032">
        <f t="shared" si="244"/>
        <v>486.32933561502159</v>
      </c>
      <c r="K2032" s="27">
        <f t="shared" si="245"/>
        <v>4392.8203386935647</v>
      </c>
    </row>
    <row r="2033" spans="1:11" x14ac:dyDescent="0.25">
      <c r="A2033" s="26">
        <v>1983</v>
      </c>
      <c r="B2033" s="82">
        <f t="shared" si="246"/>
        <v>0</v>
      </c>
      <c r="C2033" s="58">
        <f t="shared" si="250"/>
        <v>104.50616427295054</v>
      </c>
      <c r="D2033" s="83">
        <f t="shared" si="247"/>
        <v>445.77777777777789</v>
      </c>
      <c r="E2033">
        <f t="shared" si="243"/>
        <v>0</v>
      </c>
      <c r="G2033">
        <v>1983</v>
      </c>
      <c r="H2033" s="13">
        <f t="shared" si="248"/>
        <v>1.8572577375266519E-2</v>
      </c>
      <c r="I2033">
        <f t="shared" si="249"/>
        <v>141.33558520810405</v>
      </c>
      <c r="J2033">
        <f t="shared" si="244"/>
        <v>486.34090416428904</v>
      </c>
      <c r="K2033" s="27">
        <f t="shared" si="245"/>
        <v>4393.0292761571827</v>
      </c>
    </row>
    <row r="2034" spans="1:11" x14ac:dyDescent="0.25">
      <c r="A2034" s="26">
        <v>1984</v>
      </c>
      <c r="B2034" s="82">
        <f t="shared" si="246"/>
        <v>0</v>
      </c>
      <c r="C2034" s="58">
        <f t="shared" si="250"/>
        <v>104.50616427295054</v>
      </c>
      <c r="D2034" s="83">
        <f t="shared" si="247"/>
        <v>445.77777777777789</v>
      </c>
      <c r="E2034">
        <f t="shared" si="243"/>
        <v>0</v>
      </c>
      <c r="G2034">
        <v>1984</v>
      </c>
      <c r="H2034" s="13">
        <f t="shared" si="248"/>
        <v>1.8572577375266519E-2</v>
      </c>
      <c r="I2034">
        <f t="shared" si="249"/>
        <v>141.35415778547932</v>
      </c>
      <c r="J2034">
        <f t="shared" si="244"/>
        <v>486.35246709103069</v>
      </c>
      <c r="K2034" s="27">
        <f t="shared" si="245"/>
        <v>4393.2381170345343</v>
      </c>
    </row>
    <row r="2035" spans="1:11" x14ac:dyDescent="0.25">
      <c r="A2035" s="26">
        <v>1985</v>
      </c>
      <c r="B2035" s="82">
        <f t="shared" si="246"/>
        <v>0</v>
      </c>
      <c r="C2035" s="58">
        <f t="shared" si="250"/>
        <v>104.50616427295054</v>
      </c>
      <c r="D2035" s="83">
        <f t="shared" si="247"/>
        <v>445.77777777777789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1.8572577375266519E-2</v>
      </c>
      <c r="I2035">
        <f t="shared" si="249"/>
        <v>141.37273036285458</v>
      </c>
      <c r="J2035">
        <f t="shared" ref="J2035:J2049" si="252">IF($G$28&lt;$C$14,0,((($C$11^2)-((I2035-$C$13)^2))^0.5)+$C$16)</f>
        <v>486.36402439753658</v>
      </c>
      <c r="K2035" s="27">
        <f t="shared" ref="K2035:K2048" si="253">((J2035^2)+(J2035*J2036)+(J2036^2))*H2036/3</f>
        <v>4393.4468613597319</v>
      </c>
    </row>
    <row r="2036" spans="1:11" x14ac:dyDescent="0.25">
      <c r="A2036" s="26">
        <v>1986</v>
      </c>
      <c r="B2036" s="82">
        <f t="shared" ref="B2036:B2049" si="254">C2036-C2035</f>
        <v>0</v>
      </c>
      <c r="C2036" s="58">
        <f t="shared" si="250"/>
        <v>104.50616427295054</v>
      </c>
      <c r="D2036" s="83">
        <f t="shared" ref="D2036:D2049" si="255">IF($G$28&lt;$C$14,0,((($C$11^2)-((C2036-$C$13)^2))^0.5)+$C$16)</f>
        <v>445.77777777777789</v>
      </c>
      <c r="E2036">
        <f t="shared" si="251"/>
        <v>0</v>
      </c>
      <c r="G2036">
        <v>1986</v>
      </c>
      <c r="H2036" s="13">
        <f t="shared" ref="H2036:H2049" si="256">I2036-I2035</f>
        <v>1.8572577375266519E-2</v>
      </c>
      <c r="I2036">
        <f t="shared" ref="I2036:I2049" si="257">($G$27-$C$14)/2000+I2035</f>
        <v>141.39130294022985</v>
      </c>
      <c r="J2036">
        <f t="shared" si="252"/>
        <v>486.37557608609461</v>
      </c>
      <c r="K2036" s="27">
        <f t="shared" si="253"/>
        <v>4393.6555091668533</v>
      </c>
    </row>
    <row r="2037" spans="1:11" x14ac:dyDescent="0.25">
      <c r="A2037" s="26">
        <v>1987</v>
      </c>
      <c r="B2037" s="82">
        <f t="shared" si="254"/>
        <v>0</v>
      </c>
      <c r="C2037" s="58">
        <f t="shared" si="250"/>
        <v>104.50616427295054</v>
      </c>
      <c r="D2037" s="83">
        <f t="shared" si="255"/>
        <v>445.77777777777789</v>
      </c>
      <c r="E2037">
        <f t="shared" si="251"/>
        <v>0</v>
      </c>
      <c r="G2037">
        <v>1987</v>
      </c>
      <c r="H2037" s="13">
        <f t="shared" si="256"/>
        <v>1.8572577375266519E-2</v>
      </c>
      <c r="I2037">
        <f t="shared" si="257"/>
        <v>141.40987551760512</v>
      </c>
      <c r="J2037">
        <f t="shared" si="252"/>
        <v>486.38712215899022</v>
      </c>
      <c r="K2037" s="27">
        <f t="shared" si="253"/>
        <v>4393.8640604899401</v>
      </c>
    </row>
    <row r="2038" spans="1:11" x14ac:dyDescent="0.25">
      <c r="A2038" s="26">
        <v>1988</v>
      </c>
      <c r="B2038" s="82">
        <f t="shared" si="254"/>
        <v>0</v>
      </c>
      <c r="C2038" s="58">
        <f t="shared" si="250"/>
        <v>104.50616427295054</v>
      </c>
      <c r="D2038" s="83">
        <f t="shared" si="255"/>
        <v>445.77777777777789</v>
      </c>
      <c r="E2038">
        <f t="shared" si="251"/>
        <v>0</v>
      </c>
      <c r="G2038">
        <v>1988</v>
      </c>
      <c r="H2038" s="13">
        <f t="shared" si="256"/>
        <v>1.8572577375266519E-2</v>
      </c>
      <c r="I2038">
        <f t="shared" si="257"/>
        <v>141.42844809498038</v>
      </c>
      <c r="J2038">
        <f t="shared" si="252"/>
        <v>486.39866261850648</v>
      </c>
      <c r="K2038" s="27">
        <f t="shared" si="253"/>
        <v>4394.0725153629974</v>
      </c>
    </row>
    <row r="2039" spans="1:11" x14ac:dyDescent="0.25">
      <c r="A2039" s="26">
        <v>1989</v>
      </c>
      <c r="B2039" s="82">
        <f t="shared" si="254"/>
        <v>0</v>
      </c>
      <c r="C2039" s="58">
        <f t="shared" si="250"/>
        <v>104.50616427295054</v>
      </c>
      <c r="D2039" s="83">
        <f t="shared" si="255"/>
        <v>445.77777777777789</v>
      </c>
      <c r="E2039">
        <f t="shared" si="251"/>
        <v>0</v>
      </c>
      <c r="G2039">
        <v>1989</v>
      </c>
      <c r="H2039" s="13">
        <f t="shared" si="256"/>
        <v>1.8572577375266519E-2</v>
      </c>
      <c r="I2039">
        <f t="shared" si="257"/>
        <v>141.44702067235565</v>
      </c>
      <c r="J2039">
        <f t="shared" si="252"/>
        <v>486.4101974669241</v>
      </c>
      <c r="K2039" s="27">
        <f t="shared" si="253"/>
        <v>4394.2808738199974</v>
      </c>
    </row>
    <row r="2040" spans="1:11" x14ac:dyDescent="0.25">
      <c r="A2040" s="26">
        <v>1990</v>
      </c>
      <c r="B2040" s="82">
        <f t="shared" si="254"/>
        <v>0</v>
      </c>
      <c r="C2040" s="58">
        <f t="shared" si="250"/>
        <v>104.50616427295054</v>
      </c>
      <c r="D2040" s="83">
        <f t="shared" si="255"/>
        <v>445.77777777777789</v>
      </c>
      <c r="E2040">
        <f t="shared" si="251"/>
        <v>0</v>
      </c>
      <c r="G2040">
        <v>1990</v>
      </c>
      <c r="H2040" s="13">
        <f t="shared" si="256"/>
        <v>1.8572577375266519E-2</v>
      </c>
      <c r="I2040">
        <f t="shared" si="257"/>
        <v>141.46559324973092</v>
      </c>
      <c r="J2040">
        <f t="shared" si="252"/>
        <v>486.4217267065215</v>
      </c>
      <c r="K2040" s="27">
        <f t="shared" si="253"/>
        <v>4394.489135894878</v>
      </c>
    </row>
    <row r="2041" spans="1:11" x14ac:dyDescent="0.25">
      <c r="A2041" s="26">
        <v>1991</v>
      </c>
      <c r="B2041" s="82">
        <f t="shared" si="254"/>
        <v>0</v>
      </c>
      <c r="C2041" s="58">
        <f t="shared" si="250"/>
        <v>104.50616427295054</v>
      </c>
      <c r="D2041" s="83">
        <f t="shared" si="255"/>
        <v>445.77777777777789</v>
      </c>
      <c r="E2041">
        <f t="shared" si="251"/>
        <v>0</v>
      </c>
      <c r="G2041">
        <v>1991</v>
      </c>
      <c r="H2041" s="13">
        <f t="shared" si="256"/>
        <v>1.8572577375266519E-2</v>
      </c>
      <c r="I2041">
        <f t="shared" si="257"/>
        <v>141.48416582710618</v>
      </c>
      <c r="J2041">
        <f t="shared" si="252"/>
        <v>486.43325033957478</v>
      </c>
      <c r="K2041" s="27">
        <f t="shared" si="253"/>
        <v>4394.6973016215406</v>
      </c>
    </row>
    <row r="2042" spans="1:11" x14ac:dyDescent="0.25">
      <c r="A2042" s="26">
        <v>1992</v>
      </c>
      <c r="B2042" s="82">
        <f t="shared" si="254"/>
        <v>0</v>
      </c>
      <c r="C2042" s="58">
        <f t="shared" si="250"/>
        <v>104.50616427295054</v>
      </c>
      <c r="D2042" s="83">
        <f t="shared" si="255"/>
        <v>445.77777777777789</v>
      </c>
      <c r="E2042">
        <f t="shared" si="251"/>
        <v>0</v>
      </c>
      <c r="G2042">
        <v>1992</v>
      </c>
      <c r="H2042" s="13">
        <f t="shared" si="256"/>
        <v>1.8572577375266519E-2</v>
      </c>
      <c r="I2042">
        <f t="shared" si="257"/>
        <v>141.50273840448145</v>
      </c>
      <c r="J2042">
        <f t="shared" si="252"/>
        <v>486.44476836835764</v>
      </c>
      <c r="K2042" s="27">
        <f t="shared" si="253"/>
        <v>4394.9053710338512</v>
      </c>
    </row>
    <row r="2043" spans="1:11" x14ac:dyDescent="0.25">
      <c r="A2043" s="26">
        <v>1993</v>
      </c>
      <c r="B2043" s="82">
        <f t="shared" si="254"/>
        <v>0</v>
      </c>
      <c r="C2043" s="58">
        <f t="shared" si="250"/>
        <v>104.50616427295054</v>
      </c>
      <c r="D2043" s="83">
        <f t="shared" si="255"/>
        <v>445.77777777777789</v>
      </c>
      <c r="E2043">
        <f t="shared" si="251"/>
        <v>0</v>
      </c>
      <c r="G2043">
        <v>1993</v>
      </c>
      <c r="H2043" s="13">
        <f t="shared" si="256"/>
        <v>1.8572577375266519E-2</v>
      </c>
      <c r="I2043">
        <f t="shared" si="257"/>
        <v>141.52131098185671</v>
      </c>
      <c r="J2043">
        <f t="shared" si="252"/>
        <v>486.45628079514148</v>
      </c>
      <c r="K2043" s="27">
        <f t="shared" si="253"/>
        <v>4395.113344165643</v>
      </c>
    </row>
    <row r="2044" spans="1:11" x14ac:dyDescent="0.25">
      <c r="A2044" s="26">
        <v>1994</v>
      </c>
      <c r="B2044" s="82">
        <f t="shared" si="254"/>
        <v>0</v>
      </c>
      <c r="C2044" s="58">
        <f t="shared" si="250"/>
        <v>104.50616427295054</v>
      </c>
      <c r="D2044" s="83">
        <f t="shared" si="255"/>
        <v>445.77777777777789</v>
      </c>
      <c r="E2044">
        <f t="shared" si="251"/>
        <v>0</v>
      </c>
      <c r="G2044">
        <v>1994</v>
      </c>
      <c r="H2044" s="13">
        <f t="shared" si="256"/>
        <v>1.8572577375266519E-2</v>
      </c>
      <c r="I2044">
        <f t="shared" si="257"/>
        <v>141.53988355923198</v>
      </c>
      <c r="J2044">
        <f t="shared" si="252"/>
        <v>486.46778762219537</v>
      </c>
      <c r="K2044" s="27">
        <f t="shared" si="253"/>
        <v>4395.3212210507145</v>
      </c>
    </row>
    <row r="2045" spans="1:11" x14ac:dyDescent="0.25">
      <c r="A2045" s="26">
        <v>1995</v>
      </c>
      <c r="B2045" s="82">
        <f t="shared" si="254"/>
        <v>0</v>
      </c>
      <c r="C2045" s="58">
        <f t="shared" si="250"/>
        <v>104.50616427295054</v>
      </c>
      <c r="D2045" s="83">
        <f t="shared" si="255"/>
        <v>445.77777777777789</v>
      </c>
      <c r="E2045">
        <f t="shared" si="251"/>
        <v>0</v>
      </c>
      <c r="G2045">
        <v>1995</v>
      </c>
      <c r="H2045" s="13">
        <f t="shared" si="256"/>
        <v>1.8572577375266519E-2</v>
      </c>
      <c r="I2045">
        <f t="shared" si="257"/>
        <v>141.55845613660725</v>
      </c>
      <c r="J2045">
        <f t="shared" si="252"/>
        <v>486.47928885178601</v>
      </c>
      <c r="K2045" s="27">
        <f t="shared" si="253"/>
        <v>4395.5290017228263</v>
      </c>
    </row>
    <row r="2046" spans="1:11" x14ac:dyDescent="0.25">
      <c r="A2046" s="26">
        <v>1996</v>
      </c>
      <c r="B2046" s="82">
        <f t="shared" si="254"/>
        <v>0</v>
      </c>
      <c r="C2046" s="58">
        <f t="shared" si="250"/>
        <v>104.50616427295054</v>
      </c>
      <c r="D2046" s="83">
        <f t="shared" si="255"/>
        <v>445.77777777777789</v>
      </c>
      <c r="E2046">
        <f t="shared" si="251"/>
        <v>0</v>
      </c>
      <c r="G2046">
        <v>1996</v>
      </c>
      <c r="H2046" s="13">
        <f t="shared" si="256"/>
        <v>1.8572577375266519E-2</v>
      </c>
      <c r="I2046">
        <f t="shared" si="257"/>
        <v>141.57702871398251</v>
      </c>
      <c r="J2046">
        <f t="shared" si="252"/>
        <v>486.49078448617786</v>
      </c>
      <c r="K2046" s="27">
        <f t="shared" si="253"/>
        <v>4395.7366862157105</v>
      </c>
    </row>
    <row r="2047" spans="1:11" x14ac:dyDescent="0.25">
      <c r="A2047" s="26">
        <v>1997</v>
      </c>
      <c r="B2047" s="82">
        <f t="shared" si="254"/>
        <v>0</v>
      </c>
      <c r="C2047" s="58">
        <f t="shared" si="250"/>
        <v>104.50616427295054</v>
      </c>
      <c r="D2047" s="83">
        <f t="shared" si="255"/>
        <v>445.77777777777789</v>
      </c>
      <c r="E2047">
        <f t="shared" si="251"/>
        <v>0</v>
      </c>
      <c r="G2047">
        <v>1997</v>
      </c>
      <c r="H2047" s="13">
        <f t="shared" si="256"/>
        <v>1.8572577375266519E-2</v>
      </c>
      <c r="I2047">
        <f t="shared" si="257"/>
        <v>141.59560129135778</v>
      </c>
      <c r="J2047">
        <f t="shared" si="252"/>
        <v>486.50227452763295</v>
      </c>
      <c r="K2047" s="27">
        <f t="shared" si="253"/>
        <v>4395.9442745630577</v>
      </c>
    </row>
    <row r="2048" spans="1:11" x14ac:dyDescent="0.25">
      <c r="A2048" s="26">
        <v>1998</v>
      </c>
      <c r="B2048" s="82">
        <f t="shared" si="254"/>
        <v>0</v>
      </c>
      <c r="C2048" s="58">
        <f t="shared" si="250"/>
        <v>104.50616427295054</v>
      </c>
      <c r="D2048" s="83">
        <f t="shared" si="255"/>
        <v>445.77777777777789</v>
      </c>
      <c r="E2048">
        <f t="shared" si="251"/>
        <v>0</v>
      </c>
      <c r="G2048">
        <v>1998</v>
      </c>
      <c r="H2048" s="13">
        <f t="shared" si="256"/>
        <v>1.8572577375266519E-2</v>
      </c>
      <c r="I2048">
        <f t="shared" si="257"/>
        <v>141.61417386873305</v>
      </c>
      <c r="J2048">
        <f t="shared" si="252"/>
        <v>486.51375897841103</v>
      </c>
      <c r="K2048" s="27">
        <f t="shared" si="253"/>
        <v>4396.1517667985272</v>
      </c>
    </row>
    <row r="2049" spans="1:11" ht="15.75" thickBot="1" x14ac:dyDescent="0.3">
      <c r="A2049" s="28">
        <v>1999</v>
      </c>
      <c r="B2049" s="80">
        <f t="shared" si="254"/>
        <v>0</v>
      </c>
      <c r="C2049" s="60">
        <f t="shared" si="250"/>
        <v>104.50616427295054</v>
      </c>
      <c r="D2049" s="81">
        <f t="shared" si="255"/>
        <v>445.77777777777789</v>
      </c>
      <c r="E2049" s="59">
        <f t="shared" si="251"/>
        <v>0</v>
      </c>
      <c r="F2049" s="59"/>
      <c r="G2049" s="59">
        <v>1999</v>
      </c>
      <c r="H2049" s="13">
        <f t="shared" si="256"/>
        <v>1.8572577375266519E-2</v>
      </c>
      <c r="I2049" s="59">
        <f t="shared" si="257"/>
        <v>141.63274644610831</v>
      </c>
      <c r="J2049" s="59">
        <f t="shared" si="252"/>
        <v>486.52523784076965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Props1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13</vt:i4>
      </vt:variant>
    </vt:vector>
  </HeadingPairs>
  <TitlesOfParts>
    <vt:vector size="13" baseType="lpstr">
      <vt:lpstr>Input</vt:lpstr>
      <vt:lpstr>Main Mixing Purpose List</vt:lpstr>
      <vt:lpstr>SS Material List</vt:lpstr>
      <vt:lpstr>O-rings List</vt:lpstr>
      <vt:lpstr>IP-Class List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2023-12-04T16:03:33Z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