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8swfkj-my.sharepoint.com/personal/ishamulayadyakmal_8swfkj_onmicrosoft_com/Documents/USTB/Class Courses/Semester 1/Iron and Steel Metallurgy-Steel Making/Assigment/Final Exam/"/>
    </mc:Choice>
  </mc:AlternateContent>
  <xr:revisionPtr revIDLastSave="1671" documentId="8_{424D2F14-5221-4EAC-AC76-E3BA3F4826AE}" xr6:coauthVersionLast="47" xr6:coauthVersionMax="47" xr10:uidLastSave="{79ADE8DD-4852-40B8-B1C7-D240DADBE2E1}"/>
  <bookViews>
    <workbookView xWindow="-108" yWindow="-108" windowWidth="23256" windowHeight="12456" xr2:uid="{C2E4F1F4-49A6-413F-8CDA-52441C0480FC}"/>
  </bookViews>
  <sheets>
    <sheet name="PCI &amp; Oxi Case" sheetId="2" r:id="rId1"/>
    <sheet name="Optimization Condition" sheetId="1" r:id="rId2"/>
    <sheet name="Initial Condition" sheetId="4" r:id="rId3"/>
    <sheet name="Compound and Molecula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" i="1" l="1"/>
  <c r="Q90" i="1"/>
  <c r="R90" i="1"/>
  <c r="S90" i="1"/>
  <c r="T90" i="1"/>
  <c r="U90" i="1"/>
  <c r="V90" i="1"/>
  <c r="O90" i="1"/>
  <c r="P90" i="1"/>
  <c r="C98" i="4"/>
  <c r="C4" i="4" a="1"/>
  <c r="C4" i="4" s="1"/>
  <c r="F4" i="4" s="1"/>
  <c r="AR33" i="4"/>
  <c r="AR32" i="4"/>
  <c r="AR31" i="4"/>
  <c r="AR30" i="4"/>
  <c r="AR29" i="4"/>
  <c r="AR28" i="4"/>
  <c r="AR27" i="4"/>
  <c r="AR26" i="4"/>
  <c r="AR25" i="4"/>
  <c r="AR24" i="4"/>
  <c r="AR23" i="4"/>
  <c r="AR22" i="4"/>
  <c r="AR21" i="4"/>
  <c r="AR20" i="4"/>
  <c r="AR19" i="4"/>
  <c r="AR18" i="4"/>
  <c r="AR17" i="4"/>
  <c r="AR16" i="4"/>
  <c r="AR15" i="4"/>
  <c r="AR14" i="4"/>
  <c r="AR13" i="4"/>
  <c r="AR12" i="4"/>
  <c r="AR11" i="4"/>
  <c r="AR10" i="4"/>
  <c r="AR9" i="4"/>
  <c r="AR8" i="4"/>
  <c r="AR7" i="4"/>
  <c r="AR6" i="4"/>
  <c r="AR5" i="4"/>
  <c r="AR4" i="4"/>
  <c r="M51" i="4"/>
  <c r="R11" i="2"/>
  <c r="S11" i="2"/>
  <c r="T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M30" i="1"/>
  <c r="M29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4" i="1"/>
  <c r="C4" i="1" a="1"/>
  <c r="C4" i="1" s="1"/>
  <c r="F4" i="1" s="1"/>
  <c r="H20" i="3"/>
  <c r="M64" i="4" l="1"/>
  <c r="M68" i="4"/>
  <c r="M72" i="4"/>
  <c r="M38" i="4"/>
  <c r="C38" i="4" s="1" a="1"/>
  <c r="M62" i="4"/>
  <c r="M66" i="4"/>
  <c r="M74" i="4"/>
  <c r="M48" i="4"/>
  <c r="M39" i="4"/>
  <c r="M63" i="4"/>
  <c r="M67" i="4"/>
  <c r="M71" i="4"/>
  <c r="M75" i="4"/>
  <c r="M49" i="4"/>
  <c r="M50" i="4"/>
  <c r="M65" i="4"/>
  <c r="M69" i="4"/>
  <c r="M73" i="4"/>
  <c r="G4" i="4"/>
  <c r="H24" i="2"/>
  <c r="G4" i="1"/>
  <c r="M50" i="1"/>
  <c r="M51" i="1"/>
  <c r="M49" i="1"/>
  <c r="M48" i="1"/>
  <c r="M70" i="4" l="1"/>
  <c r="J47" i="4"/>
  <c r="J43" i="4"/>
  <c r="J51" i="4"/>
  <c r="I47" i="4"/>
  <c r="I43" i="4"/>
  <c r="G38" i="4"/>
  <c r="J46" i="4"/>
  <c r="J42" i="4"/>
  <c r="J45" i="4"/>
  <c r="J40" i="4"/>
  <c r="J49" i="4"/>
  <c r="I45" i="4"/>
  <c r="J44" i="4"/>
  <c r="J39" i="4"/>
  <c r="J48" i="4"/>
  <c r="I44" i="4"/>
  <c r="J50" i="4"/>
  <c r="I46" i="4"/>
  <c r="J41" i="4"/>
  <c r="C38" i="4"/>
  <c r="AL89" i="4"/>
  <c r="AG89" i="4"/>
  <c r="C62" i="4" s="1" a="1"/>
  <c r="G62" i="4" s="1"/>
  <c r="J38" i="4" l="1"/>
  <c r="F38" i="4"/>
  <c r="C55" i="4"/>
  <c r="C56" i="4" s="1"/>
  <c r="C58" i="4" s="1"/>
  <c r="J86" i="4"/>
  <c r="H80" i="4"/>
  <c r="H74" i="4"/>
  <c r="H70" i="4"/>
  <c r="H66" i="4"/>
  <c r="H86" i="4"/>
  <c r="H79" i="4"/>
  <c r="J89" i="4"/>
  <c r="J85" i="4"/>
  <c r="H78" i="4"/>
  <c r="H73" i="4"/>
  <c r="H69" i="4"/>
  <c r="H65" i="4"/>
  <c r="J88" i="4"/>
  <c r="H84" i="4"/>
  <c r="H76" i="4"/>
  <c r="H72" i="4"/>
  <c r="H68" i="4"/>
  <c r="H64" i="4"/>
  <c r="H88" i="4"/>
  <c r="H83" i="4"/>
  <c r="J87" i="4"/>
  <c r="H82" i="4"/>
  <c r="H75" i="4"/>
  <c r="H71" i="4"/>
  <c r="H67" i="4"/>
  <c r="H63" i="4"/>
  <c r="H87" i="4"/>
  <c r="H81" i="4"/>
  <c r="H89" i="4"/>
  <c r="H85" i="4"/>
  <c r="H77" i="4"/>
  <c r="C62" i="4"/>
  <c r="F62" i="4" s="1"/>
  <c r="H90" i="4"/>
  <c r="J91" i="4" l="1"/>
  <c r="H91" i="4"/>
  <c r="H62" i="4"/>
  <c r="C95" i="4" s="1"/>
  <c r="C96" i="4" s="1"/>
  <c r="C100" i="4" l="1"/>
  <c r="H94" i="4"/>
  <c r="M66" i="1" l="1"/>
  <c r="M75" i="1"/>
  <c r="M62" i="1"/>
  <c r="M74" i="1"/>
  <c r="M68" i="1"/>
  <c r="M63" i="1"/>
  <c r="M71" i="1"/>
  <c r="M64" i="1"/>
  <c r="M72" i="1"/>
  <c r="M67" i="1"/>
  <c r="M69" i="1"/>
  <c r="M65" i="1"/>
  <c r="M73" i="1"/>
  <c r="M38" i="1"/>
  <c r="M39" i="1"/>
  <c r="C38" i="1" l="1" a="1"/>
  <c r="M70" i="1"/>
  <c r="AL89" i="1"/>
  <c r="AG89" i="1"/>
  <c r="C38" i="1" l="1"/>
  <c r="C55" i="1" s="1"/>
  <c r="C56" i="1" s="1"/>
  <c r="J39" i="1"/>
  <c r="J51" i="1"/>
  <c r="J42" i="1"/>
  <c r="J50" i="1"/>
  <c r="J49" i="1"/>
  <c r="J48" i="1"/>
  <c r="J41" i="1"/>
  <c r="J40" i="1"/>
  <c r="C62" i="1" a="1"/>
  <c r="G62" i="1" s="1"/>
  <c r="I47" i="1"/>
  <c r="I45" i="1"/>
  <c r="I44" i="1"/>
  <c r="J44" i="1"/>
  <c r="J46" i="1"/>
  <c r="I43" i="1"/>
  <c r="J43" i="1"/>
  <c r="J47" i="1"/>
  <c r="G38" i="1"/>
  <c r="I46" i="1"/>
  <c r="J45" i="1"/>
  <c r="F38" i="1" l="1"/>
  <c r="J38" i="1"/>
  <c r="H64" i="1"/>
  <c r="H80" i="1"/>
  <c r="H90" i="1"/>
  <c r="J87" i="1"/>
  <c r="H81" i="1"/>
  <c r="H84" i="1"/>
  <c r="H67" i="1"/>
  <c r="H78" i="1"/>
  <c r="J88" i="1"/>
  <c r="H83" i="1"/>
  <c r="H76" i="1"/>
  <c r="H69" i="1"/>
  <c r="J86" i="1"/>
  <c r="H82" i="1"/>
  <c r="H85" i="1"/>
  <c r="H68" i="1"/>
  <c r="H79" i="1"/>
  <c r="H87" i="1"/>
  <c r="H70" i="1"/>
  <c r="J89" i="1"/>
  <c r="H74" i="1"/>
  <c r="J85" i="1"/>
  <c r="H89" i="1"/>
  <c r="H65" i="1"/>
  <c r="H88" i="1"/>
  <c r="H72" i="1"/>
  <c r="H75" i="1"/>
  <c r="H71" i="1"/>
  <c r="H66" i="1"/>
  <c r="H86" i="1"/>
  <c r="H73" i="1"/>
  <c r="H77" i="1"/>
  <c r="H63" i="1"/>
  <c r="C62" i="1"/>
  <c r="C58" i="1"/>
  <c r="H62" i="1" l="1"/>
  <c r="C95" i="1" s="1"/>
  <c r="C96" i="1" s="1"/>
  <c r="C98" i="1" s="1"/>
  <c r="C100" i="1" s="1"/>
  <c r="H26" i="2" s="1"/>
  <c r="F62" i="1"/>
  <c r="H25" i="2"/>
  <c r="H91" i="1"/>
  <c r="J91" i="1"/>
  <c r="H9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<sst xmlns="http://schemas.openxmlformats.org/spreadsheetml/2006/main" count="1149" uniqueCount="477">
  <si>
    <t>Bottom segment calculated values</t>
  </si>
  <si>
    <t>mass Fe₀.₉₄₇ O into bottom segment</t>
  </si>
  <si>
    <t>mass C in descending coke</t>
  </si>
  <si>
    <t>mass O₂ in blast air</t>
  </si>
  <si>
    <t>mass N₂ in blast air</t>
  </si>
  <si>
    <t>mass Fe out in molten iron</t>
  </si>
  <si>
    <t>mass C out in molten iron</t>
  </si>
  <si>
    <t>mass CO out in ascending gas</t>
  </si>
  <si>
    <t>mass CO₂ out in ascending gas</t>
  </si>
  <si>
    <t>mass N₂ out in ascending gas</t>
  </si>
  <si>
    <t>mass H₂ out in ascending gas</t>
  </si>
  <si>
    <t>mass H₂O out in ascending gas</t>
  </si>
  <si>
    <t>mass SiO₂ in descending ore</t>
  </si>
  <si>
    <t>mass SiO₂ in descending coke</t>
  </si>
  <si>
    <t>mass SiO₂ out in molten slag</t>
  </si>
  <si>
    <t>mass Al₂O₃ in descending decomposed flux</t>
  </si>
  <si>
    <t>mass Al₂O₃ in descending coke</t>
  </si>
  <si>
    <t>mass Al₂O₃ out in molten slag</t>
  </si>
  <si>
    <t>mass CaO in descending decomposed flux</t>
  </si>
  <si>
    <t>mass CaO out in molten slag</t>
  </si>
  <si>
    <t>mass MgO in descending decomposed flux</t>
  </si>
  <si>
    <t>mass MgO out in molten slag</t>
  </si>
  <si>
    <t>mass Si out in molten iron</t>
  </si>
  <si>
    <t>mass Mn out in molten iron</t>
  </si>
  <si>
    <t>mass descending MnO</t>
  </si>
  <si>
    <t>mass MnO out in molten slag</t>
  </si>
  <si>
    <t>mass tuyere-injected coal</t>
  </si>
  <si>
    <t>mass O₂ in tuyere-injected pure oxygen</t>
  </si>
  <si>
    <t>mass through-tuyere input H₂O(g)</t>
  </si>
  <si>
    <t>mass tuyere-injected natural gas</t>
  </si>
  <si>
    <t>mass additional tuyere injectant</t>
  </si>
  <si>
    <t>Equation</t>
  </si>
  <si>
    <t>Description</t>
  </si>
  <si>
    <t>Fe out in molten iron specification</t>
  </si>
  <si>
    <t>SiO2 descending in iron</t>
  </si>
  <si>
    <t>SiO2 in coke specification</t>
  </si>
  <si>
    <t>Fe mass balance</t>
  </si>
  <si>
    <t>O mass balance</t>
  </si>
  <si>
    <t>C mass balance</t>
  </si>
  <si>
    <t>SiO2 mass balance</t>
  </si>
  <si>
    <t>N mass balance</t>
  </si>
  <si>
    <t>N2 in blast air specification</t>
  </si>
  <si>
    <t>Equilibrium CO2/CO mass ratio</t>
  </si>
  <si>
    <t>C out in molten iron specification</t>
  </si>
  <si>
    <t>Al2O3 in coke specification</t>
  </si>
  <si>
    <t>Al2O3 out in molten slag specification</t>
  </si>
  <si>
    <t>Al2O3 mass balance</t>
  </si>
  <si>
    <t>Cao out in molten slag specification</t>
  </si>
  <si>
    <t>CaO mass balance</t>
  </si>
  <si>
    <t>MgO out in molten slag specification</t>
  </si>
  <si>
    <t>MgO mass balance</t>
  </si>
  <si>
    <t>Enthalpy balance</t>
  </si>
  <si>
    <t>Si out in molten iron specification</t>
  </si>
  <si>
    <t>Mn out in molten iron specification</t>
  </si>
  <si>
    <t>Mn mass balance</t>
  </si>
  <si>
    <t>Mn reduction efficiency</t>
  </si>
  <si>
    <t>H mass balance</t>
  </si>
  <si>
    <t>Equilibrium H2O/H2 mass ratio</t>
  </si>
  <si>
    <t>Coal injection quantity</t>
  </si>
  <si>
    <t>Mass O2 in tuyere-injected pure oxygen</t>
  </si>
  <si>
    <t>Mass through-tuyere input H2O(g)</t>
  </si>
  <si>
    <t xml:space="preserve">Mass tuyere-injected natural gas </t>
  </si>
  <si>
    <t>Additional injectant quantity equation</t>
  </si>
  <si>
    <t>Numerical term</t>
  </si>
  <si>
    <t>mass Fe₀.₉₄₇O into bottom segment</t>
  </si>
  <si>
    <t>mass through-tuyere input H₂O (g)</t>
  </si>
  <si>
    <t>Numerical Term</t>
  </si>
  <si>
    <t>Mass O₂ entering raceway in blast air</t>
  </si>
  <si>
    <t>Mass N₂ entering raceway in blast air</t>
  </si>
  <si>
    <t>Mass C entering raceway in falling coke particles</t>
  </si>
  <si>
    <t>Mass Al₂O₃ entering raceway in falling coke particles</t>
  </si>
  <si>
    <t>Mass SiO₂ entering raceway in falling coke particles</t>
  </si>
  <si>
    <t>mass CO in raceway output gas</t>
  </si>
  <si>
    <t>Mass N₂ in raceway output gas</t>
  </si>
  <si>
    <t>Mass H₂ in raceway output gas</t>
  </si>
  <si>
    <t>Mass Al₂O₃(s) in raceway output gas</t>
  </si>
  <si>
    <t>Mass SiO₂(s) in raceway output gas</t>
  </si>
  <si>
    <t>Mass tuyere-injected coal entering raceway</t>
  </si>
  <si>
    <t>Mass O₂ entering raceway in tuyere-injected pure oxygen</t>
  </si>
  <si>
    <t>Mass through-tuyere input H₂O(g) entering raceway</t>
  </si>
  <si>
    <t>Mass tuyere-injected natural gas entering raceway</t>
  </si>
  <si>
    <t>Mass tuyere-injected additional injectant entering raceway</t>
  </si>
  <si>
    <t>Raceway oxygen balance</t>
  </si>
  <si>
    <t>Raceway carbon balance</t>
  </si>
  <si>
    <t>Raceway nitrogen balance</t>
  </si>
  <si>
    <t>Raceway hydrogen balance</t>
  </si>
  <si>
    <t>Mass Al₂O₃ entering raceway in falling coke</t>
  </si>
  <si>
    <t>Mass SiO₂ entering raceway in falling coke</t>
  </si>
  <si>
    <t>Raceway Al₂O₃ balance</t>
  </si>
  <si>
    <t>Raceway SiO₂ balance</t>
  </si>
  <si>
    <t>Mass tuyere injected real coal</t>
  </si>
  <si>
    <t>Mass O₂ in tuyere-injected oxygen</t>
  </si>
  <si>
    <t>Mass H₂O(g) entering raceway in blast</t>
  </si>
  <si>
    <t>Mass tuyere-injected natural gas</t>
  </si>
  <si>
    <t>Mass additional tuyere injectant</t>
  </si>
  <si>
    <t>Raceway Calculated Values</t>
  </si>
  <si>
    <t>Mass CO in raceway output gas</t>
  </si>
  <si>
    <t>Mass tuyere-injected coal</t>
  </si>
  <si>
    <t>Mass tuyere-injected pure oxygen</t>
  </si>
  <si>
    <t>Mass tuyere-injected H₂O(g)</t>
  </si>
  <si>
    <t>Enthalpies (H°/MW)</t>
  </si>
  <si>
    <t>Temperature (C°)</t>
  </si>
  <si>
    <t>-</t>
  </si>
  <si>
    <t>39.4</t>
  </si>
  <si>
    <t>Top Segment Input Enthalpy</t>
  </si>
  <si>
    <t>39.5</t>
  </si>
  <si>
    <t>Top Segment Output Enthalpy</t>
  </si>
  <si>
    <t>39.6</t>
  </si>
  <si>
    <t>Raceway Flame Temperature</t>
  </si>
  <si>
    <t>Total raceway input enthalpy</t>
  </si>
  <si>
    <t>Total raceway output FLAME enthalpy</t>
  </si>
  <si>
    <t>1800-2300</t>
  </si>
  <si>
    <t>Tflame</t>
  </si>
  <si>
    <t>mass Fe₂O₃ in top-charged ore</t>
  </si>
  <si>
    <t>mass SiO₂ in top-charged ore</t>
  </si>
  <si>
    <t>mass C in top-charged coke</t>
  </si>
  <si>
    <t>mass Al₂O₃ in top-charged coke</t>
  </si>
  <si>
    <t>mass SiO₂ in top-charged coke</t>
  </si>
  <si>
    <t>mass top-charged Al₂O₃ flux</t>
  </si>
  <si>
    <t>mass top-charged CaO flux</t>
  </si>
  <si>
    <t>mass top-charged MgO flux</t>
  </si>
  <si>
    <t>mass top-charged MnO₂ ore</t>
  </si>
  <si>
    <t>mass Al₂O₃-in-coke descending out of top segment</t>
  </si>
  <si>
    <t>mass Al₂O₃ flux descending out of top segment</t>
  </si>
  <si>
    <t>mass C-in-coke descending out of top segment</t>
  </si>
  <si>
    <t>mass CaO flux descending out of top segment</t>
  </si>
  <si>
    <t>mass Fe₀.₉₄₇O descending out of top segment</t>
  </si>
  <si>
    <t>mass MgO flux descending out of top segment</t>
  </si>
  <si>
    <t>mass MnO descending out of top segment</t>
  </si>
  <si>
    <t>mass SiO₂-in-coke descending out of top segment</t>
  </si>
  <si>
    <t>mass SiO₂-in-ore descending out of top segment</t>
  </si>
  <si>
    <t>mass CO ascending into top segment</t>
  </si>
  <si>
    <t>mass CO₂ ascending into top segment</t>
  </si>
  <si>
    <t>mass H₂ ascending into top segment</t>
  </si>
  <si>
    <t>mass H₂O ascending into top segment</t>
  </si>
  <si>
    <t>mass N₂ ascending into top segment</t>
  </si>
  <si>
    <t>mass CO departing in top gas</t>
  </si>
  <si>
    <t>mass CO₂ departing in top gas</t>
  </si>
  <si>
    <t>mass H₂ departing in top gas</t>
  </si>
  <si>
    <t>mass H₂O departing in top gas</t>
  </si>
  <si>
    <t>mass N₂ departing in top gas</t>
  </si>
  <si>
    <t>Mass top-charged H20(l)</t>
  </si>
  <si>
    <t>Mass H20(g) from top-charge H20(l)</t>
  </si>
  <si>
    <t>Mass CO ascending from bottom segment</t>
  </si>
  <si>
    <t>Mass CO₂ ascending from bottom segment</t>
  </si>
  <si>
    <t>Mass H₂ ascending from bottom segment</t>
  </si>
  <si>
    <t>Mass H₂O ascending from bottom segment</t>
  </si>
  <si>
    <t>Mass N₂ ascending from bottom segment</t>
  </si>
  <si>
    <t>Mass Al₂O₃-in-coke descending out of top segment</t>
  </si>
  <si>
    <t>Mass Al₂O₃ flux descending out of top segment</t>
  </si>
  <si>
    <t>Mass C-in-coke descending out of top segment</t>
  </si>
  <si>
    <t>Mass Fe₀.₉₄₇O descending out of top segment</t>
  </si>
  <si>
    <t>Mass CaO flux descending out of top segment</t>
  </si>
  <si>
    <t>Mass MgO flux descending out of top segment</t>
  </si>
  <si>
    <t>Mass MnO descending out of top segment</t>
  </si>
  <si>
    <t>Mass SiO₂-in-coke descending out of top segment</t>
  </si>
  <si>
    <t>Mass SiO₂-in-ore descending out of top segment</t>
  </si>
  <si>
    <t>Al₂O₃-in-coke mass balance</t>
  </si>
  <si>
    <t>Al₂O₃ flux mass balance</t>
  </si>
  <si>
    <t>SiO₂-in-coke mass balance</t>
  </si>
  <si>
    <t>SiO₂-in-ore mass balance</t>
  </si>
  <si>
    <t>No top-segment C oxidation equation</t>
  </si>
  <si>
    <t>H₂/CO relative reaction extent equation</t>
  </si>
  <si>
    <t>Top Segment Calculation Value</t>
  </si>
  <si>
    <t>Top Gas Enthalpy</t>
  </si>
  <si>
    <t>TopTemperature</t>
  </si>
  <si>
    <t>mass top-charged H20(l)</t>
  </si>
  <si>
    <t>mass H20(g) from top-charge H20(l)</t>
  </si>
  <si>
    <t>kg per 1000 kg of Fe out in molten iron</t>
  </si>
  <si>
    <t>wt%</t>
  </si>
  <si>
    <t>Moisture content</t>
  </si>
  <si>
    <t>ALL TOP CHARGE MATERIAL</t>
  </si>
  <si>
    <t>%fed reporting to hot metal</t>
  </si>
  <si>
    <t>Mn partition</t>
  </si>
  <si>
    <t>Mn</t>
  </si>
  <si>
    <t>Si</t>
  </si>
  <si>
    <t>C</t>
  </si>
  <si>
    <t>HOT METAL COMPOSITION</t>
  </si>
  <si>
    <t>wt% daf basis %</t>
  </si>
  <si>
    <t>N</t>
  </si>
  <si>
    <t>O</t>
  </si>
  <si>
    <t>H</t>
  </si>
  <si>
    <t>wt% daf basis%</t>
  </si>
  <si>
    <t>SiO2</t>
  </si>
  <si>
    <t>Al2O3</t>
  </si>
  <si>
    <t>Coal mass on a dry, ash-free basis (daf)</t>
  </si>
  <si>
    <t>PCI COMPOSITION</t>
  </si>
  <si>
    <t>MgO</t>
  </si>
  <si>
    <t>CaO</t>
  </si>
  <si>
    <t>°C</t>
  </si>
  <si>
    <t>Top gas temperature</t>
  </si>
  <si>
    <t>SLAG COMPOSITION</t>
  </si>
  <si>
    <t>Flame temperature</t>
  </si>
  <si>
    <t>kg/t Fe in Hot Metal</t>
  </si>
  <si>
    <t>C-in-coke charge</t>
  </si>
  <si>
    <t>C - dry basis</t>
  </si>
  <si>
    <t>Unit</t>
  </si>
  <si>
    <t>Value</t>
  </si>
  <si>
    <t>Parameter</t>
  </si>
  <si>
    <t>Al2O3 - dry basis</t>
  </si>
  <si>
    <t>Case Study 1 Key Output Initial Conditions</t>
  </si>
  <si>
    <t>SiO2 - dry basis</t>
  </si>
  <si>
    <t>COKE COMPOSITION</t>
  </si>
  <si>
    <t>kg/t Fe in hot metal</t>
  </si>
  <si>
    <t>PCI injection</t>
  </si>
  <si>
    <t>Top charge temperature</t>
  </si>
  <si>
    <t>Slag temperature</t>
  </si>
  <si>
    <t>Hot metal temperature</t>
  </si>
  <si>
    <t>Maximum Value</t>
  </si>
  <si>
    <t>Minimum Value</t>
  </si>
  <si>
    <t>Blast temperature</t>
  </si>
  <si>
    <t>Optimization Case Study 1 Constraint</t>
  </si>
  <si>
    <t>Thermal reserve zone temperature</t>
  </si>
  <si>
    <t>BLASTFURNACE TEMPERATURES</t>
  </si>
  <si>
    <t>g/Nm3 dry air</t>
  </si>
  <si>
    <t>H2O injection</t>
  </si>
  <si>
    <t>O2(g) injection</t>
  </si>
  <si>
    <t>CONSTRAINTS</t>
  </si>
  <si>
    <t>TUYERE INJECTION</t>
  </si>
  <si>
    <t>MJ/t Fe in hot metal</t>
  </si>
  <si>
    <t>Top segment heat loss</t>
  </si>
  <si>
    <t>MANIPULATED VARIABLES</t>
  </si>
  <si>
    <t>Wiustite reduction zone heat loss</t>
  </si>
  <si>
    <t>HEAT LOSS</t>
  </si>
  <si>
    <t>OBJECTIVE FUNCTION</t>
  </si>
  <si>
    <t>Case 1 Values</t>
  </si>
  <si>
    <t>Optimization Case Study 1 Initial</t>
  </si>
  <si>
    <t>Case Study 1 Outputs</t>
  </si>
  <si>
    <t>Top Segment Input and Output Enthalpy Calculation</t>
  </si>
  <si>
    <t>Top Gas Enthalpy Calculation</t>
  </si>
  <si>
    <t>Top Gas Temperature Calculation</t>
  </si>
  <si>
    <t>Cathegory</t>
  </si>
  <si>
    <t>Input</t>
  </si>
  <si>
    <t>Output</t>
  </si>
  <si>
    <t>Mass Input</t>
  </si>
  <si>
    <t>Mass Output</t>
  </si>
  <si>
    <t>Equations for Calculating Raceway Input Enthalpy, Output Enthalpy, and Flame Temperature</t>
  </si>
  <si>
    <t>Top-Segment Calculation With (1) Four Tuyere Injectants and (2) 5 mass% Moisture in All the Top-Charged Solids</t>
  </si>
  <si>
    <t>Top-Segment Calculated Values With H2O(‘) in the Top-Charged Materials</t>
  </si>
  <si>
    <t>Calculation of Top-Segment (1) Input and Output Enthalpies, (2) Top Gas Enthalpy, and (3) Top Gas Ttemperature</t>
  </si>
  <si>
    <t xml:space="preserve">Results From Bottom-Segment Solving Matrix With Pulverized Coal Injection (PCI) and Oxygen
</t>
  </si>
  <si>
    <t>Bottom-Segment Matrix With With Pulverized Coal Injection (PCI) and Oxygen</t>
  </si>
  <si>
    <t>Raceway Calculated Values With Pulverized Coal Injection (PCI) and Oxygen</t>
  </si>
  <si>
    <t>Raceway Matrix With Pulverized Coal Injection (PCI) and Oxygen</t>
  </si>
  <si>
    <t>Compound Molecular Masses and Compositions</t>
  </si>
  <si>
    <t>Enthalpy Data From NIST_x0001_JANAF and a Simplified Enthalpy Equation of CO(g) Versus Temperature Developed</t>
  </si>
  <si>
    <t>Compound</t>
  </si>
  <si>
    <t>Molecular Mass</t>
  </si>
  <si>
    <t>Temperature</t>
  </si>
  <si>
    <r>
      <t>H</t>
    </r>
    <r>
      <rPr>
        <b/>
        <sz val="11"/>
        <color rgb="FF000000"/>
        <rFont val="Times New Roman"/>
        <family val="1"/>
      </rPr>
      <t>°/MW</t>
    </r>
  </si>
  <si>
    <t>B</t>
  </si>
  <si>
    <t>D</t>
  </si>
  <si>
    <t>E</t>
  </si>
  <si>
    <t>F</t>
  </si>
  <si>
    <t>No. Atom</t>
  </si>
  <si>
    <t>Nama</t>
  </si>
  <si>
    <t>Lambang</t>
  </si>
  <si>
    <t>Massa (g/Mol)</t>
  </si>
  <si>
    <t>A12O3</t>
  </si>
  <si>
    <t>53,0 mass% Al</t>
  </si>
  <si>
    <t>47,0 mass% O</t>
  </si>
  <si>
    <t>1500°C</t>
  </si>
  <si>
    <r>
      <rPr>
        <sz val="11"/>
        <color rgb="FF000000"/>
        <rFont val="Times New Roman"/>
        <family val="1"/>
      </rPr>
      <t>Al2O3</t>
    </r>
    <r>
      <rPr>
        <vertAlign val="superscript"/>
        <sz val="11"/>
        <color rgb="FF000000"/>
        <rFont val="Times New Roman"/>
        <family val="1"/>
      </rPr>
      <t>(s)</t>
    </r>
  </si>
  <si>
    <t>Units in first three columns: MJ/kg mol, In last column: MJ/kg,</t>
  </si>
  <si>
    <t>Hidrogen</t>
  </si>
  <si>
    <t>ch4</t>
  </si>
  <si>
    <t>75,0 mass% C</t>
  </si>
  <si>
    <t>25,0 mass% H</t>
  </si>
  <si>
    <t>Al2O3 (oxide in molten slag)</t>
  </si>
  <si>
    <t>CO(g)</t>
  </si>
  <si>
    <t>Eq, (J,7)</t>
  </si>
  <si>
    <t>Helium</t>
  </si>
  <si>
    <t>He</t>
  </si>
  <si>
    <t>C2H6</t>
  </si>
  <si>
    <t>80,0 mass% C</t>
  </si>
  <si>
    <t>20,0 mass% H</t>
  </si>
  <si>
    <t>C(s)</t>
  </si>
  <si>
    <t>Temperature (°C)</t>
  </si>
  <si>
    <t>AfH°25° C</t>
  </si>
  <si>
    <t>H°T-H°25°C</t>
  </si>
  <si>
    <t>H°T 5 AfH°25°C + (H°T-H°25°c)</t>
  </si>
  <si>
    <t>H°T/MW</t>
  </si>
  <si>
    <t>Litium</t>
  </si>
  <si>
    <t>Li</t>
  </si>
  <si>
    <t>CsH8</t>
  </si>
  <si>
    <t>81,7 mass% C</t>
  </si>
  <si>
    <t>18,3 mass% H</t>
  </si>
  <si>
    <t>C (dissolved in molten iron)</t>
  </si>
  <si>
    <t>Berilium</t>
  </si>
  <si>
    <t>Be</t>
  </si>
  <si>
    <t>C4H10</t>
  </si>
  <si>
    <t>82,7 mass% C</t>
  </si>
  <si>
    <t>17,3 mass% H</t>
  </si>
  <si>
    <t>CaO(s)</t>
  </si>
  <si>
    <t>Boron</t>
  </si>
  <si>
    <t>C5H12</t>
  </si>
  <si>
    <t>83,2 mass% C</t>
  </si>
  <si>
    <t>16,8 mass% H</t>
  </si>
  <si>
    <t>CaO (oxide in molten slag)</t>
  </si>
  <si>
    <t>Karbon</t>
  </si>
  <si>
    <t>C6H14</t>
  </si>
  <si>
    <t>83,6 mass% C</t>
  </si>
  <si>
    <t>16,4 mass% H</t>
  </si>
  <si>
    <t>Fe(l)</t>
  </si>
  <si>
    <t>Nitrogen</t>
  </si>
  <si>
    <t>CO</t>
  </si>
  <si>
    <t>42,9 mass% C</t>
  </si>
  <si>
    <t>57,1 mass% O</t>
  </si>
  <si>
    <t>MgO(s)</t>
  </si>
  <si>
    <t>Oksigen</t>
  </si>
  <si>
    <t>CO2</t>
  </si>
  <si>
    <t>27,3 mass% C</t>
  </si>
  <si>
    <t>72,7 mass% O</t>
  </si>
  <si>
    <t>MgO (oxide in molten slag)</t>
  </si>
  <si>
    <t>Fluorin</t>
  </si>
  <si>
    <t>CaCO3</t>
  </si>
  <si>
    <t>56,0 mass% CaO</t>
  </si>
  <si>
    <t>44,0 mass% CO2</t>
  </si>
  <si>
    <t>Mn(l)</t>
  </si>
  <si>
    <t>Neon</t>
  </si>
  <si>
    <t>Ne</t>
  </si>
  <si>
    <t>71,5 mass% Ca</t>
  </si>
  <si>
    <t>28,5 mass% O</t>
  </si>
  <si>
    <t>Mn (dissolved in molten iron)</t>
  </si>
  <si>
    <t>H°co(s)/MW = 0,001310 X T°C - 4,183</t>
  </si>
  <si>
    <t>Natrium</t>
  </si>
  <si>
    <t>Na</t>
  </si>
  <si>
    <t>CaO:SiO2</t>
  </si>
  <si>
    <t>48,3 mass% CaO</t>
  </si>
  <si>
    <t>51,7 mass% SiO2</t>
  </si>
  <si>
    <t>MnO(s)</t>
  </si>
  <si>
    <t>Magnesium</t>
  </si>
  <si>
    <t>Mg</t>
  </si>
  <si>
    <t>(CaO)2:SiO2</t>
  </si>
  <si>
    <t>65,1 mass% CaO</t>
  </si>
  <si>
    <t>34,9 mass% SiO2</t>
  </si>
  <si>
    <t>MnO (oxide in molten slag)</t>
  </si>
  <si>
    <t>Calculation of Alloy Mol Fractions</t>
  </si>
  <si>
    <t>Alumunium</t>
  </si>
  <si>
    <t>Al</t>
  </si>
  <si>
    <t>Cr2O3</t>
  </si>
  <si>
    <t>68,4 mass% Cr</t>
  </si>
  <si>
    <t>31,6 mass% O</t>
  </si>
  <si>
    <t>Si(l)</t>
  </si>
  <si>
    <t>Blast Temperature H°Tblast/MW, T 5 900°C- 1400°C</t>
  </si>
  <si>
    <t>Silikon</t>
  </si>
  <si>
    <t>Fe0,947O</t>
  </si>
  <si>
    <t>76,8 mass% Fe</t>
  </si>
  <si>
    <t>23,2 mass% O</t>
  </si>
  <si>
    <t>Si (dissolved in molten iron)</t>
  </si>
  <si>
    <t>N2(g)</t>
  </si>
  <si>
    <t>* Tblast°C - 0.1450</t>
  </si>
  <si>
    <t>Fosforus</t>
  </si>
  <si>
    <t>P</t>
  </si>
  <si>
    <t>Fe3O4</t>
  </si>
  <si>
    <t>72,4 mass% Fe</t>
  </si>
  <si>
    <t>27,6 mass% O</t>
  </si>
  <si>
    <t>SiO2(s)</t>
  </si>
  <si>
    <t>O2(g)</t>
  </si>
  <si>
    <t>* Tblast°C - 0.1257</t>
  </si>
  <si>
    <t>Belerang</t>
  </si>
  <si>
    <t>S</t>
  </si>
  <si>
    <t>Fe2O3</t>
  </si>
  <si>
    <t>69,9 mass% Fe</t>
  </si>
  <si>
    <t>30,1 mass% O</t>
  </si>
  <si>
    <t>SiO2 (oxide in molten slag)</t>
  </si>
  <si>
    <t>H2O(g)</t>
  </si>
  <si>
    <t>* Tblast°C - 13.91</t>
  </si>
  <si>
    <t>Klorin</t>
  </si>
  <si>
    <t>Cl</t>
  </si>
  <si>
    <t>h2o</t>
  </si>
  <si>
    <t>11,2 mass% H</t>
  </si>
  <si>
    <t>88,8 mass% O</t>
  </si>
  <si>
    <t>TiO2(s)</t>
  </si>
  <si>
    <t>* Tblast°C - 0.482</t>
  </si>
  <si>
    <t>Argon</t>
  </si>
  <si>
    <t>Ar</t>
  </si>
  <si>
    <t>MgCOs</t>
  </si>
  <si>
    <t>47,8 mass% MgO</t>
  </si>
  <si>
    <t>52,2 mass% CO2</t>
  </si>
  <si>
    <r>
      <t>TiO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(oxide in molten slag)</t>
    </r>
  </si>
  <si>
    <t>Raceway Adiabatic Flame Temperature H° Tflame temperature =MW, T 5 1800° C°230° C</t>
  </si>
  <si>
    <t>Kalium</t>
  </si>
  <si>
    <t>K</t>
  </si>
  <si>
    <t>60,3 mass% Mg</t>
  </si>
  <si>
    <t>39,7 mass% O</t>
  </si>
  <si>
    <t>1200°C</t>
  </si>
  <si>
    <t>CO2(g)</t>
  </si>
  <si>
    <t>Al2O3(s)</t>
  </si>
  <si>
    <t>* Tflame°C -16.72</t>
  </si>
  <si>
    <t>Kalsium</t>
  </si>
  <si>
    <t>Ca</t>
  </si>
  <si>
    <t>MnO</t>
  </si>
  <si>
    <t>77,4 mass% Mn</t>
  </si>
  <si>
    <t>22,6 mass% O</t>
  </si>
  <si>
    <t>* Tflame°C - 4.183</t>
  </si>
  <si>
    <t>Skandium</t>
  </si>
  <si>
    <t>Sc</t>
  </si>
  <si>
    <t>Mn3O4</t>
  </si>
  <si>
    <t>72,0 mass% Mn</t>
  </si>
  <si>
    <t>28,0 mass% O</t>
  </si>
  <si>
    <t>H2(g)</t>
  </si>
  <si>
    <t>* Tflame°C - 4.130</t>
  </si>
  <si>
    <t>Titanium</t>
  </si>
  <si>
    <t>Ti</t>
  </si>
  <si>
    <t>MnO2</t>
  </si>
  <si>
    <t>63,2 mass% Mn</t>
  </si>
  <si>
    <t>36,8 mass% O</t>
  </si>
  <si>
    <t>* Tflame°C - 0.2448</t>
  </si>
  <si>
    <t>Vanadium</t>
  </si>
  <si>
    <t>V</t>
  </si>
  <si>
    <t>P2O5</t>
  </si>
  <si>
    <t>43,6 mass% P</t>
  </si>
  <si>
    <t>56,4 mass% O</t>
  </si>
  <si>
    <t>* Tflame°C -15.47</t>
  </si>
  <si>
    <t>Kromium</t>
  </si>
  <si>
    <t>Cr</t>
  </si>
  <si>
    <t>SO2</t>
  </si>
  <si>
    <t>50,0 mass% S</t>
  </si>
  <si>
    <t>50,0 mass% O</t>
  </si>
  <si>
    <t>930°C</t>
  </si>
  <si>
    <t>AhO3(s)</t>
  </si>
  <si>
    <t>Top Gas Temperature H° Ttop gas =MW, T 5 25 C°225 C</t>
  </si>
  <si>
    <t>Mangan</t>
  </si>
  <si>
    <t>46,7 mass% Si</t>
  </si>
  <si>
    <t>53,3 mass% O</t>
  </si>
  <si>
    <t>* Ttop gas°C - 3.972</t>
  </si>
  <si>
    <t>Besi</t>
  </si>
  <si>
    <t>Fe</t>
  </si>
  <si>
    <t>* Ttop gas°C - 8.966</t>
  </si>
  <si>
    <t>Kobalt</t>
  </si>
  <si>
    <t>Co</t>
  </si>
  <si>
    <t>12,0 mass% C</t>
  </si>
  <si>
    <t>32,0 mass% O2</t>
  </si>
  <si>
    <t>* Ttop gas°C - 0.3616</t>
  </si>
  <si>
    <t>Nikel</t>
  </si>
  <si>
    <t>Ni</t>
  </si>
  <si>
    <t>MgCO3</t>
  </si>
  <si>
    <t>HzO(g)</t>
  </si>
  <si>
    <t>* Ttop gas°C - 13.47</t>
  </si>
  <si>
    <t>Tembaga</t>
  </si>
  <si>
    <t>Cu</t>
  </si>
  <si>
    <t>14,2 mass% C</t>
  </si>
  <si>
    <t>38,0 mass% O2</t>
  </si>
  <si>
    <t>* Ttop gas°C - 0.02624</t>
  </si>
  <si>
    <t>Seng</t>
  </si>
  <si>
    <t>Zn</t>
  </si>
  <si>
    <t>Fe0,947O(s)</t>
  </si>
  <si>
    <t>Galium</t>
  </si>
  <si>
    <t>Ga</t>
  </si>
  <si>
    <t>Germanium</t>
  </si>
  <si>
    <t>Ge</t>
  </si>
  <si>
    <t>Arsen</t>
  </si>
  <si>
    <t>As</t>
  </si>
  <si>
    <t>25°C</t>
  </si>
  <si>
    <t>AL2O3(s)</t>
  </si>
  <si>
    <t>CH4(g)</t>
  </si>
  <si>
    <t>CaCO3(s)</t>
  </si>
  <si>
    <t>Fe(s)</t>
  </si>
  <si>
    <t>Fe2O3(s)</t>
  </si>
  <si>
    <t>Fe3O4(s)</t>
  </si>
  <si>
    <t>H2O(l)</t>
  </si>
  <si>
    <t>MgCO3(s)</t>
  </si>
  <si>
    <t>MnO2(s)</t>
  </si>
  <si>
    <t>Coal, 25° C</t>
  </si>
  <si>
    <t>Natural gas, 25°C</t>
  </si>
  <si>
    <t>PCI Injection</t>
  </si>
  <si>
    <t>O2 Injection</t>
  </si>
  <si>
    <t>Minimizing Coke rate using PCI and Oxigen Injection</t>
  </si>
  <si>
    <t xml:space="preserve">Calculation value </t>
  </si>
  <si>
    <t>Initial Condition</t>
  </si>
  <si>
    <t>Constraint</t>
  </si>
  <si>
    <t>Optimization Condition</t>
  </si>
  <si>
    <t>O2(g) injection (kg/t)</t>
  </si>
  <si>
    <t>PCI Injection (kg/t)</t>
  </si>
  <si>
    <t>You can change value of PCI and O2 Injection value in yellow section</t>
  </si>
  <si>
    <t>You can change 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</si>
</sst>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0.000000"/>
  </numFmts>
  <fonts count="9" x14ac:knownFonts="1">
    <font>
      <sz val="11"/>
      <color theme="1"/>
      <name val="Aptos Narrow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2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2" fontId="2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/>
    <xf numFmtId="0" fontId="1" fillId="10" borderId="0" xfId="0" applyFont="1" applyFill="1"/>
    <xf numFmtId="0" fontId="1" fillId="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" fontId="1" fillId="13" borderId="1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1" fontId="1" fillId="13" borderId="15" xfId="0" applyNumberFormat="1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1" fontId="1" fillId="13" borderId="16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2" fontId="1" fillId="13" borderId="7" xfId="0" applyNumberFormat="1" applyFont="1" applyFill="1" applyBorder="1" applyAlignment="1">
      <alignment vertical="center"/>
    </xf>
    <xf numFmtId="0" fontId="1" fillId="13" borderId="19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8" fillId="15" borderId="0" xfId="0" applyFont="1" applyFill="1" applyAlignment="1">
      <alignment vertical="center"/>
    </xf>
    <xf numFmtId="0" fontId="8" fillId="15" borderId="0" xfId="0" applyFont="1" applyFill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164" fontId="1" fillId="1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2" fillId="0" borderId="1" xfId="0" applyFont="1" applyBorder="1"/>
    <xf numFmtId="165" fontId="1" fillId="0" borderId="1" xfId="0" applyNumberFormat="1" applyFont="1" applyBorder="1"/>
    <xf numFmtId="2" fontId="1" fillId="13" borderId="1" xfId="0" applyNumberFormat="1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2" fillId="7" borderId="9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6" xfId="0" applyFont="1" applyFill="1" applyBorder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vertical="center"/>
    </xf>
    <xf numFmtId="164" fontId="1" fillId="13" borderId="3" xfId="0" applyNumberFormat="1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Coke Requirement, kg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'PCI &amp; Oxi Case'!$H$63:$H$74</c:f>
              <c:numCache>
                <c:formatCode>0.00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32.6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'PCI &amp; Oxi Case'!$I$63:$I$74</c:f>
              <c:numCache>
                <c:formatCode>General</c:formatCode>
                <c:ptCount val="12"/>
                <c:pt idx="0">
                  <c:v>303</c:v>
                </c:pt>
                <c:pt idx="1">
                  <c:v>303</c:v>
                </c:pt>
                <c:pt idx="2">
                  <c:v>304</c:v>
                </c:pt>
                <c:pt idx="3">
                  <c:v>304</c:v>
                </c:pt>
                <c:pt idx="4">
                  <c:v>304</c:v>
                </c:pt>
                <c:pt idx="5">
                  <c:v>304</c:v>
                </c:pt>
                <c:pt idx="6">
                  <c:v>304</c:v>
                </c:pt>
                <c:pt idx="7">
                  <c:v>304</c:v>
                </c:pt>
                <c:pt idx="8">
                  <c:v>304</c:v>
                </c:pt>
                <c:pt idx="9">
                  <c:v>305</c:v>
                </c:pt>
                <c:pt idx="10">
                  <c:v>305</c:v>
                </c:pt>
                <c:pt idx="11">
                  <c:v>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69-4C82-809C-B810BC9A39E5}"/>
            </c:ext>
          </c:extLst>
        </c:ser>
        <c:ser>
          <c:idx val="2"/>
          <c:order val="2"/>
          <c:tx>
            <c:v>Top gas temperature,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'PCI &amp; Oxi Case'!$H$63:$H$74</c:f>
              <c:numCache>
                <c:formatCode>0.00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32.6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'PCI &amp; Oxi Case'!$K$63:$K$74</c:f>
              <c:numCache>
                <c:formatCode>General</c:formatCode>
                <c:ptCount val="12"/>
                <c:pt idx="0">
                  <c:v>162</c:v>
                </c:pt>
                <c:pt idx="1">
                  <c:v>157</c:v>
                </c:pt>
                <c:pt idx="2">
                  <c:v>152</c:v>
                </c:pt>
                <c:pt idx="3">
                  <c:v>147</c:v>
                </c:pt>
                <c:pt idx="4">
                  <c:v>142</c:v>
                </c:pt>
                <c:pt idx="5">
                  <c:v>137</c:v>
                </c:pt>
                <c:pt idx="6">
                  <c:v>132</c:v>
                </c:pt>
                <c:pt idx="7">
                  <c:v>129</c:v>
                </c:pt>
                <c:pt idx="8">
                  <c:v>127</c:v>
                </c:pt>
                <c:pt idx="9">
                  <c:v>121</c:v>
                </c:pt>
                <c:pt idx="10">
                  <c:v>116</c:v>
                </c:pt>
                <c:pt idx="11">
                  <c:v>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369-4C82-809C-B810BC9A3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02687"/>
        <c:axId val="713696447"/>
      </c:scatterChart>
      <c:scatterChart>
        <c:scatterStyle val="smoothMarker"/>
        <c:varyColors val="0"/>
        <c:ser>
          <c:idx val="1"/>
          <c:order val="1"/>
          <c:tx>
            <c:v>Flame temperature, 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'PCI &amp; Oxi Case'!$H$63:$H$74</c:f>
              <c:numCache>
                <c:formatCode>0.00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32.6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'PCI &amp; Oxi Case'!$J$63:$J$74</c:f>
              <c:numCache>
                <c:formatCode>General</c:formatCode>
                <c:ptCount val="12"/>
                <c:pt idx="0">
                  <c:v>2047</c:v>
                </c:pt>
                <c:pt idx="1">
                  <c:v>2055</c:v>
                </c:pt>
                <c:pt idx="2">
                  <c:v>2063</c:v>
                </c:pt>
                <c:pt idx="3">
                  <c:v>2072</c:v>
                </c:pt>
                <c:pt idx="4">
                  <c:v>2080</c:v>
                </c:pt>
                <c:pt idx="5">
                  <c:v>2089</c:v>
                </c:pt>
                <c:pt idx="6">
                  <c:v>2098</c:v>
                </c:pt>
                <c:pt idx="7">
                  <c:v>2102</c:v>
                </c:pt>
                <c:pt idx="8">
                  <c:v>2107</c:v>
                </c:pt>
                <c:pt idx="9">
                  <c:v>2116</c:v>
                </c:pt>
                <c:pt idx="10">
                  <c:v>2125</c:v>
                </c:pt>
                <c:pt idx="11">
                  <c:v>2134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69-4C82-809C-B810BC9A3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166047"/>
        <c:axId val="323714063"/>
      </c:scatterChart>
      <c:valAx>
        <c:axId val="713702687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O2 mass injectants, kg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713696447"/>
        <c:crosses val="autoZero"/>
        <c:crossBetween val="midCat"/>
      </c:valAx>
      <c:valAx>
        <c:axId val="713696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Value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713702687"/>
        <c:crosses val="autoZero"/>
        <c:crossBetween val="midCat"/>
      </c:valAx>
      <c:valAx>
        <c:axId val="323714063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07166047"/>
        <c:crosses val="max"/>
        <c:crossBetween val="midCat"/>
      </c:valAx>
      <c:valAx>
        <c:axId val="1407166047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23714063"/>
        <c:crossBetween val="midCat"/>
      </c:valAx>
      <c:spPr>
        <a:noFill/>
        <a:ln>
          <a:solidFill>
            <a:schemeClr val="tx2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PCI Injection</c:v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'PCI &amp; Oxi Case'!$G$34:$G$59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'PCI &amp; Oxi Case'!$I$34:$I$59</c:f>
              <c:numCache>
                <c:formatCode>General</c:formatCode>
                <c:ptCount val="26"/>
                <c:pt idx="0">
                  <c:v>433</c:v>
                </c:pt>
                <c:pt idx="1">
                  <c:v>424</c:v>
                </c:pt>
                <c:pt idx="2">
                  <c:v>416</c:v>
                </c:pt>
                <c:pt idx="3">
                  <c:v>407</c:v>
                </c:pt>
                <c:pt idx="4">
                  <c:v>398</c:v>
                </c:pt>
                <c:pt idx="5">
                  <c:v>390</c:v>
                </c:pt>
                <c:pt idx="6">
                  <c:v>381</c:v>
                </c:pt>
                <c:pt idx="7">
                  <c:v>373</c:v>
                </c:pt>
                <c:pt idx="8">
                  <c:v>364</c:v>
                </c:pt>
                <c:pt idx="9">
                  <c:v>356</c:v>
                </c:pt>
                <c:pt idx="10">
                  <c:v>347</c:v>
                </c:pt>
                <c:pt idx="11">
                  <c:v>339</c:v>
                </c:pt>
                <c:pt idx="12">
                  <c:v>330</c:v>
                </c:pt>
                <c:pt idx="13">
                  <c:v>321</c:v>
                </c:pt>
                <c:pt idx="14">
                  <c:v>313</c:v>
                </c:pt>
                <c:pt idx="15">
                  <c:v>304</c:v>
                </c:pt>
                <c:pt idx="16">
                  <c:v>296</c:v>
                </c:pt>
                <c:pt idx="17">
                  <c:v>287</c:v>
                </c:pt>
                <c:pt idx="18">
                  <c:v>279</c:v>
                </c:pt>
                <c:pt idx="19">
                  <c:v>270</c:v>
                </c:pt>
                <c:pt idx="20">
                  <c:v>262</c:v>
                </c:pt>
                <c:pt idx="21">
                  <c:v>253</c:v>
                </c:pt>
                <c:pt idx="22">
                  <c:v>244</c:v>
                </c:pt>
                <c:pt idx="23">
                  <c:v>236</c:v>
                </c:pt>
                <c:pt idx="24">
                  <c:v>227</c:v>
                </c:pt>
                <c:pt idx="25">
                  <c:v>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ED-49A0-9A50-3E4175485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02687"/>
        <c:axId val="713696447"/>
      </c:scatterChart>
      <c:scatterChart>
        <c:scatterStyle val="smoothMarker"/>
        <c:varyColors val="0"/>
        <c:ser>
          <c:idx val="1"/>
          <c:order val="1"/>
          <c:tx>
            <c:strRef>
              <c:f>'PCI &amp; Oxi Case'!$G$34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'PCI &amp; Oxi Case'!$G$34:$G$59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'PCI &amp; Oxi Case'!$J$34:$J$59</c:f>
              <c:numCache>
                <c:formatCode>General</c:formatCode>
                <c:ptCount val="26"/>
                <c:pt idx="0">
                  <c:v>2343</c:v>
                </c:pt>
                <c:pt idx="1">
                  <c:v>2325</c:v>
                </c:pt>
                <c:pt idx="2">
                  <c:v>2308</c:v>
                </c:pt>
                <c:pt idx="3">
                  <c:v>2291</c:v>
                </c:pt>
                <c:pt idx="4">
                  <c:v>2275</c:v>
                </c:pt>
                <c:pt idx="5">
                  <c:v>2258</c:v>
                </c:pt>
                <c:pt idx="6">
                  <c:v>2242</c:v>
                </c:pt>
                <c:pt idx="7">
                  <c:v>2225</c:v>
                </c:pt>
                <c:pt idx="8">
                  <c:v>2209</c:v>
                </c:pt>
                <c:pt idx="9">
                  <c:v>2194</c:v>
                </c:pt>
                <c:pt idx="10">
                  <c:v>2178</c:v>
                </c:pt>
                <c:pt idx="11">
                  <c:v>2162</c:v>
                </c:pt>
                <c:pt idx="12">
                  <c:v>2147</c:v>
                </c:pt>
                <c:pt idx="13">
                  <c:v>2132</c:v>
                </c:pt>
                <c:pt idx="14">
                  <c:v>2117</c:v>
                </c:pt>
                <c:pt idx="15">
                  <c:v>2102</c:v>
                </c:pt>
                <c:pt idx="16">
                  <c:v>2088</c:v>
                </c:pt>
                <c:pt idx="17">
                  <c:v>2073</c:v>
                </c:pt>
                <c:pt idx="18">
                  <c:v>2059</c:v>
                </c:pt>
                <c:pt idx="19">
                  <c:v>2045</c:v>
                </c:pt>
                <c:pt idx="20">
                  <c:v>2031</c:v>
                </c:pt>
                <c:pt idx="21">
                  <c:v>2017</c:v>
                </c:pt>
                <c:pt idx="22">
                  <c:v>2003</c:v>
                </c:pt>
                <c:pt idx="23">
                  <c:v>1989</c:v>
                </c:pt>
                <c:pt idx="24">
                  <c:v>1976</c:v>
                </c:pt>
                <c:pt idx="25">
                  <c:v>1963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ED-49A0-9A50-3E4175485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748943"/>
        <c:axId val="325749903"/>
      </c:scatterChart>
      <c:valAx>
        <c:axId val="713702687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mass injectants, kg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713696447"/>
        <c:crosses val="autoZero"/>
        <c:crossBetween val="midCat"/>
      </c:valAx>
      <c:valAx>
        <c:axId val="7136964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Coke Requirements, kg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713702687"/>
        <c:crosses val="autoZero"/>
        <c:crossBetween val="midCat"/>
      </c:valAx>
      <c:valAx>
        <c:axId val="3257499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Flame Temperature,</a:t>
                </a:r>
                <a:r>
                  <a:rPr lang="en-US" baseline="0"/>
                  <a:t> 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°C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325748943"/>
        <c:crosses val="max"/>
        <c:crossBetween val="midCat"/>
      </c:valAx>
      <c:valAx>
        <c:axId val="325748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749903"/>
        <c:crosses val="autoZero"/>
        <c:crossBetween val="midCat"/>
      </c:valAx>
      <c:spPr>
        <a:noFill/>
        <a:ln>
          <a:solidFill>
            <a:schemeClr val="tx2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52</xdr:row>
      <xdr:rowOff>0</xdr:rowOff>
    </xdr:from>
    <xdr:to>
      <xdr:col>16</xdr:col>
      <xdr:colOff>307244</xdr:colOff>
      <xdr:row>67</xdr:row>
      <xdr:rowOff>41563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E957D-2450-45B4-9B0A-D32F9EE3A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31</xdr:row>
      <xdr:rowOff>0</xdr:rowOff>
    </xdr:from>
    <xdr:to>
      <xdr:col>16</xdr:col>
      <xdr:colOff>307244</xdr:colOff>
      <xdr:row>46</xdr:row>
      <xdr:rowOff>41563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8708FA-318E-4D92-A7B8-CFFFC4719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C6D-ADCC-4596-B0EA-AE40CE844BA3}">
  <dimension ref="A1:Y260"/>
  <sheetViews>
    <sheetView tabSelected="1" zoomScale="55" zoomScaleNormal="55" workbookViewId="0">
      <selection activeCell="J24" sqref="J24"/>
    </sheetView>
  </sheetViews>
  <sheetFormatPr defaultRowHeight="13.8" x14ac:dyDescent="0.3"/>
  <cols>
    <col min="1" max="1" width="8.88671875" style="9"/>
    <col min="2" max="2" width="38.6640625" style="9" bestFit="1" customWidth="1"/>
    <col min="3" max="3" width="17.44140625" style="9" bestFit="1" customWidth="1"/>
    <col min="4" max="4" width="18.21875" style="9" bestFit="1" customWidth="1"/>
    <col min="5" max="6" width="20" style="9" customWidth="1"/>
    <col min="7" max="7" width="40.88671875" style="9" customWidth="1"/>
    <col min="8" max="8" width="18.109375" style="6" customWidth="1"/>
    <col min="9" max="9" width="18.6640625" style="9" bestFit="1" customWidth="1"/>
    <col min="10" max="10" width="15.88671875" style="9" bestFit="1" customWidth="1"/>
    <col min="11" max="11" width="16.21875" style="9" bestFit="1" customWidth="1"/>
    <col min="12" max="12" width="7.6640625" style="9" customWidth="1"/>
    <col min="13" max="13" width="12.21875" style="9" bestFit="1" customWidth="1"/>
    <col min="14" max="14" width="15.109375" style="9" bestFit="1" customWidth="1"/>
    <col min="15" max="15" width="16.44140625" style="9" bestFit="1" customWidth="1"/>
    <col min="16" max="16" width="18.33203125" style="12" bestFit="1" customWidth="1"/>
    <col min="17" max="17" width="12" style="9" bestFit="1" customWidth="1"/>
    <col min="18" max="18" width="14.77734375" style="9" bestFit="1" customWidth="1"/>
    <col min="19" max="19" width="16.109375" style="9" bestFit="1" customWidth="1"/>
    <col min="20" max="20" width="17.77734375" style="9" bestFit="1" customWidth="1"/>
    <col min="21" max="21" width="21.5546875" style="9" bestFit="1" customWidth="1"/>
    <col min="22" max="22" width="22.5546875" style="9" bestFit="1" customWidth="1"/>
    <col min="23" max="23" width="20.88671875" style="9" bestFit="1" customWidth="1"/>
    <col min="24" max="24" width="9.33203125" style="9" bestFit="1" customWidth="1"/>
    <col min="25" max="25" width="10.5546875" style="9" bestFit="1" customWidth="1"/>
    <col min="26" max="26" width="7.21875" style="9" bestFit="1" customWidth="1"/>
    <col min="27" max="27" width="10" style="9" bestFit="1" customWidth="1"/>
    <col min="28" max="28" width="12.109375" style="9" bestFit="1" customWidth="1"/>
    <col min="29" max="29" width="12.44140625" style="9" bestFit="1" customWidth="1"/>
    <col min="30" max="30" width="20.88671875" style="9" bestFit="1" customWidth="1"/>
    <col min="31" max="31" width="11.109375" style="9" bestFit="1" customWidth="1"/>
    <col min="32" max="16384" width="8.88671875" style="9"/>
  </cols>
  <sheetData>
    <row r="1" spans="1:20" s="77" customFormat="1" ht="24.6" x14ac:dyDescent="0.3">
      <c r="A1" s="98" t="s">
        <v>471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P1" s="78"/>
    </row>
    <row r="3" spans="1:20" x14ac:dyDescent="0.3">
      <c r="B3" s="101" t="s">
        <v>211</v>
      </c>
      <c r="C3" s="102"/>
      <c r="D3" s="102"/>
      <c r="E3" s="103"/>
    </row>
    <row r="4" spans="1:20" x14ac:dyDescent="0.3">
      <c r="B4" s="28" t="s">
        <v>198</v>
      </c>
      <c r="C4" s="31" t="s">
        <v>196</v>
      </c>
      <c r="D4" s="31" t="s">
        <v>209</v>
      </c>
      <c r="E4" s="26" t="s">
        <v>208</v>
      </c>
    </row>
    <row r="5" spans="1:20" x14ac:dyDescent="0.3">
      <c r="B5" s="19" t="s">
        <v>192</v>
      </c>
      <c r="C5" s="2" t="s">
        <v>189</v>
      </c>
      <c r="D5" s="2">
        <v>2100</v>
      </c>
      <c r="E5" s="18">
        <v>2300</v>
      </c>
    </row>
    <row r="6" spans="1:20" x14ac:dyDescent="0.3">
      <c r="B6" s="19" t="s">
        <v>190</v>
      </c>
      <c r="C6" s="2" t="s">
        <v>189</v>
      </c>
      <c r="D6" s="2">
        <v>110</v>
      </c>
      <c r="E6" s="18">
        <v>150</v>
      </c>
    </row>
    <row r="7" spans="1:20" x14ac:dyDescent="0.3">
      <c r="B7" s="14" t="s">
        <v>204</v>
      </c>
      <c r="C7" s="30" t="s">
        <v>203</v>
      </c>
      <c r="D7" s="29">
        <v>0</v>
      </c>
      <c r="E7" s="13">
        <v>150</v>
      </c>
    </row>
    <row r="9" spans="1:20" s="77" customFormat="1" ht="24.6" x14ac:dyDescent="0.3">
      <c r="A9" s="97" t="s">
        <v>470</v>
      </c>
      <c r="B9" s="97"/>
      <c r="C9" s="97"/>
      <c r="D9" s="97"/>
      <c r="E9" s="97"/>
      <c r="F9" s="79"/>
      <c r="G9" s="80" t="s">
        <v>472</v>
      </c>
      <c r="H9" s="80"/>
      <c r="I9" s="80"/>
      <c r="J9" s="80"/>
      <c r="K9" s="79"/>
      <c r="L9" s="79"/>
      <c r="P9" s="78"/>
    </row>
    <row r="10" spans="1:20" x14ac:dyDescent="0.3">
      <c r="B10" s="101" t="s">
        <v>226</v>
      </c>
      <c r="C10" s="102"/>
      <c r="D10" s="103"/>
      <c r="G10" s="52" t="s">
        <v>227</v>
      </c>
      <c r="H10" s="53"/>
      <c r="I10" s="53"/>
      <c r="J10" s="53"/>
      <c r="K10" s="54"/>
      <c r="Q10" s="5" t="s">
        <v>466</v>
      </c>
      <c r="R10" s="2" t="s">
        <v>194</v>
      </c>
      <c r="S10" s="2" t="s">
        <v>192</v>
      </c>
      <c r="T10" s="2" t="s">
        <v>190</v>
      </c>
    </row>
    <row r="11" spans="1:20" x14ac:dyDescent="0.3">
      <c r="B11" s="36" t="s">
        <v>198</v>
      </c>
      <c r="C11" s="35" t="s">
        <v>197</v>
      </c>
      <c r="D11" s="26" t="s">
        <v>196</v>
      </c>
      <c r="G11" s="28" t="s">
        <v>198</v>
      </c>
      <c r="H11" s="27" t="s">
        <v>196</v>
      </c>
      <c r="I11" s="37" t="s">
        <v>225</v>
      </c>
      <c r="J11" s="31" t="s">
        <v>209</v>
      </c>
      <c r="K11" s="26" t="s">
        <v>208</v>
      </c>
      <c r="Q11" s="9">
        <v>1</v>
      </c>
      <c r="R11" s="9">
        <f>-1.517*Q11+2333.9</f>
        <v>2332.3830000000003</v>
      </c>
      <c r="S11" s="9">
        <f>0.7632*Q11+13.863</f>
        <v>14.626199999999999</v>
      </c>
      <c r="T11" s="9">
        <f>-0.8559*Q11+432.72</f>
        <v>431.86410000000001</v>
      </c>
    </row>
    <row r="12" spans="1:20" ht="14.4" x14ac:dyDescent="0.3">
      <c r="B12" s="22" t="s">
        <v>223</v>
      </c>
      <c r="C12" s="21"/>
      <c r="D12" s="34"/>
      <c r="G12" s="22" t="s">
        <v>224</v>
      </c>
      <c r="H12" s="21"/>
      <c r="I12" s="21"/>
      <c r="J12" s="21"/>
      <c r="K12" s="34"/>
      <c r="Q12" s="9">
        <v>2</v>
      </c>
      <c r="R12" s="9">
        <f t="shared" ref="R12:R75" si="0">-1.517*Q12+2333.9</f>
        <v>2330.866</v>
      </c>
      <c r="S12" s="9">
        <f t="shared" ref="S12:S75" si="1">0.7632*Q12+13.863</f>
        <v>15.3894</v>
      </c>
      <c r="T12" s="9">
        <f t="shared" ref="T12:T75" si="2">-0.8559*Q12+432.72</f>
        <v>431.00820000000004</v>
      </c>
    </row>
    <row r="13" spans="1:20" x14ac:dyDescent="0.3">
      <c r="B13" s="19" t="s">
        <v>222</v>
      </c>
      <c r="C13" s="6">
        <v>320</v>
      </c>
      <c r="D13" s="18" t="s">
        <v>219</v>
      </c>
      <c r="G13" s="19" t="s">
        <v>194</v>
      </c>
      <c r="H13" s="7" t="s">
        <v>203</v>
      </c>
      <c r="I13" s="5">
        <v>305</v>
      </c>
      <c r="J13" s="2" t="s">
        <v>102</v>
      </c>
      <c r="K13" s="18" t="s">
        <v>102</v>
      </c>
      <c r="Q13" s="9">
        <v>3</v>
      </c>
      <c r="R13" s="9">
        <f t="shared" si="0"/>
        <v>2329.3490000000002</v>
      </c>
      <c r="S13" s="9">
        <f t="shared" si="1"/>
        <v>16.1526</v>
      </c>
      <c r="T13" s="9">
        <f t="shared" si="2"/>
        <v>430.15230000000003</v>
      </c>
    </row>
    <row r="14" spans="1:20" ht="14.4" x14ac:dyDescent="0.3">
      <c r="B14" s="19" t="s">
        <v>220</v>
      </c>
      <c r="C14" s="6">
        <v>80</v>
      </c>
      <c r="D14" s="18" t="s">
        <v>219</v>
      </c>
      <c r="G14" s="22" t="s">
        <v>221</v>
      </c>
      <c r="H14" s="33"/>
      <c r="I14" s="33"/>
      <c r="J14" s="33"/>
      <c r="K14" s="20"/>
      <c r="Q14" s="9">
        <v>4</v>
      </c>
      <c r="R14" s="9">
        <f t="shared" si="0"/>
        <v>2327.8319999999999</v>
      </c>
      <c r="S14" s="9">
        <f t="shared" si="1"/>
        <v>16.915800000000001</v>
      </c>
      <c r="T14" s="9">
        <f t="shared" si="2"/>
        <v>429.29640000000001</v>
      </c>
    </row>
    <row r="15" spans="1:20" ht="14.4" x14ac:dyDescent="0.3">
      <c r="B15" s="22" t="s">
        <v>218</v>
      </c>
      <c r="C15" s="21"/>
      <c r="D15" s="20"/>
      <c r="G15" s="19" t="s">
        <v>204</v>
      </c>
      <c r="H15" s="7" t="s">
        <v>203</v>
      </c>
      <c r="I15" s="5">
        <v>150</v>
      </c>
      <c r="J15" s="2">
        <v>0</v>
      </c>
      <c r="K15" s="18">
        <v>150</v>
      </c>
      <c r="Q15" s="9">
        <v>5</v>
      </c>
      <c r="R15" s="9">
        <f t="shared" si="0"/>
        <v>2326.3150000000001</v>
      </c>
      <c r="S15" s="9">
        <f t="shared" si="1"/>
        <v>17.678999999999998</v>
      </c>
      <c r="T15" s="9">
        <f t="shared" si="2"/>
        <v>428.44050000000004</v>
      </c>
    </row>
    <row r="16" spans="1:20" x14ac:dyDescent="0.3">
      <c r="B16" s="19" t="s">
        <v>204</v>
      </c>
      <c r="C16" s="6">
        <v>80</v>
      </c>
      <c r="D16" s="18" t="s">
        <v>203</v>
      </c>
      <c r="G16" s="19" t="s">
        <v>216</v>
      </c>
      <c r="H16" s="7" t="s">
        <v>203</v>
      </c>
      <c r="I16" s="5">
        <v>32.6</v>
      </c>
      <c r="J16" s="2" t="s">
        <v>102</v>
      </c>
      <c r="K16" s="18" t="s">
        <v>102</v>
      </c>
      <c r="Q16" s="9">
        <v>6</v>
      </c>
      <c r="R16" s="9">
        <f t="shared" si="0"/>
        <v>2324.7980000000002</v>
      </c>
      <c r="S16" s="9">
        <f t="shared" si="1"/>
        <v>18.4422</v>
      </c>
      <c r="T16" s="9">
        <f t="shared" si="2"/>
        <v>427.58460000000002</v>
      </c>
    </row>
    <row r="17" spans="2:20" ht="14.4" x14ac:dyDescent="0.3">
      <c r="B17" s="19" t="s">
        <v>216</v>
      </c>
      <c r="C17" s="6">
        <v>0</v>
      </c>
      <c r="D17" s="18" t="s">
        <v>203</v>
      </c>
      <c r="G17" s="22" t="s">
        <v>217</v>
      </c>
      <c r="H17" s="33"/>
      <c r="I17" s="33"/>
      <c r="J17" s="33"/>
      <c r="K17" s="20"/>
      <c r="Q17" s="9">
        <v>7</v>
      </c>
      <c r="R17" s="9">
        <f t="shared" si="0"/>
        <v>2323.2809999999999</v>
      </c>
      <c r="S17" s="9">
        <f t="shared" si="1"/>
        <v>19.205399999999997</v>
      </c>
      <c r="T17" s="9">
        <f t="shared" si="2"/>
        <v>426.7287</v>
      </c>
    </row>
    <row r="18" spans="2:20" x14ac:dyDescent="0.3">
      <c r="B18" s="19" t="s">
        <v>215</v>
      </c>
      <c r="C18" s="6">
        <v>15</v>
      </c>
      <c r="D18" s="18" t="s">
        <v>214</v>
      </c>
      <c r="G18" s="19" t="s">
        <v>192</v>
      </c>
      <c r="H18" s="7" t="s">
        <v>189</v>
      </c>
      <c r="I18" s="5">
        <v>2100</v>
      </c>
      <c r="J18" s="2">
        <v>2100</v>
      </c>
      <c r="K18" s="18">
        <v>2300</v>
      </c>
      <c r="Q18" s="9">
        <v>8</v>
      </c>
      <c r="R18" s="9">
        <f t="shared" si="0"/>
        <v>2321.7640000000001</v>
      </c>
      <c r="S18" s="9">
        <f t="shared" si="1"/>
        <v>19.968599999999999</v>
      </c>
      <c r="T18" s="9">
        <f t="shared" si="2"/>
        <v>425.87280000000004</v>
      </c>
    </row>
    <row r="19" spans="2:20" ht="14.4" x14ac:dyDescent="0.3">
      <c r="B19" s="22" t="s">
        <v>213</v>
      </c>
      <c r="C19" s="21"/>
      <c r="D19" s="20"/>
      <c r="G19" s="14" t="s">
        <v>190</v>
      </c>
      <c r="H19" s="24" t="s">
        <v>189</v>
      </c>
      <c r="I19" s="32">
        <v>129</v>
      </c>
      <c r="J19" s="29">
        <v>110</v>
      </c>
      <c r="K19" s="13">
        <v>150</v>
      </c>
      <c r="Q19" s="9">
        <v>9</v>
      </c>
      <c r="R19" s="9">
        <f t="shared" si="0"/>
        <v>2320.2470000000003</v>
      </c>
      <c r="S19" s="9">
        <f t="shared" si="1"/>
        <v>20.7318</v>
      </c>
      <c r="T19" s="9">
        <f t="shared" si="2"/>
        <v>425.01690000000002</v>
      </c>
    </row>
    <row r="20" spans="2:20" x14ac:dyDescent="0.3">
      <c r="B20" s="19" t="s">
        <v>212</v>
      </c>
      <c r="C20" s="6">
        <v>930</v>
      </c>
      <c r="D20" s="18" t="s">
        <v>189</v>
      </c>
      <c r="Q20" s="9">
        <v>10</v>
      </c>
      <c r="R20" s="9">
        <f t="shared" si="0"/>
        <v>2318.73</v>
      </c>
      <c r="S20" s="9">
        <f t="shared" si="1"/>
        <v>21.494999999999997</v>
      </c>
      <c r="T20" s="9">
        <f t="shared" si="2"/>
        <v>424.161</v>
      </c>
    </row>
    <row r="21" spans="2:20" ht="14.4" thickBot="1" x14ac:dyDescent="0.35">
      <c r="B21" s="19" t="s">
        <v>210</v>
      </c>
      <c r="C21" s="6">
        <v>1200</v>
      </c>
      <c r="D21" s="18" t="s">
        <v>189</v>
      </c>
      <c r="G21" s="67"/>
      <c r="H21" s="67"/>
      <c r="I21" s="67"/>
      <c r="Q21" s="9">
        <v>11</v>
      </c>
      <c r="R21" s="9">
        <f t="shared" si="0"/>
        <v>2317.2130000000002</v>
      </c>
      <c r="S21" s="9">
        <f t="shared" si="1"/>
        <v>22.258199999999999</v>
      </c>
      <c r="T21" s="9">
        <f t="shared" si="2"/>
        <v>423.30510000000004</v>
      </c>
    </row>
    <row r="22" spans="2:20" ht="14.4" thickTop="1" x14ac:dyDescent="0.3">
      <c r="B22" s="19" t="s">
        <v>207</v>
      </c>
      <c r="C22" s="6">
        <v>1500</v>
      </c>
      <c r="D22" s="18" t="s">
        <v>189</v>
      </c>
      <c r="F22" s="76"/>
      <c r="G22" s="104" t="s">
        <v>468</v>
      </c>
      <c r="H22" s="105"/>
      <c r="I22" s="106"/>
      <c r="Q22" s="9">
        <v>12</v>
      </c>
      <c r="R22" s="9">
        <f t="shared" si="0"/>
        <v>2315.6959999999999</v>
      </c>
      <c r="S22" s="9">
        <f t="shared" si="1"/>
        <v>23.0214</v>
      </c>
      <c r="T22" s="9">
        <f t="shared" si="2"/>
        <v>422.44920000000002</v>
      </c>
    </row>
    <row r="23" spans="2:20" x14ac:dyDescent="0.3">
      <c r="B23" s="19" t="s">
        <v>206</v>
      </c>
      <c r="C23" s="6">
        <v>1500</v>
      </c>
      <c r="D23" s="18" t="s">
        <v>189</v>
      </c>
      <c r="F23" s="76"/>
      <c r="G23" s="26" t="s">
        <v>198</v>
      </c>
      <c r="H23" s="64" t="s">
        <v>197</v>
      </c>
      <c r="I23" s="68" t="s">
        <v>196</v>
      </c>
      <c r="Q23" s="9">
        <v>13</v>
      </c>
      <c r="R23" s="9">
        <f t="shared" si="0"/>
        <v>2314.1790000000001</v>
      </c>
      <c r="S23" s="9">
        <f t="shared" si="1"/>
        <v>23.784599999999998</v>
      </c>
      <c r="T23" s="9">
        <f t="shared" si="2"/>
        <v>421.5933</v>
      </c>
    </row>
    <row r="24" spans="2:20" x14ac:dyDescent="0.3">
      <c r="B24" s="19" t="s">
        <v>205</v>
      </c>
      <c r="C24" s="6">
        <v>25</v>
      </c>
      <c r="D24" s="18" t="s">
        <v>189</v>
      </c>
      <c r="F24" s="76"/>
      <c r="G24" s="73" t="s">
        <v>194</v>
      </c>
      <c r="H24" s="38">
        <f>'Optimization Condition'!C5</f>
        <v>304.35414650774732</v>
      </c>
      <c r="I24" s="69" t="s">
        <v>193</v>
      </c>
      <c r="Q24" s="9">
        <v>14</v>
      </c>
      <c r="R24" s="9">
        <f t="shared" si="0"/>
        <v>2312.6620000000003</v>
      </c>
      <c r="S24" s="9">
        <f t="shared" si="1"/>
        <v>24.547799999999999</v>
      </c>
      <c r="T24" s="9">
        <f t="shared" si="2"/>
        <v>420.73740000000004</v>
      </c>
    </row>
    <row r="25" spans="2:20" ht="14.4" x14ac:dyDescent="0.3">
      <c r="B25" s="22" t="s">
        <v>202</v>
      </c>
      <c r="C25" s="21"/>
      <c r="D25" s="20"/>
      <c r="F25" s="76"/>
      <c r="G25" s="73" t="s">
        <v>192</v>
      </c>
      <c r="H25" s="38">
        <f>'Optimization Condition'!C58</f>
        <v>2102.2684610350366</v>
      </c>
      <c r="I25" s="69" t="s">
        <v>189</v>
      </c>
      <c r="Q25" s="9">
        <v>15</v>
      </c>
      <c r="R25" s="9">
        <f t="shared" si="0"/>
        <v>2311.145</v>
      </c>
      <c r="S25" s="9">
        <f t="shared" si="1"/>
        <v>25.311</v>
      </c>
      <c r="T25" s="9">
        <f t="shared" si="2"/>
        <v>419.88150000000002</v>
      </c>
    </row>
    <row r="26" spans="2:20" x14ac:dyDescent="0.3">
      <c r="B26" s="19" t="s">
        <v>201</v>
      </c>
      <c r="C26" s="6">
        <v>7</v>
      </c>
      <c r="D26" s="18" t="s">
        <v>169</v>
      </c>
      <c r="F26" s="76"/>
      <c r="G26" s="73" t="s">
        <v>190</v>
      </c>
      <c r="H26" s="38">
        <f>'Optimization Condition'!C100</f>
        <v>129.27751930238745</v>
      </c>
      <c r="I26" s="69" t="s">
        <v>189</v>
      </c>
      <c r="Q26" s="9">
        <v>16</v>
      </c>
      <c r="R26" s="9">
        <f t="shared" si="0"/>
        <v>2309.6280000000002</v>
      </c>
      <c r="S26" s="9">
        <f t="shared" si="1"/>
        <v>26.074199999999998</v>
      </c>
      <c r="T26" s="9">
        <f t="shared" si="2"/>
        <v>419.02560000000005</v>
      </c>
    </row>
    <row r="27" spans="2:20" x14ac:dyDescent="0.3">
      <c r="B27" s="19" t="s">
        <v>199</v>
      </c>
      <c r="C27" s="6">
        <v>3</v>
      </c>
      <c r="D27" s="18" t="s">
        <v>169</v>
      </c>
      <c r="F27" s="76"/>
      <c r="G27" s="74" t="s">
        <v>466</v>
      </c>
      <c r="H27" s="65">
        <v>150</v>
      </c>
      <c r="I27" s="70" t="s">
        <v>203</v>
      </c>
      <c r="Q27" s="9">
        <v>17</v>
      </c>
      <c r="R27" s="9">
        <f t="shared" si="0"/>
        <v>2308.1109999999999</v>
      </c>
      <c r="S27" s="9">
        <f t="shared" si="1"/>
        <v>26.837399999999999</v>
      </c>
      <c r="T27" s="9">
        <f t="shared" si="2"/>
        <v>418.16970000000003</v>
      </c>
    </row>
    <row r="28" spans="2:20" ht="14.4" thickBot="1" x14ac:dyDescent="0.35">
      <c r="B28" s="19" t="s">
        <v>195</v>
      </c>
      <c r="C28" s="6">
        <v>90</v>
      </c>
      <c r="D28" s="18" t="s">
        <v>169</v>
      </c>
      <c r="F28" s="76"/>
      <c r="G28" s="75" t="s">
        <v>467</v>
      </c>
      <c r="H28" s="71">
        <v>32.6</v>
      </c>
      <c r="I28" s="72" t="s">
        <v>203</v>
      </c>
      <c r="Q28" s="9">
        <v>18</v>
      </c>
      <c r="R28" s="9">
        <f t="shared" si="0"/>
        <v>2306.5940000000001</v>
      </c>
      <c r="S28" s="9">
        <f t="shared" si="1"/>
        <v>27.6006</v>
      </c>
      <c r="T28" s="9">
        <f t="shared" si="2"/>
        <v>417.31380000000001</v>
      </c>
    </row>
    <row r="29" spans="2:20" ht="14.4" thickTop="1" x14ac:dyDescent="0.3">
      <c r="B29" s="128" t="s">
        <v>170</v>
      </c>
      <c r="C29" s="129">
        <v>5</v>
      </c>
      <c r="D29" s="130" t="s">
        <v>169</v>
      </c>
      <c r="H29" s="9"/>
      <c r="Q29" s="9">
        <v>19</v>
      </c>
      <c r="R29" s="9">
        <f t="shared" si="0"/>
        <v>2305.0770000000002</v>
      </c>
      <c r="S29" s="9">
        <f t="shared" si="1"/>
        <v>28.363799999999998</v>
      </c>
      <c r="T29" s="9">
        <f t="shared" si="2"/>
        <v>416.45790000000005</v>
      </c>
    </row>
    <row r="30" spans="2:20" ht="14.4" x14ac:dyDescent="0.3">
      <c r="B30" s="22" t="s">
        <v>191</v>
      </c>
      <c r="C30" s="21"/>
      <c r="D30" s="20"/>
      <c r="G30" s="62" t="s">
        <v>475</v>
      </c>
      <c r="H30" s="62"/>
      <c r="I30" s="62"/>
      <c r="Q30" s="9">
        <v>20</v>
      </c>
      <c r="R30" s="9">
        <f t="shared" si="0"/>
        <v>2303.56</v>
      </c>
      <c r="S30" s="9">
        <f t="shared" si="1"/>
        <v>29.126999999999999</v>
      </c>
      <c r="T30" s="9">
        <f t="shared" si="2"/>
        <v>415.60200000000003</v>
      </c>
    </row>
    <row r="31" spans="2:20" x14ac:dyDescent="0.3">
      <c r="B31" s="19" t="s">
        <v>184</v>
      </c>
      <c r="C31" s="6">
        <v>10</v>
      </c>
      <c r="D31" s="18" t="s">
        <v>169</v>
      </c>
      <c r="Q31" s="9">
        <v>21</v>
      </c>
      <c r="R31" s="9">
        <f t="shared" si="0"/>
        <v>2302.0430000000001</v>
      </c>
      <c r="S31" s="9">
        <f t="shared" si="1"/>
        <v>29.8902</v>
      </c>
      <c r="T31" s="9">
        <f t="shared" si="2"/>
        <v>414.74610000000001</v>
      </c>
    </row>
    <row r="32" spans="2:20" x14ac:dyDescent="0.3">
      <c r="B32" s="19" t="s">
        <v>188</v>
      </c>
      <c r="C32" s="6">
        <v>41</v>
      </c>
      <c r="D32" s="18" t="s">
        <v>169</v>
      </c>
      <c r="G32" s="99" t="s">
        <v>469</v>
      </c>
      <c r="H32" s="100"/>
      <c r="I32" s="100"/>
      <c r="J32" s="100"/>
      <c r="K32" s="100"/>
      <c r="Q32" s="9">
        <v>22</v>
      </c>
      <c r="R32" s="9">
        <f t="shared" si="0"/>
        <v>2300.5260000000003</v>
      </c>
      <c r="S32" s="9">
        <f t="shared" si="1"/>
        <v>30.653399999999998</v>
      </c>
      <c r="T32" s="9">
        <f t="shared" si="2"/>
        <v>413.89020000000005</v>
      </c>
    </row>
    <row r="33" spans="2:20" x14ac:dyDescent="0.3">
      <c r="B33" s="19" t="s">
        <v>187</v>
      </c>
      <c r="C33" s="6">
        <v>10</v>
      </c>
      <c r="D33" s="18" t="s">
        <v>169</v>
      </c>
      <c r="G33" s="50" t="s">
        <v>474</v>
      </c>
      <c r="H33" s="46" t="s">
        <v>473</v>
      </c>
      <c r="I33" s="10" t="s">
        <v>194</v>
      </c>
      <c r="J33" s="10" t="s">
        <v>192</v>
      </c>
      <c r="K33" s="10" t="s">
        <v>190</v>
      </c>
      <c r="Q33" s="9">
        <v>23</v>
      </c>
      <c r="R33" s="9">
        <f t="shared" si="0"/>
        <v>2299.009</v>
      </c>
      <c r="S33" s="9">
        <f t="shared" si="1"/>
        <v>31.416599999999999</v>
      </c>
      <c r="T33" s="9">
        <f t="shared" si="2"/>
        <v>413.03430000000003</v>
      </c>
    </row>
    <row r="34" spans="2:20" x14ac:dyDescent="0.3">
      <c r="B34" s="19" t="s">
        <v>183</v>
      </c>
      <c r="C34" s="6">
        <v>39</v>
      </c>
      <c r="D34" s="18" t="s">
        <v>169</v>
      </c>
      <c r="G34" s="10">
        <v>0</v>
      </c>
      <c r="H34" s="50">
        <v>32.6</v>
      </c>
      <c r="I34" s="10">
        <v>433</v>
      </c>
      <c r="J34" s="10">
        <v>2343</v>
      </c>
      <c r="K34" s="10">
        <v>12</v>
      </c>
      <c r="Q34" s="9">
        <v>24</v>
      </c>
      <c r="R34" s="9">
        <f t="shared" si="0"/>
        <v>2297.4920000000002</v>
      </c>
      <c r="S34" s="9">
        <f t="shared" si="1"/>
        <v>32.1798</v>
      </c>
      <c r="T34" s="9">
        <f t="shared" si="2"/>
        <v>412.17840000000001</v>
      </c>
    </row>
    <row r="35" spans="2:20" ht="14.4" x14ac:dyDescent="0.3">
      <c r="B35" s="22" t="s">
        <v>186</v>
      </c>
      <c r="C35" s="21"/>
      <c r="D35" s="20"/>
      <c r="G35" s="10">
        <v>10</v>
      </c>
      <c r="H35" s="50">
        <v>32.6</v>
      </c>
      <c r="I35" s="10">
        <v>424</v>
      </c>
      <c r="J35" s="10">
        <v>2325</v>
      </c>
      <c r="K35" s="10">
        <v>20</v>
      </c>
      <c r="Q35" s="9">
        <v>25</v>
      </c>
      <c r="R35" s="9">
        <f t="shared" si="0"/>
        <v>2295.9749999999999</v>
      </c>
      <c r="S35" s="9">
        <f t="shared" si="1"/>
        <v>32.942999999999998</v>
      </c>
      <c r="T35" s="9">
        <f t="shared" si="2"/>
        <v>411.32250000000005</v>
      </c>
    </row>
    <row r="36" spans="2:20" x14ac:dyDescent="0.3">
      <c r="B36" s="19" t="s">
        <v>185</v>
      </c>
      <c r="C36" s="6">
        <v>92</v>
      </c>
      <c r="D36" s="18" t="s">
        <v>169</v>
      </c>
      <c r="G36" s="10">
        <v>20</v>
      </c>
      <c r="H36" s="50">
        <v>32.6</v>
      </c>
      <c r="I36" s="10">
        <v>416</v>
      </c>
      <c r="J36" s="10">
        <v>2308</v>
      </c>
      <c r="K36" s="10">
        <v>28</v>
      </c>
      <c r="Q36" s="9">
        <v>26</v>
      </c>
      <c r="R36" s="9">
        <f t="shared" si="0"/>
        <v>2294.4580000000001</v>
      </c>
      <c r="S36" s="9">
        <f t="shared" si="1"/>
        <v>33.706199999999995</v>
      </c>
      <c r="T36" s="9">
        <f t="shared" si="2"/>
        <v>410.46660000000003</v>
      </c>
    </row>
    <row r="37" spans="2:20" x14ac:dyDescent="0.3">
      <c r="B37" s="19" t="s">
        <v>184</v>
      </c>
      <c r="C37" s="6">
        <v>2.4</v>
      </c>
      <c r="D37" s="18" t="s">
        <v>169</v>
      </c>
      <c r="G37" s="10">
        <v>30</v>
      </c>
      <c r="H37" s="50">
        <v>32.6</v>
      </c>
      <c r="I37" s="10">
        <v>407</v>
      </c>
      <c r="J37" s="10">
        <v>2291</v>
      </c>
      <c r="K37" s="10">
        <v>36</v>
      </c>
      <c r="Q37" s="9">
        <v>27</v>
      </c>
      <c r="R37" s="9">
        <f t="shared" si="0"/>
        <v>2292.9410000000003</v>
      </c>
      <c r="S37" s="9">
        <f t="shared" si="1"/>
        <v>34.4694</v>
      </c>
      <c r="T37" s="9">
        <f t="shared" si="2"/>
        <v>409.61070000000001</v>
      </c>
    </row>
    <row r="38" spans="2:20" x14ac:dyDescent="0.3">
      <c r="B38" s="19" t="s">
        <v>183</v>
      </c>
      <c r="C38" s="6">
        <v>5.6</v>
      </c>
      <c r="D38" s="18" t="s">
        <v>169</v>
      </c>
      <c r="G38" s="10">
        <v>40</v>
      </c>
      <c r="H38" s="50">
        <v>32.6</v>
      </c>
      <c r="I38" s="10">
        <v>398</v>
      </c>
      <c r="J38" s="10">
        <v>2275</v>
      </c>
      <c r="K38" s="10">
        <v>44</v>
      </c>
      <c r="P38" s="9"/>
      <c r="Q38" s="9">
        <v>28</v>
      </c>
      <c r="R38" s="9">
        <f t="shared" si="0"/>
        <v>2291.424</v>
      </c>
      <c r="S38" s="9">
        <f t="shared" si="1"/>
        <v>35.232599999999998</v>
      </c>
      <c r="T38" s="9">
        <f t="shared" si="2"/>
        <v>408.75480000000005</v>
      </c>
    </row>
    <row r="39" spans="2:20" x14ac:dyDescent="0.3">
      <c r="B39" s="19" t="s">
        <v>176</v>
      </c>
      <c r="C39" s="6">
        <v>88</v>
      </c>
      <c r="D39" s="18" t="s">
        <v>182</v>
      </c>
      <c r="G39" s="10">
        <v>50</v>
      </c>
      <c r="H39" s="50">
        <v>32.6</v>
      </c>
      <c r="I39" s="10">
        <v>390</v>
      </c>
      <c r="J39" s="10">
        <v>2258</v>
      </c>
      <c r="K39" s="10">
        <v>52</v>
      </c>
      <c r="M39" s="2"/>
      <c r="P39" s="9"/>
      <c r="Q39" s="9">
        <v>29</v>
      </c>
      <c r="R39" s="9">
        <f t="shared" si="0"/>
        <v>2289.9070000000002</v>
      </c>
      <c r="S39" s="9">
        <f t="shared" si="1"/>
        <v>35.995800000000003</v>
      </c>
      <c r="T39" s="9">
        <f t="shared" si="2"/>
        <v>407.89890000000003</v>
      </c>
    </row>
    <row r="40" spans="2:20" x14ac:dyDescent="0.3">
      <c r="B40" s="19" t="s">
        <v>181</v>
      </c>
      <c r="C40" s="6">
        <v>6</v>
      </c>
      <c r="D40" s="18" t="s">
        <v>178</v>
      </c>
      <c r="G40" s="10">
        <v>60</v>
      </c>
      <c r="H40" s="50">
        <v>32.6</v>
      </c>
      <c r="I40" s="10">
        <v>381</v>
      </c>
      <c r="J40" s="10">
        <v>2242</v>
      </c>
      <c r="K40" s="10">
        <v>60</v>
      </c>
      <c r="M40" s="2"/>
      <c r="P40" s="9"/>
      <c r="Q40" s="9">
        <v>30</v>
      </c>
      <c r="R40" s="9">
        <f t="shared" si="0"/>
        <v>2288.39</v>
      </c>
      <c r="S40" s="9">
        <f t="shared" si="1"/>
        <v>36.759</v>
      </c>
      <c r="T40" s="9">
        <f t="shared" si="2"/>
        <v>407.04300000000001</v>
      </c>
    </row>
    <row r="41" spans="2:20" x14ac:dyDescent="0.3">
      <c r="B41" s="19" t="s">
        <v>180</v>
      </c>
      <c r="C41" s="6">
        <v>5</v>
      </c>
      <c r="D41" s="18" t="s">
        <v>178</v>
      </c>
      <c r="G41" s="10">
        <v>70</v>
      </c>
      <c r="H41" s="50">
        <v>32.6</v>
      </c>
      <c r="I41" s="10">
        <v>373</v>
      </c>
      <c r="J41" s="10">
        <v>2225</v>
      </c>
      <c r="K41" s="10">
        <v>68</v>
      </c>
      <c r="M41" s="2"/>
      <c r="P41" s="9"/>
      <c r="Q41" s="9">
        <v>31</v>
      </c>
      <c r="R41" s="9">
        <f t="shared" si="0"/>
        <v>2286.873</v>
      </c>
      <c r="S41" s="9">
        <f t="shared" si="1"/>
        <v>37.522199999999998</v>
      </c>
      <c r="T41" s="9">
        <f t="shared" si="2"/>
        <v>406.18710000000004</v>
      </c>
    </row>
    <row r="42" spans="2:20" x14ac:dyDescent="0.3">
      <c r="B42" s="19" t="s">
        <v>179</v>
      </c>
      <c r="C42" s="6">
        <v>1</v>
      </c>
      <c r="D42" s="18" t="s">
        <v>178</v>
      </c>
      <c r="G42" s="10">
        <v>80</v>
      </c>
      <c r="H42" s="50">
        <v>32.6</v>
      </c>
      <c r="I42" s="10">
        <v>364</v>
      </c>
      <c r="J42" s="10">
        <v>2209</v>
      </c>
      <c r="K42" s="10">
        <v>76</v>
      </c>
      <c r="M42" s="2"/>
      <c r="P42" s="9"/>
      <c r="Q42" s="9">
        <v>32</v>
      </c>
      <c r="R42" s="9">
        <f t="shared" si="0"/>
        <v>2285.3560000000002</v>
      </c>
      <c r="S42" s="9">
        <f t="shared" si="1"/>
        <v>38.285399999999996</v>
      </c>
      <c r="T42" s="9">
        <f t="shared" si="2"/>
        <v>405.33120000000002</v>
      </c>
    </row>
    <row r="43" spans="2:20" ht="14.4" x14ac:dyDescent="0.3">
      <c r="B43" s="22" t="s">
        <v>177</v>
      </c>
      <c r="C43" s="21"/>
      <c r="D43" s="20"/>
      <c r="G43" s="10">
        <v>90</v>
      </c>
      <c r="H43" s="50">
        <v>32.6</v>
      </c>
      <c r="I43" s="10">
        <v>356</v>
      </c>
      <c r="J43" s="10">
        <v>2194</v>
      </c>
      <c r="K43" s="10">
        <v>83</v>
      </c>
      <c r="P43" s="9"/>
      <c r="Q43" s="9">
        <v>33</v>
      </c>
      <c r="R43" s="9">
        <f t="shared" si="0"/>
        <v>2283.8389999999999</v>
      </c>
      <c r="S43" s="9">
        <f t="shared" si="1"/>
        <v>39.0486</v>
      </c>
      <c r="T43" s="9">
        <f t="shared" si="2"/>
        <v>404.4753</v>
      </c>
    </row>
    <row r="44" spans="2:20" x14ac:dyDescent="0.3">
      <c r="B44" s="19" t="s">
        <v>176</v>
      </c>
      <c r="C44" s="6">
        <v>4.5</v>
      </c>
      <c r="D44" s="18" t="s">
        <v>169</v>
      </c>
      <c r="G44" s="10">
        <v>100</v>
      </c>
      <c r="H44" s="50">
        <v>32.6</v>
      </c>
      <c r="I44" s="10">
        <v>347</v>
      </c>
      <c r="J44" s="10">
        <v>2178</v>
      </c>
      <c r="K44" s="10">
        <v>91</v>
      </c>
      <c r="P44" s="9"/>
      <c r="Q44" s="9">
        <v>34</v>
      </c>
      <c r="R44" s="9">
        <f t="shared" si="0"/>
        <v>2282.3220000000001</v>
      </c>
      <c r="S44" s="9">
        <f t="shared" si="1"/>
        <v>39.811799999999998</v>
      </c>
      <c r="T44" s="9">
        <f t="shared" si="2"/>
        <v>403.61940000000004</v>
      </c>
    </row>
    <row r="45" spans="2:20" x14ac:dyDescent="0.3">
      <c r="B45" s="19" t="s">
        <v>175</v>
      </c>
      <c r="C45" s="6">
        <v>0.4</v>
      </c>
      <c r="D45" s="18" t="s">
        <v>169</v>
      </c>
      <c r="G45" s="10">
        <v>110</v>
      </c>
      <c r="H45" s="50">
        <v>32.6</v>
      </c>
      <c r="I45" s="10">
        <v>339</v>
      </c>
      <c r="J45" s="10">
        <v>2162</v>
      </c>
      <c r="K45" s="10">
        <v>99</v>
      </c>
      <c r="P45" s="9"/>
      <c r="Q45" s="9">
        <v>35</v>
      </c>
      <c r="R45" s="9">
        <f t="shared" si="0"/>
        <v>2280.8050000000003</v>
      </c>
      <c r="S45" s="9">
        <f t="shared" si="1"/>
        <v>40.575000000000003</v>
      </c>
      <c r="T45" s="9">
        <f t="shared" si="2"/>
        <v>402.76350000000002</v>
      </c>
    </row>
    <row r="46" spans="2:20" x14ac:dyDescent="0.3">
      <c r="B46" s="19" t="s">
        <v>174</v>
      </c>
      <c r="C46" s="6">
        <v>0.5</v>
      </c>
      <c r="D46" s="18" t="s">
        <v>169</v>
      </c>
      <c r="G46" s="10">
        <v>120</v>
      </c>
      <c r="H46" s="50">
        <v>32.6</v>
      </c>
      <c r="I46" s="10">
        <v>330</v>
      </c>
      <c r="J46" s="10">
        <v>2147</v>
      </c>
      <c r="K46" s="10">
        <v>107</v>
      </c>
      <c r="P46" s="9"/>
      <c r="Q46" s="9">
        <v>36</v>
      </c>
      <c r="R46" s="9">
        <f t="shared" si="0"/>
        <v>2279.288</v>
      </c>
      <c r="S46" s="9">
        <f t="shared" si="1"/>
        <v>41.338200000000001</v>
      </c>
      <c r="T46" s="9">
        <f t="shared" si="2"/>
        <v>401.9076</v>
      </c>
    </row>
    <row r="47" spans="2:20" x14ac:dyDescent="0.3">
      <c r="B47" s="19" t="s">
        <v>173</v>
      </c>
      <c r="C47" s="6">
        <v>90</v>
      </c>
      <c r="D47" s="18" t="s">
        <v>172</v>
      </c>
      <c r="G47" s="10">
        <v>130</v>
      </c>
      <c r="H47" s="50">
        <v>32.6</v>
      </c>
      <c r="I47" s="10">
        <v>321</v>
      </c>
      <c r="J47" s="10">
        <v>2132</v>
      </c>
      <c r="K47" s="10">
        <v>114</v>
      </c>
      <c r="P47" s="9"/>
      <c r="Q47" s="9">
        <v>37</v>
      </c>
      <c r="R47" s="9">
        <f t="shared" si="0"/>
        <v>2277.7710000000002</v>
      </c>
      <c r="S47" s="9">
        <f t="shared" si="1"/>
        <v>42.101399999999998</v>
      </c>
      <c r="T47" s="9">
        <f t="shared" si="2"/>
        <v>401.05170000000004</v>
      </c>
    </row>
    <row r="48" spans="2:20" ht="14.4" x14ac:dyDescent="0.3">
      <c r="B48" s="17" t="s">
        <v>171</v>
      </c>
      <c r="C48" s="16"/>
      <c r="D48" s="15"/>
      <c r="G48" s="10">
        <v>140</v>
      </c>
      <c r="H48" s="50">
        <v>32.6</v>
      </c>
      <c r="I48" s="10">
        <v>313</v>
      </c>
      <c r="J48" s="10">
        <v>2117</v>
      </c>
      <c r="K48" s="10">
        <v>122</v>
      </c>
      <c r="P48" s="9"/>
      <c r="Q48" s="9">
        <v>38</v>
      </c>
      <c r="R48" s="9">
        <f t="shared" si="0"/>
        <v>2276.2539999999999</v>
      </c>
      <c r="S48" s="9">
        <f t="shared" si="1"/>
        <v>42.864599999999996</v>
      </c>
      <c r="T48" s="9">
        <f t="shared" si="2"/>
        <v>400.19580000000002</v>
      </c>
    </row>
    <row r="49" spans="2:20" x14ac:dyDescent="0.3">
      <c r="B49" s="131" t="s">
        <v>170</v>
      </c>
      <c r="C49" s="132">
        <v>5</v>
      </c>
      <c r="D49" s="133" t="s">
        <v>169</v>
      </c>
      <c r="E49" s="62" t="s">
        <v>476</v>
      </c>
      <c r="F49" s="62"/>
      <c r="G49" s="81">
        <v>150</v>
      </c>
      <c r="H49" s="96">
        <v>32.6</v>
      </c>
      <c r="I49" s="81">
        <v>304</v>
      </c>
      <c r="J49" s="81">
        <v>2102</v>
      </c>
      <c r="K49" s="81">
        <v>129</v>
      </c>
      <c r="P49" s="9"/>
      <c r="Q49" s="9">
        <v>39</v>
      </c>
      <c r="R49" s="9">
        <f t="shared" si="0"/>
        <v>2274.7370000000001</v>
      </c>
      <c r="S49" s="9">
        <f t="shared" si="1"/>
        <v>43.627800000000001</v>
      </c>
      <c r="T49" s="9">
        <f t="shared" si="2"/>
        <v>399.33990000000006</v>
      </c>
    </row>
    <row r="50" spans="2:20" x14ac:dyDescent="0.3">
      <c r="G50" s="10">
        <v>160</v>
      </c>
      <c r="H50" s="50">
        <v>32.6</v>
      </c>
      <c r="I50" s="10">
        <v>296</v>
      </c>
      <c r="J50" s="10">
        <v>2088</v>
      </c>
      <c r="K50" s="10">
        <v>137</v>
      </c>
      <c r="P50" s="9"/>
      <c r="Q50" s="9">
        <v>40</v>
      </c>
      <c r="R50" s="9">
        <f t="shared" si="0"/>
        <v>2273.2200000000003</v>
      </c>
      <c r="S50" s="9">
        <f t="shared" si="1"/>
        <v>44.390999999999998</v>
      </c>
      <c r="T50" s="9">
        <f t="shared" si="2"/>
        <v>398.48400000000004</v>
      </c>
    </row>
    <row r="51" spans="2:20" x14ac:dyDescent="0.3">
      <c r="B51" s="101" t="s">
        <v>200</v>
      </c>
      <c r="C51" s="102"/>
      <c r="D51" s="103"/>
      <c r="G51" s="10">
        <v>170</v>
      </c>
      <c r="H51" s="50">
        <v>32.6</v>
      </c>
      <c r="I51" s="10">
        <v>287</v>
      </c>
      <c r="J51" s="10">
        <v>2073</v>
      </c>
      <c r="K51" s="10">
        <v>144</v>
      </c>
      <c r="P51" s="9"/>
      <c r="Q51" s="9">
        <v>41</v>
      </c>
      <c r="R51" s="9">
        <f t="shared" si="0"/>
        <v>2271.703</v>
      </c>
      <c r="S51" s="9">
        <f t="shared" si="1"/>
        <v>45.154200000000003</v>
      </c>
      <c r="T51" s="9">
        <f t="shared" si="2"/>
        <v>397.62810000000002</v>
      </c>
    </row>
    <row r="52" spans="2:20" x14ac:dyDescent="0.3">
      <c r="B52" s="28" t="s">
        <v>198</v>
      </c>
      <c r="C52" s="27" t="s">
        <v>197</v>
      </c>
      <c r="D52" s="26" t="s">
        <v>196</v>
      </c>
      <c r="G52" s="10">
        <v>180</v>
      </c>
      <c r="H52" s="50">
        <v>32.6</v>
      </c>
      <c r="I52" s="10">
        <v>279</v>
      </c>
      <c r="J52" s="10">
        <v>2059</v>
      </c>
      <c r="K52" s="10">
        <v>152</v>
      </c>
      <c r="P52" s="9"/>
      <c r="Q52" s="9">
        <v>42</v>
      </c>
      <c r="R52" s="9">
        <f t="shared" si="0"/>
        <v>2270.1860000000001</v>
      </c>
      <c r="S52" s="9">
        <f t="shared" si="1"/>
        <v>45.917400000000001</v>
      </c>
      <c r="T52" s="9">
        <f t="shared" si="2"/>
        <v>396.7722</v>
      </c>
    </row>
    <row r="53" spans="2:20" x14ac:dyDescent="0.3">
      <c r="B53" s="19" t="s">
        <v>194</v>
      </c>
      <c r="C53" s="7">
        <v>363</v>
      </c>
      <c r="D53" s="25" t="s">
        <v>193</v>
      </c>
      <c r="G53" s="10">
        <v>190</v>
      </c>
      <c r="H53" s="50">
        <v>32.6</v>
      </c>
      <c r="I53" s="10">
        <v>270</v>
      </c>
      <c r="J53" s="10">
        <v>2045</v>
      </c>
      <c r="K53" s="10">
        <v>159</v>
      </c>
      <c r="P53" s="9"/>
      <c r="Q53" s="9">
        <v>43</v>
      </c>
      <c r="R53" s="9">
        <f t="shared" si="0"/>
        <v>2268.6689999999999</v>
      </c>
      <c r="S53" s="9">
        <f t="shared" si="1"/>
        <v>46.680599999999998</v>
      </c>
      <c r="T53" s="9">
        <f t="shared" si="2"/>
        <v>395.91630000000004</v>
      </c>
    </row>
    <row r="54" spans="2:20" x14ac:dyDescent="0.3">
      <c r="B54" s="19" t="s">
        <v>192</v>
      </c>
      <c r="C54" s="7">
        <v>2146</v>
      </c>
      <c r="D54" s="25" t="s">
        <v>189</v>
      </c>
      <c r="G54" s="10">
        <v>200</v>
      </c>
      <c r="H54" s="50">
        <v>32.6</v>
      </c>
      <c r="I54" s="10">
        <v>262</v>
      </c>
      <c r="J54" s="10">
        <v>2031</v>
      </c>
      <c r="K54" s="10">
        <v>166</v>
      </c>
      <c r="P54" s="9"/>
      <c r="Q54" s="9">
        <v>44</v>
      </c>
      <c r="R54" s="9">
        <f t="shared" si="0"/>
        <v>2267.152</v>
      </c>
      <c r="S54" s="9">
        <f t="shared" si="1"/>
        <v>47.443799999999996</v>
      </c>
      <c r="T54" s="9">
        <f t="shared" si="2"/>
        <v>395.06040000000002</v>
      </c>
    </row>
    <row r="55" spans="2:20" x14ac:dyDescent="0.3">
      <c r="B55" s="14" t="s">
        <v>190</v>
      </c>
      <c r="C55" s="24">
        <v>111</v>
      </c>
      <c r="D55" s="23" t="s">
        <v>189</v>
      </c>
      <c r="G55" s="10">
        <v>210</v>
      </c>
      <c r="H55" s="50">
        <v>32.6</v>
      </c>
      <c r="I55" s="10">
        <v>253</v>
      </c>
      <c r="J55" s="10">
        <v>2017</v>
      </c>
      <c r="K55" s="10">
        <v>174</v>
      </c>
      <c r="P55" s="9"/>
      <c r="Q55" s="9">
        <v>45</v>
      </c>
      <c r="R55" s="9">
        <f t="shared" si="0"/>
        <v>2265.6350000000002</v>
      </c>
      <c r="S55" s="9">
        <f t="shared" si="1"/>
        <v>48.207000000000001</v>
      </c>
      <c r="T55" s="9">
        <f t="shared" si="2"/>
        <v>394.20450000000005</v>
      </c>
    </row>
    <row r="56" spans="2:20" x14ac:dyDescent="0.3">
      <c r="G56" s="10">
        <v>220</v>
      </c>
      <c r="H56" s="50">
        <v>32.6</v>
      </c>
      <c r="I56" s="10">
        <v>244</v>
      </c>
      <c r="J56" s="10">
        <v>2003</v>
      </c>
      <c r="K56" s="10">
        <v>181</v>
      </c>
      <c r="P56" s="9"/>
      <c r="Q56" s="9">
        <v>46</v>
      </c>
      <c r="R56" s="9">
        <f t="shared" si="0"/>
        <v>2264.1179999999999</v>
      </c>
      <c r="S56" s="9">
        <f t="shared" si="1"/>
        <v>48.970199999999998</v>
      </c>
      <c r="T56" s="9">
        <f t="shared" si="2"/>
        <v>393.34860000000003</v>
      </c>
    </row>
    <row r="57" spans="2:20" x14ac:dyDescent="0.3">
      <c r="G57" s="10">
        <v>230</v>
      </c>
      <c r="H57" s="50">
        <v>32.6</v>
      </c>
      <c r="I57" s="10">
        <v>236</v>
      </c>
      <c r="J57" s="10">
        <v>1989</v>
      </c>
      <c r="K57" s="10">
        <v>188</v>
      </c>
      <c r="P57" s="9"/>
      <c r="Q57" s="9">
        <v>47</v>
      </c>
      <c r="R57" s="9">
        <f t="shared" si="0"/>
        <v>2262.6010000000001</v>
      </c>
      <c r="S57" s="9">
        <f t="shared" si="1"/>
        <v>49.733399999999996</v>
      </c>
      <c r="T57" s="9">
        <f t="shared" si="2"/>
        <v>392.49270000000001</v>
      </c>
    </row>
    <row r="58" spans="2:20" x14ac:dyDescent="0.3">
      <c r="G58" s="10">
        <v>240</v>
      </c>
      <c r="H58" s="50">
        <v>32.6</v>
      </c>
      <c r="I58" s="10">
        <v>227</v>
      </c>
      <c r="J58" s="10">
        <v>1976</v>
      </c>
      <c r="K58" s="10">
        <v>196</v>
      </c>
      <c r="P58" s="9"/>
      <c r="Q58" s="9">
        <v>48</v>
      </c>
      <c r="R58" s="9">
        <f t="shared" si="0"/>
        <v>2261.0840000000003</v>
      </c>
      <c r="S58" s="9">
        <f t="shared" si="1"/>
        <v>50.496600000000001</v>
      </c>
      <c r="T58" s="9">
        <f t="shared" si="2"/>
        <v>391.63680000000005</v>
      </c>
    </row>
    <row r="59" spans="2:20" x14ac:dyDescent="0.3">
      <c r="G59" s="10">
        <v>250</v>
      </c>
      <c r="H59" s="50">
        <v>32.6</v>
      </c>
      <c r="I59" s="10">
        <v>219</v>
      </c>
      <c r="J59" s="10">
        <v>1963</v>
      </c>
      <c r="K59" s="10">
        <v>203</v>
      </c>
      <c r="P59" s="9"/>
      <c r="Q59" s="9">
        <v>49</v>
      </c>
      <c r="R59" s="9">
        <f t="shared" si="0"/>
        <v>2259.567</v>
      </c>
      <c r="S59" s="9">
        <f t="shared" si="1"/>
        <v>51.259799999999998</v>
      </c>
      <c r="T59" s="9">
        <f t="shared" si="2"/>
        <v>390.78090000000003</v>
      </c>
    </row>
    <row r="60" spans="2:20" x14ac:dyDescent="0.3">
      <c r="P60" s="9"/>
      <c r="Q60" s="9">
        <v>50</v>
      </c>
      <c r="R60" s="9">
        <f t="shared" si="0"/>
        <v>2258.0500000000002</v>
      </c>
      <c r="S60" s="9">
        <f t="shared" si="1"/>
        <v>52.022999999999996</v>
      </c>
      <c r="T60" s="9">
        <f t="shared" si="2"/>
        <v>389.92500000000001</v>
      </c>
    </row>
    <row r="61" spans="2:20" x14ac:dyDescent="0.3">
      <c r="G61" s="99" t="s">
        <v>469</v>
      </c>
      <c r="H61" s="100"/>
      <c r="I61" s="100"/>
      <c r="J61" s="100"/>
      <c r="K61" s="100"/>
      <c r="P61" s="9"/>
      <c r="Q61" s="9">
        <v>51</v>
      </c>
      <c r="R61" s="9">
        <f t="shared" si="0"/>
        <v>2256.5329999999999</v>
      </c>
      <c r="S61" s="9">
        <f t="shared" si="1"/>
        <v>52.786200000000001</v>
      </c>
      <c r="T61" s="9">
        <f t="shared" si="2"/>
        <v>389.06910000000005</v>
      </c>
    </row>
    <row r="62" spans="2:20" x14ac:dyDescent="0.3">
      <c r="G62" s="50" t="s">
        <v>474</v>
      </c>
      <c r="H62" s="46" t="s">
        <v>473</v>
      </c>
      <c r="I62" s="10" t="s">
        <v>194</v>
      </c>
      <c r="J62" s="10" t="s">
        <v>192</v>
      </c>
      <c r="K62" s="10" t="s">
        <v>190</v>
      </c>
      <c r="P62" s="9"/>
      <c r="Q62" s="9">
        <v>52</v>
      </c>
      <c r="R62" s="9">
        <f t="shared" si="0"/>
        <v>2255.0160000000001</v>
      </c>
      <c r="S62" s="9">
        <f t="shared" si="1"/>
        <v>53.549399999999999</v>
      </c>
      <c r="T62" s="9">
        <f t="shared" si="2"/>
        <v>388.21320000000003</v>
      </c>
    </row>
    <row r="63" spans="2:20" x14ac:dyDescent="0.3">
      <c r="G63" s="81">
        <v>150</v>
      </c>
      <c r="H63" s="50">
        <v>0</v>
      </c>
      <c r="I63" s="10">
        <v>303</v>
      </c>
      <c r="J63" s="10">
        <v>2047</v>
      </c>
      <c r="K63" s="10">
        <v>162</v>
      </c>
      <c r="P63" s="9"/>
      <c r="Q63" s="9">
        <v>53</v>
      </c>
      <c r="R63" s="9">
        <f t="shared" si="0"/>
        <v>2253.4990000000003</v>
      </c>
      <c r="S63" s="9">
        <f t="shared" si="1"/>
        <v>54.312599999999996</v>
      </c>
      <c r="T63" s="9">
        <f t="shared" si="2"/>
        <v>387.35730000000001</v>
      </c>
    </row>
    <row r="64" spans="2:20" x14ac:dyDescent="0.3">
      <c r="G64" s="81">
        <v>150</v>
      </c>
      <c r="H64" s="50">
        <v>5</v>
      </c>
      <c r="I64" s="10">
        <v>303</v>
      </c>
      <c r="J64" s="10">
        <v>2055</v>
      </c>
      <c r="K64" s="10">
        <v>157</v>
      </c>
      <c r="P64" s="9"/>
      <c r="Q64" s="9">
        <v>54</v>
      </c>
      <c r="R64" s="9">
        <f t="shared" si="0"/>
        <v>2251.982</v>
      </c>
      <c r="S64" s="9">
        <f t="shared" si="1"/>
        <v>55.075800000000001</v>
      </c>
      <c r="T64" s="9">
        <f t="shared" si="2"/>
        <v>386.50140000000005</v>
      </c>
    </row>
    <row r="65" spans="7:20" x14ac:dyDescent="0.3">
      <c r="G65" s="81">
        <v>150</v>
      </c>
      <c r="H65" s="50">
        <v>10</v>
      </c>
      <c r="I65" s="10">
        <v>304</v>
      </c>
      <c r="J65" s="10">
        <v>2063</v>
      </c>
      <c r="K65" s="10">
        <v>152</v>
      </c>
      <c r="P65" s="9"/>
      <c r="Q65" s="9">
        <v>55</v>
      </c>
      <c r="R65" s="9">
        <f t="shared" si="0"/>
        <v>2250.4650000000001</v>
      </c>
      <c r="S65" s="9">
        <f t="shared" si="1"/>
        <v>55.838999999999999</v>
      </c>
      <c r="T65" s="9">
        <f t="shared" si="2"/>
        <v>385.64550000000003</v>
      </c>
    </row>
    <row r="66" spans="7:20" x14ac:dyDescent="0.3">
      <c r="G66" s="81">
        <v>150</v>
      </c>
      <c r="H66" s="50">
        <v>15</v>
      </c>
      <c r="I66" s="10">
        <v>304</v>
      </c>
      <c r="J66" s="10">
        <v>2072</v>
      </c>
      <c r="K66" s="10">
        <v>147</v>
      </c>
      <c r="P66" s="9"/>
      <c r="Q66" s="9">
        <v>56</v>
      </c>
      <c r="R66" s="9">
        <f t="shared" si="0"/>
        <v>2248.9480000000003</v>
      </c>
      <c r="S66" s="9">
        <f t="shared" si="1"/>
        <v>56.602199999999996</v>
      </c>
      <c r="T66" s="9">
        <f t="shared" si="2"/>
        <v>384.78960000000001</v>
      </c>
    </row>
    <row r="67" spans="7:20" x14ac:dyDescent="0.3">
      <c r="G67" s="81">
        <v>150</v>
      </c>
      <c r="H67" s="50">
        <v>20</v>
      </c>
      <c r="I67" s="10">
        <v>304</v>
      </c>
      <c r="J67" s="10">
        <v>2080</v>
      </c>
      <c r="K67" s="10">
        <v>142</v>
      </c>
      <c r="P67" s="9"/>
      <c r="Q67" s="9">
        <v>57</v>
      </c>
      <c r="R67" s="9">
        <f t="shared" si="0"/>
        <v>2247.431</v>
      </c>
      <c r="S67" s="9">
        <f t="shared" si="1"/>
        <v>57.365400000000001</v>
      </c>
      <c r="T67" s="9">
        <f t="shared" si="2"/>
        <v>383.93370000000004</v>
      </c>
    </row>
    <row r="68" spans="7:20" x14ac:dyDescent="0.3">
      <c r="G68" s="81">
        <v>150</v>
      </c>
      <c r="H68" s="50">
        <v>25</v>
      </c>
      <c r="I68" s="10">
        <v>304</v>
      </c>
      <c r="J68" s="10">
        <v>2089</v>
      </c>
      <c r="K68" s="10">
        <v>137</v>
      </c>
      <c r="P68" s="9"/>
      <c r="Q68" s="9">
        <v>58</v>
      </c>
      <c r="R68" s="9">
        <f t="shared" si="0"/>
        <v>2245.9140000000002</v>
      </c>
      <c r="S68" s="9">
        <f t="shared" si="1"/>
        <v>58.128599999999999</v>
      </c>
      <c r="T68" s="9">
        <f t="shared" si="2"/>
        <v>383.07780000000002</v>
      </c>
    </row>
    <row r="69" spans="7:20" x14ac:dyDescent="0.3">
      <c r="G69" s="81">
        <v>150</v>
      </c>
      <c r="H69" s="50">
        <v>30</v>
      </c>
      <c r="I69" s="10">
        <v>304</v>
      </c>
      <c r="J69" s="10">
        <v>2098</v>
      </c>
      <c r="K69" s="10">
        <v>132</v>
      </c>
      <c r="P69" s="9"/>
      <c r="Q69" s="9">
        <v>59</v>
      </c>
      <c r="R69" s="9">
        <f t="shared" si="0"/>
        <v>2244.3969999999999</v>
      </c>
      <c r="S69" s="9">
        <f t="shared" si="1"/>
        <v>58.891799999999996</v>
      </c>
      <c r="T69" s="9">
        <f t="shared" si="2"/>
        <v>382.22190000000001</v>
      </c>
    </row>
    <row r="70" spans="7:20" x14ac:dyDescent="0.3">
      <c r="G70" s="81">
        <v>150</v>
      </c>
      <c r="H70" s="50">
        <v>32.6</v>
      </c>
      <c r="I70" s="10">
        <v>304</v>
      </c>
      <c r="J70" s="10">
        <v>2102</v>
      </c>
      <c r="K70" s="10">
        <v>129</v>
      </c>
      <c r="P70" s="9"/>
      <c r="Q70" s="9">
        <v>60</v>
      </c>
      <c r="R70" s="9">
        <f t="shared" si="0"/>
        <v>2242.88</v>
      </c>
      <c r="S70" s="9">
        <f t="shared" si="1"/>
        <v>59.655000000000001</v>
      </c>
      <c r="T70" s="9">
        <f t="shared" si="2"/>
        <v>381.36600000000004</v>
      </c>
    </row>
    <row r="71" spans="7:20" x14ac:dyDescent="0.3">
      <c r="G71" s="81">
        <v>150</v>
      </c>
      <c r="H71" s="50">
        <v>35</v>
      </c>
      <c r="I71" s="10">
        <v>304</v>
      </c>
      <c r="J71" s="10">
        <v>2107</v>
      </c>
      <c r="K71" s="10">
        <v>127</v>
      </c>
      <c r="P71" s="9"/>
      <c r="Q71" s="9">
        <v>61</v>
      </c>
      <c r="R71" s="9">
        <f t="shared" si="0"/>
        <v>2241.3630000000003</v>
      </c>
      <c r="S71" s="9">
        <f t="shared" si="1"/>
        <v>60.418199999999999</v>
      </c>
      <c r="T71" s="9">
        <f t="shared" si="2"/>
        <v>380.51010000000002</v>
      </c>
    </row>
    <row r="72" spans="7:20" x14ac:dyDescent="0.3">
      <c r="G72" s="81">
        <v>150</v>
      </c>
      <c r="H72" s="50">
        <v>40</v>
      </c>
      <c r="I72" s="10">
        <v>305</v>
      </c>
      <c r="J72" s="10">
        <v>2116</v>
      </c>
      <c r="K72" s="10">
        <v>121</v>
      </c>
      <c r="P72" s="9"/>
      <c r="Q72" s="9">
        <v>62</v>
      </c>
      <c r="R72" s="9">
        <f t="shared" si="0"/>
        <v>2239.846</v>
      </c>
      <c r="S72" s="9">
        <f t="shared" si="1"/>
        <v>61.181399999999996</v>
      </c>
      <c r="T72" s="9">
        <f t="shared" si="2"/>
        <v>379.6542</v>
      </c>
    </row>
    <row r="73" spans="7:20" x14ac:dyDescent="0.3">
      <c r="G73" s="81">
        <v>150</v>
      </c>
      <c r="H73" s="50">
        <v>45</v>
      </c>
      <c r="I73" s="10">
        <v>305</v>
      </c>
      <c r="J73" s="10">
        <v>2125</v>
      </c>
      <c r="K73" s="10">
        <v>116</v>
      </c>
      <c r="P73" s="9"/>
      <c r="Q73" s="9">
        <v>63</v>
      </c>
      <c r="R73" s="9">
        <f t="shared" si="0"/>
        <v>2238.3290000000002</v>
      </c>
      <c r="S73" s="9">
        <f t="shared" si="1"/>
        <v>61.944600000000001</v>
      </c>
      <c r="T73" s="9">
        <f t="shared" si="2"/>
        <v>378.79830000000004</v>
      </c>
    </row>
    <row r="74" spans="7:20" x14ac:dyDescent="0.3">
      <c r="G74" s="81">
        <v>150</v>
      </c>
      <c r="H74" s="50">
        <v>50</v>
      </c>
      <c r="I74" s="10">
        <v>305</v>
      </c>
      <c r="J74" s="10">
        <v>2134</v>
      </c>
      <c r="K74" s="10">
        <v>111</v>
      </c>
      <c r="P74" s="9"/>
      <c r="Q74" s="9">
        <v>64</v>
      </c>
      <c r="R74" s="9">
        <f t="shared" si="0"/>
        <v>2236.8119999999999</v>
      </c>
      <c r="S74" s="9">
        <f t="shared" si="1"/>
        <v>62.707799999999999</v>
      </c>
      <c r="T74" s="9">
        <f t="shared" si="2"/>
        <v>377.94240000000002</v>
      </c>
    </row>
    <row r="75" spans="7:20" x14ac:dyDescent="0.3">
      <c r="H75" s="9"/>
      <c r="P75" s="9"/>
      <c r="Q75" s="9">
        <v>65</v>
      </c>
      <c r="R75" s="9">
        <f t="shared" si="0"/>
        <v>2235.2950000000001</v>
      </c>
      <c r="S75" s="9">
        <f t="shared" si="1"/>
        <v>63.470999999999997</v>
      </c>
      <c r="T75" s="9">
        <f t="shared" si="2"/>
        <v>377.0865</v>
      </c>
    </row>
    <row r="76" spans="7:20" x14ac:dyDescent="0.3">
      <c r="H76" s="9"/>
      <c r="P76" s="9"/>
      <c r="Q76" s="9">
        <v>66</v>
      </c>
      <c r="R76" s="9">
        <f t="shared" ref="R76:R139" si="3">-1.517*Q76+2333.9</f>
        <v>2233.7780000000002</v>
      </c>
      <c r="S76" s="9">
        <f t="shared" ref="S76:S139" si="4">0.7632*Q76+13.863</f>
        <v>64.234200000000001</v>
      </c>
      <c r="T76" s="9">
        <f t="shared" ref="T76:T139" si="5">-0.8559*Q76+432.72</f>
        <v>376.23060000000004</v>
      </c>
    </row>
    <row r="77" spans="7:20" x14ac:dyDescent="0.3">
      <c r="H77" s="9"/>
      <c r="P77" s="9"/>
      <c r="Q77" s="9">
        <v>67</v>
      </c>
      <c r="R77" s="9">
        <f t="shared" si="3"/>
        <v>2232.261</v>
      </c>
      <c r="S77" s="9">
        <f t="shared" si="4"/>
        <v>64.997399999999999</v>
      </c>
      <c r="T77" s="9">
        <f t="shared" si="5"/>
        <v>375.37470000000002</v>
      </c>
    </row>
    <row r="78" spans="7:20" x14ac:dyDescent="0.3">
      <c r="H78" s="9"/>
      <c r="P78" s="9"/>
      <c r="Q78" s="9">
        <v>68</v>
      </c>
      <c r="R78" s="9">
        <f t="shared" si="3"/>
        <v>2230.7440000000001</v>
      </c>
      <c r="S78" s="9">
        <f t="shared" si="4"/>
        <v>65.760599999999997</v>
      </c>
      <c r="T78" s="9">
        <f t="shared" si="5"/>
        <v>374.51880000000006</v>
      </c>
    </row>
    <row r="79" spans="7:20" x14ac:dyDescent="0.3">
      <c r="H79" s="9"/>
      <c r="P79" s="9"/>
      <c r="Q79" s="9">
        <v>69</v>
      </c>
      <c r="R79" s="9">
        <f t="shared" si="3"/>
        <v>2229.2270000000003</v>
      </c>
      <c r="S79" s="9">
        <f t="shared" si="4"/>
        <v>66.523799999999994</v>
      </c>
      <c r="T79" s="9">
        <f t="shared" si="5"/>
        <v>373.66290000000004</v>
      </c>
    </row>
    <row r="80" spans="7:20" x14ac:dyDescent="0.3">
      <c r="H80" s="9"/>
      <c r="P80" s="9"/>
      <c r="Q80" s="9">
        <v>70</v>
      </c>
      <c r="R80" s="9">
        <f t="shared" si="3"/>
        <v>2227.71</v>
      </c>
      <c r="S80" s="9">
        <f t="shared" si="4"/>
        <v>67.287000000000006</v>
      </c>
      <c r="T80" s="9">
        <f t="shared" si="5"/>
        <v>372.80700000000002</v>
      </c>
    </row>
    <row r="81" spans="8:20" x14ac:dyDescent="0.3">
      <c r="H81" s="9"/>
      <c r="P81" s="9"/>
      <c r="Q81" s="9">
        <v>71</v>
      </c>
      <c r="R81" s="9">
        <f t="shared" si="3"/>
        <v>2226.1930000000002</v>
      </c>
      <c r="S81" s="9">
        <f t="shared" si="4"/>
        <v>68.05019999999999</v>
      </c>
      <c r="T81" s="9">
        <f t="shared" si="5"/>
        <v>371.9511</v>
      </c>
    </row>
    <row r="82" spans="8:20" x14ac:dyDescent="0.3">
      <c r="H82" s="9"/>
      <c r="P82" s="9"/>
      <c r="Q82" s="9">
        <v>72</v>
      </c>
      <c r="R82" s="9">
        <f t="shared" si="3"/>
        <v>2224.6759999999999</v>
      </c>
      <c r="S82" s="9">
        <f t="shared" si="4"/>
        <v>68.813400000000001</v>
      </c>
      <c r="T82" s="9">
        <f t="shared" si="5"/>
        <v>371.09520000000003</v>
      </c>
    </row>
    <row r="83" spans="8:20" x14ac:dyDescent="0.3">
      <c r="H83" s="9"/>
      <c r="P83" s="9"/>
      <c r="Q83" s="9">
        <v>73</v>
      </c>
      <c r="R83" s="9">
        <f t="shared" si="3"/>
        <v>2223.1590000000001</v>
      </c>
      <c r="S83" s="9">
        <f t="shared" si="4"/>
        <v>69.576599999999999</v>
      </c>
      <c r="T83" s="9">
        <f t="shared" si="5"/>
        <v>370.23930000000001</v>
      </c>
    </row>
    <row r="84" spans="8:20" x14ac:dyDescent="0.3">
      <c r="H84" s="9"/>
      <c r="P84" s="9"/>
      <c r="Q84" s="9">
        <v>74</v>
      </c>
      <c r="R84" s="9">
        <f t="shared" si="3"/>
        <v>2221.6420000000003</v>
      </c>
      <c r="S84" s="9">
        <f t="shared" si="4"/>
        <v>70.339799999999997</v>
      </c>
      <c r="T84" s="9">
        <f t="shared" si="5"/>
        <v>369.38340000000005</v>
      </c>
    </row>
    <row r="85" spans="8:20" x14ac:dyDescent="0.3">
      <c r="H85" s="9"/>
      <c r="P85" s="9"/>
      <c r="Q85" s="9">
        <v>75</v>
      </c>
      <c r="R85" s="9">
        <f t="shared" si="3"/>
        <v>2220.125</v>
      </c>
      <c r="S85" s="9">
        <f t="shared" si="4"/>
        <v>71.103000000000009</v>
      </c>
      <c r="T85" s="9">
        <f t="shared" si="5"/>
        <v>368.52750000000003</v>
      </c>
    </row>
    <row r="86" spans="8:20" x14ac:dyDescent="0.3">
      <c r="H86" s="9"/>
      <c r="P86" s="9"/>
      <c r="Q86" s="9">
        <v>76</v>
      </c>
      <c r="R86" s="9">
        <f t="shared" si="3"/>
        <v>2218.6080000000002</v>
      </c>
      <c r="S86" s="9">
        <f t="shared" si="4"/>
        <v>71.866199999999992</v>
      </c>
      <c r="T86" s="9">
        <f t="shared" si="5"/>
        <v>367.67160000000001</v>
      </c>
    </row>
    <row r="87" spans="8:20" x14ac:dyDescent="0.3">
      <c r="H87" s="9"/>
      <c r="P87" s="9"/>
      <c r="Q87" s="9">
        <v>77</v>
      </c>
      <c r="R87" s="9">
        <f t="shared" si="3"/>
        <v>2217.0909999999999</v>
      </c>
      <c r="S87" s="9">
        <f t="shared" si="4"/>
        <v>72.629400000000004</v>
      </c>
      <c r="T87" s="9">
        <f t="shared" si="5"/>
        <v>366.81569999999999</v>
      </c>
    </row>
    <row r="88" spans="8:20" x14ac:dyDescent="0.3">
      <c r="H88" s="9"/>
      <c r="P88" s="9"/>
      <c r="Q88" s="9">
        <v>78</v>
      </c>
      <c r="R88" s="9">
        <f t="shared" si="3"/>
        <v>2215.5740000000001</v>
      </c>
      <c r="S88" s="9">
        <f t="shared" si="4"/>
        <v>73.392600000000002</v>
      </c>
      <c r="T88" s="9">
        <f t="shared" si="5"/>
        <v>365.95980000000003</v>
      </c>
    </row>
    <row r="89" spans="8:20" x14ac:dyDescent="0.3">
      <c r="P89" s="9"/>
      <c r="Q89" s="9">
        <v>79</v>
      </c>
      <c r="R89" s="9">
        <f t="shared" si="3"/>
        <v>2214.0570000000002</v>
      </c>
      <c r="S89" s="9">
        <f t="shared" si="4"/>
        <v>74.155799999999999</v>
      </c>
      <c r="T89" s="9">
        <f t="shared" si="5"/>
        <v>365.10390000000001</v>
      </c>
    </row>
    <row r="90" spans="8:20" x14ac:dyDescent="0.3">
      <c r="P90" s="9"/>
      <c r="Q90" s="9">
        <v>80</v>
      </c>
      <c r="R90" s="9">
        <f t="shared" si="3"/>
        <v>2212.54</v>
      </c>
      <c r="S90" s="9">
        <f t="shared" si="4"/>
        <v>74.918999999999997</v>
      </c>
      <c r="T90" s="9">
        <f t="shared" si="5"/>
        <v>364.24800000000005</v>
      </c>
    </row>
    <row r="91" spans="8:20" x14ac:dyDescent="0.3">
      <c r="P91" s="9"/>
      <c r="Q91" s="9">
        <v>81</v>
      </c>
      <c r="R91" s="9">
        <f t="shared" si="3"/>
        <v>2211.0230000000001</v>
      </c>
      <c r="S91" s="9">
        <f t="shared" si="4"/>
        <v>75.682199999999995</v>
      </c>
      <c r="T91" s="9">
        <f t="shared" si="5"/>
        <v>363.39210000000003</v>
      </c>
    </row>
    <row r="92" spans="8:20" x14ac:dyDescent="0.3">
      <c r="P92" s="9"/>
      <c r="Q92" s="9">
        <v>82</v>
      </c>
      <c r="R92" s="9">
        <f t="shared" si="3"/>
        <v>2209.5060000000003</v>
      </c>
      <c r="S92" s="9">
        <f t="shared" si="4"/>
        <v>76.445400000000006</v>
      </c>
      <c r="T92" s="9">
        <f t="shared" si="5"/>
        <v>362.53620000000001</v>
      </c>
    </row>
    <row r="93" spans="8:20" x14ac:dyDescent="0.3">
      <c r="P93" s="9"/>
      <c r="Q93" s="9">
        <v>83</v>
      </c>
      <c r="R93" s="9">
        <f t="shared" si="3"/>
        <v>2207.989</v>
      </c>
      <c r="S93" s="9">
        <f t="shared" si="4"/>
        <v>77.20859999999999</v>
      </c>
      <c r="T93" s="9">
        <f t="shared" si="5"/>
        <v>361.68030000000005</v>
      </c>
    </row>
    <row r="94" spans="8:20" x14ac:dyDescent="0.3">
      <c r="P94" s="9"/>
      <c r="Q94" s="9">
        <v>84</v>
      </c>
      <c r="R94" s="9">
        <f t="shared" si="3"/>
        <v>2206.4720000000002</v>
      </c>
      <c r="S94" s="9">
        <f t="shared" si="4"/>
        <v>77.971800000000002</v>
      </c>
      <c r="T94" s="9">
        <f t="shared" si="5"/>
        <v>360.82440000000003</v>
      </c>
    </row>
    <row r="95" spans="8:20" x14ac:dyDescent="0.3">
      <c r="P95" s="9"/>
      <c r="Q95" s="9">
        <v>85</v>
      </c>
      <c r="R95" s="9">
        <f t="shared" si="3"/>
        <v>2204.9549999999999</v>
      </c>
      <c r="S95" s="9">
        <f t="shared" si="4"/>
        <v>78.734999999999999</v>
      </c>
      <c r="T95" s="9">
        <f t="shared" si="5"/>
        <v>359.96850000000006</v>
      </c>
    </row>
    <row r="96" spans="8:20" x14ac:dyDescent="0.3">
      <c r="P96" s="9"/>
      <c r="Q96" s="9">
        <v>86</v>
      </c>
      <c r="R96" s="9">
        <f t="shared" si="3"/>
        <v>2203.4380000000001</v>
      </c>
      <c r="S96" s="9">
        <f t="shared" si="4"/>
        <v>79.498199999999997</v>
      </c>
      <c r="T96" s="9">
        <f t="shared" si="5"/>
        <v>359.11260000000004</v>
      </c>
    </row>
    <row r="97" spans="16:20" x14ac:dyDescent="0.3">
      <c r="P97" s="9"/>
      <c r="Q97" s="9">
        <v>87</v>
      </c>
      <c r="R97" s="9">
        <f t="shared" si="3"/>
        <v>2201.9210000000003</v>
      </c>
      <c r="S97" s="9">
        <f t="shared" si="4"/>
        <v>80.261399999999995</v>
      </c>
      <c r="T97" s="9">
        <f t="shared" si="5"/>
        <v>358.25670000000002</v>
      </c>
    </row>
    <row r="98" spans="16:20" x14ac:dyDescent="0.3">
      <c r="P98" s="9"/>
      <c r="Q98" s="9">
        <v>88</v>
      </c>
      <c r="R98" s="9">
        <f t="shared" si="3"/>
        <v>2200.404</v>
      </c>
      <c r="S98" s="9">
        <f t="shared" si="4"/>
        <v>81.024599999999992</v>
      </c>
      <c r="T98" s="9">
        <f t="shared" si="5"/>
        <v>357.4008</v>
      </c>
    </row>
    <row r="99" spans="16:20" x14ac:dyDescent="0.3">
      <c r="P99" s="9"/>
      <c r="Q99" s="9">
        <v>89</v>
      </c>
      <c r="R99" s="9">
        <f t="shared" si="3"/>
        <v>2198.8870000000002</v>
      </c>
      <c r="S99" s="9">
        <f t="shared" si="4"/>
        <v>81.787800000000004</v>
      </c>
      <c r="T99" s="9">
        <f t="shared" si="5"/>
        <v>356.54490000000004</v>
      </c>
    </row>
    <row r="100" spans="16:20" x14ac:dyDescent="0.3">
      <c r="P100" s="9"/>
      <c r="Q100" s="9">
        <v>90</v>
      </c>
      <c r="R100" s="9">
        <f t="shared" si="3"/>
        <v>2197.37</v>
      </c>
      <c r="S100" s="9">
        <f t="shared" si="4"/>
        <v>82.551000000000002</v>
      </c>
      <c r="T100" s="9">
        <f t="shared" si="5"/>
        <v>355.68900000000002</v>
      </c>
    </row>
    <row r="101" spans="16:20" x14ac:dyDescent="0.3">
      <c r="P101" s="9"/>
      <c r="Q101" s="9">
        <v>91</v>
      </c>
      <c r="R101" s="9">
        <f t="shared" si="3"/>
        <v>2195.8530000000001</v>
      </c>
      <c r="S101" s="9">
        <f t="shared" si="4"/>
        <v>83.3142</v>
      </c>
      <c r="T101" s="9">
        <f t="shared" si="5"/>
        <v>354.83310000000006</v>
      </c>
    </row>
    <row r="102" spans="16:20" x14ac:dyDescent="0.3">
      <c r="P102" s="9"/>
      <c r="Q102" s="9">
        <v>92</v>
      </c>
      <c r="R102" s="9">
        <f t="shared" si="3"/>
        <v>2194.3360000000002</v>
      </c>
      <c r="S102" s="9">
        <f t="shared" si="4"/>
        <v>84.077399999999997</v>
      </c>
      <c r="T102" s="9">
        <f t="shared" si="5"/>
        <v>353.97720000000004</v>
      </c>
    </row>
    <row r="103" spans="16:20" x14ac:dyDescent="0.3">
      <c r="P103" s="9"/>
      <c r="Q103" s="9">
        <v>93</v>
      </c>
      <c r="R103" s="9">
        <f t="shared" si="3"/>
        <v>2192.819</v>
      </c>
      <c r="S103" s="9">
        <f t="shared" si="4"/>
        <v>84.840599999999995</v>
      </c>
      <c r="T103" s="9">
        <f t="shared" si="5"/>
        <v>353.12130000000002</v>
      </c>
    </row>
    <row r="104" spans="16:20" x14ac:dyDescent="0.3">
      <c r="P104" s="9"/>
      <c r="Q104" s="9">
        <v>94</v>
      </c>
      <c r="R104" s="9">
        <f t="shared" si="3"/>
        <v>2191.3020000000001</v>
      </c>
      <c r="S104" s="9">
        <f t="shared" si="4"/>
        <v>85.603799999999993</v>
      </c>
      <c r="T104" s="9">
        <f t="shared" si="5"/>
        <v>352.2654</v>
      </c>
    </row>
    <row r="105" spans="16:20" x14ac:dyDescent="0.3">
      <c r="P105" s="9"/>
      <c r="Q105" s="9">
        <v>95</v>
      </c>
      <c r="R105" s="9">
        <f t="shared" si="3"/>
        <v>2189.7850000000003</v>
      </c>
      <c r="S105" s="9">
        <f t="shared" si="4"/>
        <v>86.367000000000004</v>
      </c>
      <c r="T105" s="9">
        <f t="shared" si="5"/>
        <v>351.40950000000004</v>
      </c>
    </row>
    <row r="106" spans="16:20" x14ac:dyDescent="0.3">
      <c r="P106" s="9"/>
      <c r="Q106" s="9">
        <v>96</v>
      </c>
      <c r="R106" s="9">
        <f t="shared" si="3"/>
        <v>2188.268</v>
      </c>
      <c r="S106" s="9">
        <f t="shared" si="4"/>
        <v>87.130200000000002</v>
      </c>
      <c r="T106" s="9">
        <f t="shared" si="5"/>
        <v>350.55360000000002</v>
      </c>
    </row>
    <row r="107" spans="16:20" x14ac:dyDescent="0.3">
      <c r="P107" s="9"/>
      <c r="Q107" s="9">
        <v>97</v>
      </c>
      <c r="R107" s="9">
        <f t="shared" si="3"/>
        <v>2186.7510000000002</v>
      </c>
      <c r="S107" s="9">
        <f t="shared" si="4"/>
        <v>87.8934</v>
      </c>
      <c r="T107" s="9">
        <f t="shared" si="5"/>
        <v>349.69770000000005</v>
      </c>
    </row>
    <row r="108" spans="16:20" x14ac:dyDescent="0.3">
      <c r="P108" s="9"/>
      <c r="Q108" s="9">
        <v>98</v>
      </c>
      <c r="R108" s="9">
        <f t="shared" si="3"/>
        <v>2185.2339999999999</v>
      </c>
      <c r="S108" s="9">
        <f t="shared" si="4"/>
        <v>88.656599999999997</v>
      </c>
      <c r="T108" s="9">
        <f t="shared" si="5"/>
        <v>348.84180000000003</v>
      </c>
    </row>
    <row r="109" spans="16:20" x14ac:dyDescent="0.3">
      <c r="P109" s="9"/>
      <c r="Q109" s="9">
        <v>99</v>
      </c>
      <c r="R109" s="9">
        <f t="shared" si="3"/>
        <v>2183.7170000000001</v>
      </c>
      <c r="S109" s="9">
        <f t="shared" si="4"/>
        <v>89.419799999999995</v>
      </c>
      <c r="T109" s="9">
        <f t="shared" si="5"/>
        <v>347.98590000000002</v>
      </c>
    </row>
    <row r="110" spans="16:20" x14ac:dyDescent="0.3">
      <c r="P110" s="9"/>
      <c r="Q110" s="9">
        <v>100</v>
      </c>
      <c r="R110" s="9">
        <f t="shared" si="3"/>
        <v>2182.2000000000003</v>
      </c>
      <c r="S110" s="9">
        <f t="shared" si="4"/>
        <v>90.182999999999993</v>
      </c>
      <c r="T110" s="9">
        <f t="shared" si="5"/>
        <v>347.13</v>
      </c>
    </row>
    <row r="111" spans="16:20" x14ac:dyDescent="0.3">
      <c r="P111" s="9"/>
      <c r="Q111" s="9">
        <v>101</v>
      </c>
      <c r="R111" s="9">
        <f t="shared" si="3"/>
        <v>2180.683</v>
      </c>
      <c r="S111" s="9">
        <f t="shared" si="4"/>
        <v>90.946200000000005</v>
      </c>
      <c r="T111" s="9">
        <f t="shared" si="5"/>
        <v>346.27410000000003</v>
      </c>
    </row>
    <row r="112" spans="16:20" x14ac:dyDescent="0.3">
      <c r="P112" s="9"/>
      <c r="Q112" s="9">
        <v>102</v>
      </c>
      <c r="R112" s="9">
        <f t="shared" si="3"/>
        <v>2179.1660000000002</v>
      </c>
      <c r="S112" s="9">
        <f t="shared" si="4"/>
        <v>91.709400000000002</v>
      </c>
      <c r="T112" s="9">
        <f t="shared" si="5"/>
        <v>345.41820000000001</v>
      </c>
    </row>
    <row r="113" spans="16:20" x14ac:dyDescent="0.3">
      <c r="P113" s="9"/>
      <c r="Q113" s="9">
        <v>103</v>
      </c>
      <c r="R113" s="9">
        <f t="shared" si="3"/>
        <v>2177.6490000000003</v>
      </c>
      <c r="S113" s="9">
        <f t="shared" si="4"/>
        <v>92.4726</v>
      </c>
      <c r="T113" s="9">
        <f t="shared" si="5"/>
        <v>344.56230000000005</v>
      </c>
    </row>
    <row r="114" spans="16:20" x14ac:dyDescent="0.3">
      <c r="P114" s="9"/>
      <c r="Q114" s="9">
        <v>104</v>
      </c>
      <c r="R114" s="9">
        <f t="shared" si="3"/>
        <v>2176.1320000000001</v>
      </c>
      <c r="S114" s="9">
        <f t="shared" si="4"/>
        <v>93.235799999999998</v>
      </c>
      <c r="T114" s="9">
        <f t="shared" si="5"/>
        <v>343.70640000000003</v>
      </c>
    </row>
    <row r="115" spans="16:20" x14ac:dyDescent="0.3">
      <c r="P115" s="9"/>
      <c r="Q115" s="9">
        <v>105</v>
      </c>
      <c r="R115" s="9">
        <f t="shared" si="3"/>
        <v>2174.6150000000002</v>
      </c>
      <c r="S115" s="9">
        <f t="shared" si="4"/>
        <v>93.998999999999995</v>
      </c>
      <c r="T115" s="9">
        <f t="shared" si="5"/>
        <v>342.85050000000001</v>
      </c>
    </row>
    <row r="116" spans="16:20" x14ac:dyDescent="0.3">
      <c r="P116" s="9"/>
      <c r="Q116" s="9">
        <v>106</v>
      </c>
      <c r="R116" s="9">
        <f t="shared" si="3"/>
        <v>2173.098</v>
      </c>
      <c r="S116" s="9">
        <f t="shared" si="4"/>
        <v>94.762199999999993</v>
      </c>
      <c r="T116" s="9">
        <f t="shared" si="5"/>
        <v>341.99460000000005</v>
      </c>
    </row>
    <row r="117" spans="16:20" x14ac:dyDescent="0.3">
      <c r="P117" s="9"/>
      <c r="Q117" s="9">
        <v>107</v>
      </c>
      <c r="R117" s="9">
        <f t="shared" si="3"/>
        <v>2171.5810000000001</v>
      </c>
      <c r="S117" s="9">
        <f t="shared" si="4"/>
        <v>95.525400000000005</v>
      </c>
      <c r="T117" s="9">
        <f t="shared" si="5"/>
        <v>341.13870000000003</v>
      </c>
    </row>
    <row r="118" spans="16:20" x14ac:dyDescent="0.3">
      <c r="P118" s="9"/>
      <c r="Q118" s="9">
        <v>108</v>
      </c>
      <c r="R118" s="9">
        <f t="shared" si="3"/>
        <v>2170.0640000000003</v>
      </c>
      <c r="S118" s="9">
        <f t="shared" si="4"/>
        <v>96.288600000000002</v>
      </c>
      <c r="T118" s="9">
        <f t="shared" si="5"/>
        <v>340.28280000000001</v>
      </c>
    </row>
    <row r="119" spans="16:20" x14ac:dyDescent="0.3">
      <c r="P119" s="9"/>
      <c r="Q119" s="9">
        <v>109</v>
      </c>
      <c r="R119" s="9">
        <f t="shared" si="3"/>
        <v>2168.547</v>
      </c>
      <c r="S119" s="9">
        <f t="shared" si="4"/>
        <v>97.0518</v>
      </c>
      <c r="T119" s="9">
        <f t="shared" si="5"/>
        <v>339.42690000000005</v>
      </c>
    </row>
    <row r="120" spans="16:20" x14ac:dyDescent="0.3">
      <c r="P120" s="9"/>
      <c r="Q120" s="9">
        <v>110</v>
      </c>
      <c r="R120" s="9">
        <f t="shared" si="3"/>
        <v>2167.0300000000002</v>
      </c>
      <c r="S120" s="9">
        <f t="shared" si="4"/>
        <v>97.814999999999998</v>
      </c>
      <c r="T120" s="9">
        <f t="shared" si="5"/>
        <v>338.57100000000003</v>
      </c>
    </row>
    <row r="121" spans="16:20" x14ac:dyDescent="0.3">
      <c r="P121" s="9"/>
      <c r="Q121" s="9">
        <v>111</v>
      </c>
      <c r="R121" s="9">
        <f t="shared" si="3"/>
        <v>2165.5129999999999</v>
      </c>
      <c r="S121" s="9">
        <f t="shared" si="4"/>
        <v>98.578199999999995</v>
      </c>
      <c r="T121" s="9">
        <f t="shared" si="5"/>
        <v>337.71510000000001</v>
      </c>
    </row>
    <row r="122" spans="16:20" x14ac:dyDescent="0.3">
      <c r="P122" s="9"/>
      <c r="Q122" s="9">
        <v>112</v>
      </c>
      <c r="R122" s="9">
        <f t="shared" si="3"/>
        <v>2163.9960000000001</v>
      </c>
      <c r="S122" s="9">
        <f t="shared" si="4"/>
        <v>99.341399999999993</v>
      </c>
      <c r="T122" s="9">
        <f t="shared" si="5"/>
        <v>336.85920000000004</v>
      </c>
    </row>
    <row r="123" spans="16:20" x14ac:dyDescent="0.3">
      <c r="P123" s="9"/>
      <c r="Q123" s="9">
        <v>113</v>
      </c>
      <c r="R123" s="9">
        <f t="shared" si="3"/>
        <v>2162.4790000000003</v>
      </c>
      <c r="S123" s="9">
        <f t="shared" si="4"/>
        <v>100.1046</v>
      </c>
      <c r="T123" s="9">
        <f t="shared" si="5"/>
        <v>336.00330000000002</v>
      </c>
    </row>
    <row r="124" spans="16:20" x14ac:dyDescent="0.3">
      <c r="P124" s="9"/>
      <c r="Q124" s="9">
        <v>114</v>
      </c>
      <c r="R124" s="9">
        <f t="shared" si="3"/>
        <v>2160.962</v>
      </c>
      <c r="S124" s="9">
        <f t="shared" si="4"/>
        <v>100.8678</v>
      </c>
      <c r="T124" s="9">
        <f t="shared" si="5"/>
        <v>335.14740000000006</v>
      </c>
    </row>
    <row r="125" spans="16:20" x14ac:dyDescent="0.3">
      <c r="P125" s="9"/>
      <c r="Q125" s="9">
        <v>115</v>
      </c>
      <c r="R125" s="9">
        <f t="shared" si="3"/>
        <v>2159.4450000000002</v>
      </c>
      <c r="S125" s="9">
        <f t="shared" si="4"/>
        <v>101.631</v>
      </c>
      <c r="T125" s="9">
        <f t="shared" si="5"/>
        <v>334.29150000000004</v>
      </c>
    </row>
    <row r="126" spans="16:20" x14ac:dyDescent="0.3">
      <c r="P126" s="9"/>
      <c r="Q126" s="9">
        <v>116</v>
      </c>
      <c r="R126" s="9">
        <f t="shared" si="3"/>
        <v>2157.9279999999999</v>
      </c>
      <c r="S126" s="9">
        <f t="shared" si="4"/>
        <v>102.3942</v>
      </c>
      <c r="T126" s="9">
        <f t="shared" si="5"/>
        <v>333.43560000000002</v>
      </c>
    </row>
    <row r="127" spans="16:20" x14ac:dyDescent="0.3">
      <c r="P127" s="9"/>
      <c r="Q127" s="9">
        <v>117</v>
      </c>
      <c r="R127" s="9">
        <f t="shared" si="3"/>
        <v>2156.4110000000001</v>
      </c>
      <c r="S127" s="9">
        <f t="shared" si="4"/>
        <v>103.1574</v>
      </c>
      <c r="T127" s="9">
        <f t="shared" si="5"/>
        <v>332.5797</v>
      </c>
    </row>
    <row r="128" spans="16:20" x14ac:dyDescent="0.3">
      <c r="P128" s="9"/>
      <c r="Q128" s="9">
        <v>118</v>
      </c>
      <c r="R128" s="9">
        <f t="shared" si="3"/>
        <v>2154.8940000000002</v>
      </c>
      <c r="S128" s="9">
        <f t="shared" si="4"/>
        <v>103.92059999999999</v>
      </c>
      <c r="T128" s="9">
        <f t="shared" si="5"/>
        <v>331.72380000000004</v>
      </c>
    </row>
    <row r="129" spans="16:25" x14ac:dyDescent="0.3">
      <c r="P129" s="9"/>
      <c r="Q129" s="9">
        <v>119</v>
      </c>
      <c r="R129" s="9">
        <f t="shared" si="3"/>
        <v>2153.377</v>
      </c>
      <c r="S129" s="9">
        <f t="shared" si="4"/>
        <v>104.68380000000001</v>
      </c>
      <c r="T129" s="9">
        <f t="shared" si="5"/>
        <v>330.86790000000002</v>
      </c>
    </row>
    <row r="130" spans="16:25" x14ac:dyDescent="0.3">
      <c r="P130" s="9"/>
      <c r="Q130" s="9">
        <v>120</v>
      </c>
      <c r="R130" s="9">
        <f t="shared" si="3"/>
        <v>2151.86</v>
      </c>
      <c r="S130" s="9">
        <f t="shared" si="4"/>
        <v>105.447</v>
      </c>
      <c r="T130" s="9">
        <f t="shared" si="5"/>
        <v>330.01200000000006</v>
      </c>
    </row>
    <row r="131" spans="16:25" x14ac:dyDescent="0.3">
      <c r="P131" s="9"/>
      <c r="Q131" s="9">
        <v>121</v>
      </c>
      <c r="R131" s="9">
        <f t="shared" si="3"/>
        <v>2150.3430000000003</v>
      </c>
      <c r="S131" s="9">
        <f t="shared" si="4"/>
        <v>106.2102</v>
      </c>
      <c r="T131" s="9">
        <f t="shared" si="5"/>
        <v>329.15610000000004</v>
      </c>
    </row>
    <row r="132" spans="16:25" x14ac:dyDescent="0.3">
      <c r="P132" s="9"/>
      <c r="Q132" s="9">
        <v>122</v>
      </c>
      <c r="R132" s="9">
        <f t="shared" si="3"/>
        <v>2148.826</v>
      </c>
      <c r="S132" s="9">
        <f t="shared" si="4"/>
        <v>106.9734</v>
      </c>
      <c r="T132" s="9">
        <f t="shared" si="5"/>
        <v>328.30020000000002</v>
      </c>
    </row>
    <row r="133" spans="16:25" x14ac:dyDescent="0.3">
      <c r="P133" s="9"/>
      <c r="Q133" s="9">
        <v>123</v>
      </c>
      <c r="R133" s="9">
        <f t="shared" si="3"/>
        <v>2147.3090000000002</v>
      </c>
      <c r="S133" s="9">
        <f t="shared" si="4"/>
        <v>107.7366</v>
      </c>
      <c r="T133" s="9">
        <f t="shared" si="5"/>
        <v>327.4443</v>
      </c>
    </row>
    <row r="134" spans="16:25" x14ac:dyDescent="0.3">
      <c r="P134" s="9"/>
      <c r="Q134" s="9">
        <v>124</v>
      </c>
      <c r="R134" s="9">
        <f t="shared" si="3"/>
        <v>2145.7919999999999</v>
      </c>
      <c r="S134" s="9">
        <f t="shared" si="4"/>
        <v>108.49979999999999</v>
      </c>
      <c r="T134" s="9">
        <f t="shared" si="5"/>
        <v>326.58840000000004</v>
      </c>
    </row>
    <row r="135" spans="16:25" x14ac:dyDescent="0.3">
      <c r="P135" s="9"/>
      <c r="Q135" s="9">
        <v>125</v>
      </c>
      <c r="R135" s="9">
        <f t="shared" si="3"/>
        <v>2144.2750000000001</v>
      </c>
      <c r="S135" s="9">
        <f t="shared" si="4"/>
        <v>109.26300000000001</v>
      </c>
      <c r="T135" s="9">
        <f t="shared" si="5"/>
        <v>325.73250000000002</v>
      </c>
    </row>
    <row r="136" spans="16:25" x14ac:dyDescent="0.3">
      <c r="P136" s="9"/>
      <c r="Q136" s="61">
        <v>126</v>
      </c>
      <c r="R136" s="61">
        <f t="shared" si="3"/>
        <v>2142.7580000000003</v>
      </c>
      <c r="S136" s="61">
        <f t="shared" si="4"/>
        <v>110.0262</v>
      </c>
      <c r="T136" s="61">
        <f t="shared" si="5"/>
        <v>324.87660000000005</v>
      </c>
      <c r="Y136" s="61"/>
    </row>
    <row r="137" spans="16:25" x14ac:dyDescent="0.3">
      <c r="P137" s="9"/>
      <c r="Q137" s="61">
        <v>127</v>
      </c>
      <c r="R137" s="61">
        <f t="shared" si="3"/>
        <v>2141.241</v>
      </c>
      <c r="S137" s="61">
        <f t="shared" si="4"/>
        <v>110.7894</v>
      </c>
      <c r="T137" s="61">
        <f t="shared" si="5"/>
        <v>324.02070000000003</v>
      </c>
      <c r="Y137" s="61"/>
    </row>
    <row r="138" spans="16:25" x14ac:dyDescent="0.3">
      <c r="P138" s="9"/>
      <c r="Q138" s="61">
        <v>128</v>
      </c>
      <c r="R138" s="61">
        <f t="shared" si="3"/>
        <v>2139.7240000000002</v>
      </c>
      <c r="S138" s="61">
        <f t="shared" si="4"/>
        <v>111.5526</v>
      </c>
      <c r="T138" s="61">
        <f t="shared" si="5"/>
        <v>323.16480000000001</v>
      </c>
      <c r="Y138" s="61"/>
    </row>
    <row r="139" spans="16:25" x14ac:dyDescent="0.3">
      <c r="P139" s="9"/>
      <c r="Q139" s="61">
        <v>129</v>
      </c>
      <c r="R139" s="61">
        <f t="shared" si="3"/>
        <v>2138.2070000000003</v>
      </c>
      <c r="S139" s="61">
        <f t="shared" si="4"/>
        <v>112.3158</v>
      </c>
      <c r="T139" s="61">
        <f t="shared" si="5"/>
        <v>322.30889999999999</v>
      </c>
      <c r="Y139" s="61"/>
    </row>
    <row r="140" spans="16:25" x14ac:dyDescent="0.3">
      <c r="P140" s="9"/>
      <c r="Q140" s="61">
        <v>130</v>
      </c>
      <c r="R140" s="61">
        <f t="shared" ref="R140:R203" si="6">-1.517*Q140+2333.9</f>
        <v>2136.69</v>
      </c>
      <c r="S140" s="61">
        <f t="shared" ref="S140:S203" si="7">0.7632*Q140+13.863</f>
        <v>113.07899999999999</v>
      </c>
      <c r="T140" s="61">
        <f t="shared" ref="T140:T203" si="8">-0.8559*Q140+432.72</f>
        <v>321.45300000000003</v>
      </c>
      <c r="Y140" s="61"/>
    </row>
    <row r="141" spans="16:25" x14ac:dyDescent="0.3">
      <c r="P141" s="9"/>
      <c r="Q141" s="61">
        <v>131</v>
      </c>
      <c r="R141" s="61">
        <f t="shared" si="6"/>
        <v>2135.1730000000002</v>
      </c>
      <c r="S141" s="61">
        <f t="shared" si="7"/>
        <v>113.84219999999999</v>
      </c>
      <c r="T141" s="61">
        <f t="shared" si="8"/>
        <v>320.59710000000001</v>
      </c>
      <c r="Y141" s="61"/>
    </row>
    <row r="142" spans="16:25" x14ac:dyDescent="0.3">
      <c r="P142" s="9"/>
      <c r="Q142" s="61">
        <v>132</v>
      </c>
      <c r="R142" s="61">
        <f t="shared" si="6"/>
        <v>2133.6559999999999</v>
      </c>
      <c r="S142" s="61">
        <f t="shared" si="7"/>
        <v>114.6054</v>
      </c>
      <c r="T142" s="61">
        <f t="shared" si="8"/>
        <v>319.74120000000005</v>
      </c>
      <c r="Y142" s="61"/>
    </row>
    <row r="143" spans="16:25" x14ac:dyDescent="0.3">
      <c r="P143" s="9"/>
      <c r="Q143" s="61">
        <v>133</v>
      </c>
      <c r="R143" s="61">
        <f t="shared" si="6"/>
        <v>2132.1390000000001</v>
      </c>
      <c r="S143" s="61">
        <f t="shared" si="7"/>
        <v>115.3686</v>
      </c>
      <c r="T143" s="61">
        <f t="shared" si="8"/>
        <v>318.88530000000003</v>
      </c>
      <c r="Y143" s="61"/>
    </row>
    <row r="144" spans="16:25" x14ac:dyDescent="0.3">
      <c r="P144" s="9"/>
      <c r="Q144" s="61">
        <v>134</v>
      </c>
      <c r="R144" s="61">
        <f t="shared" si="6"/>
        <v>2130.6220000000003</v>
      </c>
      <c r="S144" s="61">
        <f t="shared" si="7"/>
        <v>116.1318</v>
      </c>
      <c r="T144" s="61">
        <f t="shared" si="8"/>
        <v>318.02940000000001</v>
      </c>
      <c r="Y144" s="61"/>
    </row>
    <row r="145" spans="16:25" x14ac:dyDescent="0.3">
      <c r="P145" s="9"/>
      <c r="Q145" s="61">
        <v>135</v>
      </c>
      <c r="R145" s="61">
        <f t="shared" si="6"/>
        <v>2129.105</v>
      </c>
      <c r="S145" s="61">
        <f t="shared" si="7"/>
        <v>116.895</v>
      </c>
      <c r="T145" s="61">
        <f t="shared" si="8"/>
        <v>317.17350000000005</v>
      </c>
      <c r="Y145" s="61"/>
    </row>
    <row r="146" spans="16:25" x14ac:dyDescent="0.3">
      <c r="P146" s="9"/>
      <c r="Q146" s="61">
        <v>136</v>
      </c>
      <c r="R146" s="61">
        <f t="shared" si="6"/>
        <v>2127.5880000000002</v>
      </c>
      <c r="S146" s="61">
        <f t="shared" si="7"/>
        <v>117.65819999999999</v>
      </c>
      <c r="T146" s="61">
        <f t="shared" si="8"/>
        <v>316.31760000000003</v>
      </c>
      <c r="Y146" s="61"/>
    </row>
    <row r="147" spans="16:25" x14ac:dyDescent="0.3">
      <c r="P147" s="9"/>
      <c r="Q147" s="61">
        <v>137</v>
      </c>
      <c r="R147" s="61">
        <f t="shared" si="6"/>
        <v>2126.0709999999999</v>
      </c>
      <c r="S147" s="61">
        <f t="shared" si="7"/>
        <v>118.42139999999999</v>
      </c>
      <c r="T147" s="61">
        <f t="shared" si="8"/>
        <v>315.46170000000001</v>
      </c>
      <c r="Y147" s="61"/>
    </row>
    <row r="148" spans="16:25" x14ac:dyDescent="0.3">
      <c r="P148" s="9"/>
      <c r="Q148" s="61">
        <v>138</v>
      </c>
      <c r="R148" s="61">
        <f t="shared" si="6"/>
        <v>2124.5540000000001</v>
      </c>
      <c r="S148" s="61">
        <f t="shared" si="7"/>
        <v>119.1846</v>
      </c>
      <c r="T148" s="61">
        <f t="shared" si="8"/>
        <v>314.60580000000004</v>
      </c>
      <c r="Y148" s="61"/>
    </row>
    <row r="149" spans="16:25" x14ac:dyDescent="0.3">
      <c r="P149" s="9"/>
      <c r="Q149" s="61">
        <v>139</v>
      </c>
      <c r="R149" s="61">
        <f t="shared" si="6"/>
        <v>2123.0370000000003</v>
      </c>
      <c r="S149" s="61">
        <f t="shared" si="7"/>
        <v>119.9478</v>
      </c>
      <c r="T149" s="61">
        <f t="shared" si="8"/>
        <v>313.74990000000003</v>
      </c>
      <c r="Y149" s="61"/>
    </row>
    <row r="150" spans="16:25" x14ac:dyDescent="0.3">
      <c r="P150" s="9"/>
      <c r="Q150" s="61">
        <v>140</v>
      </c>
      <c r="R150" s="61">
        <f t="shared" si="6"/>
        <v>2121.52</v>
      </c>
      <c r="S150" s="61">
        <f t="shared" si="7"/>
        <v>120.711</v>
      </c>
      <c r="T150" s="61">
        <f t="shared" si="8"/>
        <v>312.89400000000001</v>
      </c>
      <c r="Y150" s="61"/>
    </row>
    <row r="151" spans="16:25" x14ac:dyDescent="0.3">
      <c r="P151" s="9"/>
      <c r="Q151" s="61">
        <v>141</v>
      </c>
      <c r="R151" s="61">
        <f t="shared" si="6"/>
        <v>2120.0030000000002</v>
      </c>
      <c r="S151" s="61">
        <f t="shared" si="7"/>
        <v>121.4742</v>
      </c>
      <c r="T151" s="61">
        <f t="shared" si="8"/>
        <v>312.03810000000004</v>
      </c>
      <c r="Y151" s="61"/>
    </row>
    <row r="152" spans="16:25" x14ac:dyDescent="0.3">
      <c r="P152" s="9"/>
      <c r="Q152" s="61">
        <v>142</v>
      </c>
      <c r="R152" s="61">
        <f t="shared" si="6"/>
        <v>2118.4859999999999</v>
      </c>
      <c r="S152" s="61">
        <f t="shared" si="7"/>
        <v>122.23739999999999</v>
      </c>
      <c r="T152" s="61">
        <f t="shared" si="8"/>
        <v>311.18220000000002</v>
      </c>
      <c r="Y152" s="61"/>
    </row>
    <row r="153" spans="16:25" x14ac:dyDescent="0.3">
      <c r="P153" s="9"/>
      <c r="Q153" s="61">
        <v>143</v>
      </c>
      <c r="R153" s="61">
        <f t="shared" si="6"/>
        <v>2116.9690000000001</v>
      </c>
      <c r="S153" s="61">
        <f t="shared" si="7"/>
        <v>123.00059999999999</v>
      </c>
      <c r="T153" s="61">
        <f t="shared" si="8"/>
        <v>310.32630000000006</v>
      </c>
      <c r="Y153" s="61"/>
    </row>
    <row r="154" spans="16:25" x14ac:dyDescent="0.3">
      <c r="P154" s="9"/>
      <c r="Q154" s="61">
        <v>144</v>
      </c>
      <c r="R154" s="61">
        <f t="shared" si="6"/>
        <v>2115.4520000000002</v>
      </c>
      <c r="S154" s="61">
        <f t="shared" si="7"/>
        <v>123.7638</v>
      </c>
      <c r="T154" s="61">
        <f t="shared" si="8"/>
        <v>309.47040000000004</v>
      </c>
      <c r="Y154" s="61"/>
    </row>
    <row r="155" spans="16:25" x14ac:dyDescent="0.3">
      <c r="P155" s="9"/>
      <c r="Q155" s="61">
        <v>145</v>
      </c>
      <c r="R155" s="61">
        <f t="shared" si="6"/>
        <v>2113.9349999999999</v>
      </c>
      <c r="S155" s="61">
        <f t="shared" si="7"/>
        <v>124.527</v>
      </c>
      <c r="T155" s="61">
        <f t="shared" si="8"/>
        <v>308.61450000000002</v>
      </c>
      <c r="Y155" s="61"/>
    </row>
    <row r="156" spans="16:25" x14ac:dyDescent="0.3">
      <c r="P156" s="9"/>
      <c r="Q156" s="61">
        <v>146</v>
      </c>
      <c r="R156" s="61">
        <f t="shared" si="6"/>
        <v>2112.4180000000001</v>
      </c>
      <c r="S156" s="61">
        <f t="shared" si="7"/>
        <v>125.2902</v>
      </c>
      <c r="T156" s="61">
        <f t="shared" si="8"/>
        <v>307.7586</v>
      </c>
      <c r="Y156" s="61"/>
    </row>
    <row r="157" spans="16:25" x14ac:dyDescent="0.3">
      <c r="P157" s="9"/>
      <c r="Q157" s="61">
        <v>147</v>
      </c>
      <c r="R157" s="61">
        <f t="shared" si="6"/>
        <v>2110.9010000000003</v>
      </c>
      <c r="S157" s="61">
        <f t="shared" si="7"/>
        <v>126.0534</v>
      </c>
      <c r="T157" s="61">
        <f t="shared" si="8"/>
        <v>306.90270000000004</v>
      </c>
      <c r="Y157" s="61"/>
    </row>
    <row r="158" spans="16:25" x14ac:dyDescent="0.3">
      <c r="P158" s="9"/>
      <c r="Q158" s="61">
        <v>148</v>
      </c>
      <c r="R158" s="61">
        <f t="shared" si="6"/>
        <v>2109.384</v>
      </c>
      <c r="S158" s="61">
        <f t="shared" si="7"/>
        <v>126.81659999999999</v>
      </c>
      <c r="T158" s="61">
        <f t="shared" si="8"/>
        <v>306.04680000000002</v>
      </c>
      <c r="Y158" s="61"/>
    </row>
    <row r="159" spans="16:25" x14ac:dyDescent="0.3">
      <c r="P159" s="9"/>
      <c r="Q159" s="61">
        <v>149</v>
      </c>
      <c r="R159" s="61">
        <f t="shared" si="6"/>
        <v>2107.8670000000002</v>
      </c>
      <c r="S159" s="61">
        <f t="shared" si="7"/>
        <v>127.57979999999999</v>
      </c>
      <c r="T159" s="61">
        <f t="shared" si="8"/>
        <v>305.19090000000006</v>
      </c>
      <c r="Y159" s="61"/>
    </row>
    <row r="160" spans="16:25" x14ac:dyDescent="0.3">
      <c r="P160" s="9"/>
      <c r="Q160" s="61">
        <v>150</v>
      </c>
      <c r="R160" s="61">
        <f t="shared" si="6"/>
        <v>2106.35</v>
      </c>
      <c r="S160" s="61">
        <f t="shared" si="7"/>
        <v>128.34300000000002</v>
      </c>
      <c r="T160" s="61">
        <f t="shared" si="8"/>
        <v>304.33500000000004</v>
      </c>
      <c r="Y160" s="61"/>
    </row>
    <row r="161" spans="16:25" x14ac:dyDescent="0.3">
      <c r="P161" s="9"/>
      <c r="Q161" s="61">
        <v>151</v>
      </c>
      <c r="R161" s="61">
        <f t="shared" si="6"/>
        <v>2104.8330000000001</v>
      </c>
      <c r="S161" s="61">
        <f t="shared" si="7"/>
        <v>129.1062</v>
      </c>
      <c r="T161" s="61">
        <f t="shared" si="8"/>
        <v>303.47910000000002</v>
      </c>
      <c r="Y161" s="61"/>
    </row>
    <row r="162" spans="16:25" x14ac:dyDescent="0.3">
      <c r="P162" s="9"/>
      <c r="Q162" s="61">
        <v>152</v>
      </c>
      <c r="R162" s="61">
        <f t="shared" si="6"/>
        <v>2103.3160000000003</v>
      </c>
      <c r="S162" s="61">
        <f t="shared" si="7"/>
        <v>129.86939999999998</v>
      </c>
      <c r="T162" s="61">
        <f t="shared" si="8"/>
        <v>302.6232</v>
      </c>
      <c r="Y162" s="61"/>
    </row>
    <row r="163" spans="16:25" x14ac:dyDescent="0.3">
      <c r="P163" s="9"/>
      <c r="Q163" s="61">
        <v>153</v>
      </c>
      <c r="R163" s="61">
        <f t="shared" si="6"/>
        <v>2101.799</v>
      </c>
      <c r="S163" s="61">
        <f t="shared" si="7"/>
        <v>130.6326</v>
      </c>
      <c r="T163" s="61">
        <f t="shared" si="8"/>
        <v>301.76730000000003</v>
      </c>
      <c r="Y163" s="61"/>
    </row>
    <row r="164" spans="16:25" x14ac:dyDescent="0.3">
      <c r="P164" s="9"/>
      <c r="Q164" s="61">
        <v>154</v>
      </c>
      <c r="R164" s="61">
        <f t="shared" si="6"/>
        <v>2100.2820000000002</v>
      </c>
      <c r="S164" s="61">
        <f t="shared" si="7"/>
        <v>131.39580000000001</v>
      </c>
      <c r="T164" s="61">
        <f t="shared" si="8"/>
        <v>300.91140000000001</v>
      </c>
      <c r="Y164" s="61"/>
    </row>
    <row r="165" spans="16:25" x14ac:dyDescent="0.3">
      <c r="P165" s="9"/>
      <c r="Q165" s="61">
        <v>155</v>
      </c>
      <c r="R165" s="61">
        <f t="shared" si="6"/>
        <v>2098.7650000000003</v>
      </c>
      <c r="S165" s="61">
        <f t="shared" si="7"/>
        <v>132.15899999999999</v>
      </c>
      <c r="T165" s="61">
        <f t="shared" si="8"/>
        <v>300.05550000000005</v>
      </c>
      <c r="Y165" s="61"/>
    </row>
    <row r="166" spans="16:25" x14ac:dyDescent="0.3">
      <c r="P166" s="9"/>
      <c r="Q166" s="61">
        <v>156</v>
      </c>
      <c r="R166" s="61">
        <f t="shared" si="6"/>
        <v>2097.248</v>
      </c>
      <c r="S166" s="61">
        <f t="shared" si="7"/>
        <v>132.9222</v>
      </c>
      <c r="T166" s="61">
        <f t="shared" si="8"/>
        <v>299.19960000000003</v>
      </c>
      <c r="Y166" s="61"/>
    </row>
    <row r="167" spans="16:25" x14ac:dyDescent="0.3">
      <c r="P167" s="9"/>
      <c r="Q167" s="61">
        <v>157</v>
      </c>
      <c r="R167" s="61">
        <f t="shared" si="6"/>
        <v>2095.7310000000002</v>
      </c>
      <c r="S167" s="61">
        <f t="shared" si="7"/>
        <v>133.68540000000002</v>
      </c>
      <c r="T167" s="61">
        <f t="shared" si="8"/>
        <v>298.34370000000001</v>
      </c>
      <c r="Y167" s="61"/>
    </row>
    <row r="168" spans="16:25" x14ac:dyDescent="0.3">
      <c r="P168" s="9"/>
      <c r="Q168" s="61">
        <v>158</v>
      </c>
      <c r="R168" s="61">
        <f t="shared" si="6"/>
        <v>2094.2139999999999</v>
      </c>
      <c r="S168" s="61">
        <f t="shared" si="7"/>
        <v>134.4486</v>
      </c>
      <c r="T168" s="61">
        <f t="shared" si="8"/>
        <v>297.48779999999999</v>
      </c>
      <c r="Y168" s="61"/>
    </row>
    <row r="169" spans="16:25" x14ac:dyDescent="0.3">
      <c r="P169" s="9"/>
      <c r="Q169" s="61">
        <v>159</v>
      </c>
      <c r="R169" s="61">
        <f t="shared" si="6"/>
        <v>2092.6970000000001</v>
      </c>
      <c r="S169" s="61">
        <f t="shared" si="7"/>
        <v>135.21179999999998</v>
      </c>
      <c r="T169" s="61">
        <f t="shared" si="8"/>
        <v>296.63190000000003</v>
      </c>
      <c r="Y169" s="61"/>
    </row>
    <row r="170" spans="16:25" x14ac:dyDescent="0.3">
      <c r="P170" s="9"/>
      <c r="Q170" s="61">
        <v>160</v>
      </c>
      <c r="R170" s="61">
        <f t="shared" si="6"/>
        <v>2091.1800000000003</v>
      </c>
      <c r="S170" s="61">
        <f t="shared" si="7"/>
        <v>135.97499999999999</v>
      </c>
      <c r="T170" s="61">
        <f t="shared" si="8"/>
        <v>295.77600000000007</v>
      </c>
      <c r="Y170" s="61"/>
    </row>
    <row r="171" spans="16:25" x14ac:dyDescent="0.3">
      <c r="P171" s="9"/>
      <c r="Q171" s="61">
        <v>161</v>
      </c>
      <c r="R171" s="61">
        <f t="shared" si="6"/>
        <v>2089.663</v>
      </c>
      <c r="S171" s="61">
        <f t="shared" si="7"/>
        <v>136.73820000000001</v>
      </c>
      <c r="T171" s="61">
        <f t="shared" si="8"/>
        <v>294.92010000000005</v>
      </c>
      <c r="Y171" s="61"/>
    </row>
    <row r="172" spans="16:25" x14ac:dyDescent="0.3">
      <c r="P172" s="9"/>
      <c r="Q172" s="61">
        <v>162</v>
      </c>
      <c r="R172" s="61">
        <f t="shared" si="6"/>
        <v>2088.1460000000002</v>
      </c>
      <c r="S172" s="61">
        <f t="shared" si="7"/>
        <v>137.50139999999999</v>
      </c>
      <c r="T172" s="61">
        <f t="shared" si="8"/>
        <v>294.06420000000003</v>
      </c>
      <c r="Y172" s="61"/>
    </row>
    <row r="173" spans="16:25" x14ac:dyDescent="0.3">
      <c r="P173" s="9"/>
      <c r="Q173" s="61">
        <v>163</v>
      </c>
      <c r="R173" s="61">
        <f t="shared" si="6"/>
        <v>2086.6289999999999</v>
      </c>
      <c r="S173" s="61">
        <f t="shared" si="7"/>
        <v>138.2646</v>
      </c>
      <c r="T173" s="61">
        <f t="shared" si="8"/>
        <v>293.20830000000001</v>
      </c>
      <c r="Y173" s="61"/>
    </row>
    <row r="174" spans="16:25" x14ac:dyDescent="0.3">
      <c r="P174" s="9"/>
      <c r="Q174" s="61">
        <v>164</v>
      </c>
      <c r="R174" s="61">
        <f t="shared" si="6"/>
        <v>2085.1120000000001</v>
      </c>
      <c r="S174" s="61">
        <f t="shared" si="7"/>
        <v>139.02780000000001</v>
      </c>
      <c r="T174" s="61">
        <f t="shared" si="8"/>
        <v>292.35239999999999</v>
      </c>
      <c r="Y174" s="61"/>
    </row>
    <row r="175" spans="16:25" x14ac:dyDescent="0.3">
      <c r="P175" s="9"/>
      <c r="Q175" s="61">
        <v>165</v>
      </c>
      <c r="R175" s="61">
        <f t="shared" si="6"/>
        <v>2083.5950000000003</v>
      </c>
      <c r="S175" s="61">
        <f t="shared" si="7"/>
        <v>139.791</v>
      </c>
      <c r="T175" s="61">
        <f t="shared" si="8"/>
        <v>291.49650000000003</v>
      </c>
      <c r="Y175" s="61"/>
    </row>
    <row r="176" spans="16:25" x14ac:dyDescent="0.3">
      <c r="P176" s="9"/>
      <c r="Q176" s="61">
        <v>166</v>
      </c>
      <c r="R176" s="61">
        <f t="shared" si="6"/>
        <v>2082.078</v>
      </c>
      <c r="S176" s="61">
        <f t="shared" si="7"/>
        <v>140.55419999999998</v>
      </c>
      <c r="T176" s="61">
        <f t="shared" si="8"/>
        <v>290.64060000000006</v>
      </c>
      <c r="Y176" s="61"/>
    </row>
    <row r="177" spans="16:25" x14ac:dyDescent="0.3">
      <c r="P177" s="9"/>
      <c r="Q177" s="61">
        <v>167</v>
      </c>
      <c r="R177" s="61">
        <f t="shared" si="6"/>
        <v>2080.5610000000001</v>
      </c>
      <c r="S177" s="61">
        <f t="shared" si="7"/>
        <v>141.31739999999999</v>
      </c>
      <c r="T177" s="61">
        <f t="shared" si="8"/>
        <v>289.78470000000004</v>
      </c>
      <c r="Y177" s="61"/>
    </row>
    <row r="178" spans="16:25" x14ac:dyDescent="0.3">
      <c r="P178" s="9"/>
      <c r="Q178" s="61">
        <v>168</v>
      </c>
      <c r="R178" s="61">
        <f t="shared" si="6"/>
        <v>2079.0439999999999</v>
      </c>
      <c r="S178" s="61">
        <f t="shared" si="7"/>
        <v>142.0806</v>
      </c>
      <c r="T178" s="61">
        <f t="shared" si="8"/>
        <v>288.92880000000002</v>
      </c>
      <c r="Y178" s="61"/>
    </row>
    <row r="179" spans="16:25" x14ac:dyDescent="0.3">
      <c r="P179" s="9"/>
      <c r="Q179" s="61">
        <v>169</v>
      </c>
      <c r="R179" s="61">
        <f t="shared" si="6"/>
        <v>2077.527</v>
      </c>
      <c r="S179" s="61">
        <f t="shared" si="7"/>
        <v>142.84379999999999</v>
      </c>
      <c r="T179" s="61">
        <f t="shared" si="8"/>
        <v>288.0729</v>
      </c>
      <c r="Y179" s="61"/>
    </row>
    <row r="180" spans="16:25" x14ac:dyDescent="0.3">
      <c r="P180" s="9"/>
      <c r="Q180" s="61">
        <v>170</v>
      </c>
      <c r="R180" s="61">
        <f t="shared" si="6"/>
        <v>2076.0100000000002</v>
      </c>
      <c r="S180" s="61">
        <f t="shared" si="7"/>
        <v>143.607</v>
      </c>
      <c r="T180" s="61">
        <f t="shared" si="8"/>
        <v>287.21700000000004</v>
      </c>
      <c r="Y180" s="61"/>
    </row>
    <row r="181" spans="16:25" x14ac:dyDescent="0.3">
      <c r="P181" s="9"/>
      <c r="Q181" s="61">
        <v>171</v>
      </c>
      <c r="R181" s="61">
        <f t="shared" si="6"/>
        <v>2074.4929999999999</v>
      </c>
      <c r="S181" s="61">
        <f t="shared" si="7"/>
        <v>144.37020000000001</v>
      </c>
      <c r="T181" s="61">
        <f t="shared" si="8"/>
        <v>286.36110000000002</v>
      </c>
      <c r="Y181" s="61"/>
    </row>
    <row r="182" spans="16:25" x14ac:dyDescent="0.3">
      <c r="P182" s="9"/>
      <c r="Q182" s="61">
        <v>172</v>
      </c>
      <c r="R182" s="61">
        <f t="shared" si="6"/>
        <v>2072.9760000000001</v>
      </c>
      <c r="S182" s="61">
        <f t="shared" si="7"/>
        <v>145.13339999999999</v>
      </c>
      <c r="T182" s="61">
        <f t="shared" si="8"/>
        <v>285.50520000000006</v>
      </c>
      <c r="Y182" s="61"/>
    </row>
    <row r="183" spans="16:25" x14ac:dyDescent="0.3">
      <c r="P183" s="9"/>
      <c r="Q183" s="61">
        <v>173</v>
      </c>
      <c r="R183" s="61">
        <f t="shared" si="6"/>
        <v>2071.4590000000003</v>
      </c>
      <c r="S183" s="61">
        <f t="shared" si="7"/>
        <v>145.89660000000001</v>
      </c>
      <c r="T183" s="61">
        <f t="shared" si="8"/>
        <v>284.64930000000004</v>
      </c>
      <c r="Y183" s="61"/>
    </row>
    <row r="184" spans="16:25" x14ac:dyDescent="0.3">
      <c r="P184" s="9"/>
      <c r="Q184" s="61">
        <v>174</v>
      </c>
      <c r="R184" s="61">
        <f t="shared" si="6"/>
        <v>2069.942</v>
      </c>
      <c r="S184" s="61">
        <f t="shared" si="7"/>
        <v>146.65979999999999</v>
      </c>
      <c r="T184" s="61">
        <f t="shared" si="8"/>
        <v>283.79340000000002</v>
      </c>
      <c r="Y184" s="61"/>
    </row>
    <row r="185" spans="16:25" x14ac:dyDescent="0.3">
      <c r="P185" s="9"/>
      <c r="Q185" s="61">
        <v>175</v>
      </c>
      <c r="R185" s="61">
        <f t="shared" si="6"/>
        <v>2068.4250000000002</v>
      </c>
      <c r="S185" s="61">
        <f t="shared" si="7"/>
        <v>147.423</v>
      </c>
      <c r="T185" s="61">
        <f t="shared" si="8"/>
        <v>282.9375</v>
      </c>
      <c r="Y185" s="61"/>
    </row>
    <row r="186" spans="16:25" x14ac:dyDescent="0.3">
      <c r="P186" s="9"/>
      <c r="Q186" s="61">
        <v>176</v>
      </c>
      <c r="R186" s="61">
        <f t="shared" si="6"/>
        <v>2066.9080000000004</v>
      </c>
      <c r="S186" s="61">
        <f t="shared" si="7"/>
        <v>148.18619999999999</v>
      </c>
      <c r="T186" s="61">
        <f t="shared" si="8"/>
        <v>282.08160000000004</v>
      </c>
      <c r="Y186" s="61"/>
    </row>
    <row r="187" spans="16:25" x14ac:dyDescent="0.3">
      <c r="P187" s="9"/>
      <c r="Q187" s="61">
        <v>177</v>
      </c>
      <c r="R187" s="61">
        <f t="shared" si="6"/>
        <v>2065.3910000000001</v>
      </c>
      <c r="S187" s="61">
        <f t="shared" si="7"/>
        <v>148.9494</v>
      </c>
      <c r="T187" s="61">
        <f t="shared" si="8"/>
        <v>281.22570000000002</v>
      </c>
      <c r="Y187" s="61"/>
    </row>
    <row r="188" spans="16:25" x14ac:dyDescent="0.3">
      <c r="P188" s="9"/>
      <c r="Q188" s="61">
        <v>178</v>
      </c>
      <c r="R188" s="61">
        <f t="shared" si="6"/>
        <v>2063.8740000000003</v>
      </c>
      <c r="S188" s="61">
        <f t="shared" si="7"/>
        <v>149.71260000000001</v>
      </c>
      <c r="T188" s="61">
        <f t="shared" si="8"/>
        <v>280.36980000000005</v>
      </c>
      <c r="Y188" s="61"/>
    </row>
    <row r="189" spans="16:25" x14ac:dyDescent="0.3">
      <c r="P189" s="9"/>
      <c r="Q189" s="61">
        <v>179</v>
      </c>
      <c r="R189" s="61">
        <f t="shared" si="6"/>
        <v>2062.357</v>
      </c>
      <c r="S189" s="61">
        <f t="shared" si="7"/>
        <v>150.47579999999999</v>
      </c>
      <c r="T189" s="61">
        <f t="shared" si="8"/>
        <v>279.51390000000004</v>
      </c>
      <c r="Y189" s="61"/>
    </row>
    <row r="190" spans="16:25" x14ac:dyDescent="0.3">
      <c r="P190" s="9"/>
      <c r="Q190" s="9">
        <v>180</v>
      </c>
      <c r="R190" s="9">
        <f t="shared" si="6"/>
        <v>2060.84</v>
      </c>
      <c r="S190" s="9">
        <f t="shared" si="7"/>
        <v>151.239</v>
      </c>
      <c r="T190" s="9">
        <f t="shared" si="8"/>
        <v>278.65800000000002</v>
      </c>
    </row>
    <row r="191" spans="16:25" x14ac:dyDescent="0.3">
      <c r="P191" s="9"/>
      <c r="Q191" s="9">
        <v>181</v>
      </c>
      <c r="R191" s="9">
        <f t="shared" si="6"/>
        <v>2059.3230000000003</v>
      </c>
      <c r="S191" s="9">
        <f t="shared" si="7"/>
        <v>152.00219999999999</v>
      </c>
      <c r="T191" s="9">
        <f t="shared" si="8"/>
        <v>277.8021</v>
      </c>
    </row>
    <row r="192" spans="16:25" x14ac:dyDescent="0.3">
      <c r="P192" s="9"/>
      <c r="Q192" s="9">
        <v>182</v>
      </c>
      <c r="R192" s="9">
        <f t="shared" si="6"/>
        <v>2057.806</v>
      </c>
      <c r="S192" s="9">
        <f t="shared" si="7"/>
        <v>152.7654</v>
      </c>
      <c r="T192" s="9">
        <f t="shared" si="8"/>
        <v>276.94620000000003</v>
      </c>
    </row>
    <row r="193" spans="16:20" x14ac:dyDescent="0.3">
      <c r="P193" s="9"/>
      <c r="Q193" s="9">
        <v>183</v>
      </c>
      <c r="R193" s="9">
        <f t="shared" si="6"/>
        <v>2056.2890000000002</v>
      </c>
      <c r="S193" s="9">
        <f t="shared" si="7"/>
        <v>153.52860000000001</v>
      </c>
      <c r="T193" s="9">
        <f t="shared" si="8"/>
        <v>276.09030000000007</v>
      </c>
    </row>
    <row r="194" spans="16:20" x14ac:dyDescent="0.3">
      <c r="P194" s="9"/>
      <c r="Q194" s="9">
        <v>184</v>
      </c>
      <c r="R194" s="9">
        <f t="shared" si="6"/>
        <v>2054.7719999999999</v>
      </c>
      <c r="S194" s="9">
        <f t="shared" si="7"/>
        <v>154.29179999999999</v>
      </c>
      <c r="T194" s="9">
        <f t="shared" si="8"/>
        <v>275.23440000000005</v>
      </c>
    </row>
    <row r="195" spans="16:20" x14ac:dyDescent="0.3">
      <c r="P195" s="9"/>
      <c r="Q195" s="9">
        <v>185</v>
      </c>
      <c r="R195" s="9">
        <f t="shared" si="6"/>
        <v>2053.2550000000001</v>
      </c>
      <c r="S195" s="9">
        <f t="shared" si="7"/>
        <v>155.05500000000001</v>
      </c>
      <c r="T195" s="9">
        <f t="shared" si="8"/>
        <v>274.37850000000003</v>
      </c>
    </row>
    <row r="196" spans="16:20" x14ac:dyDescent="0.3">
      <c r="P196" s="9"/>
      <c r="Q196" s="9">
        <v>186</v>
      </c>
      <c r="R196" s="9">
        <f t="shared" si="6"/>
        <v>2051.7380000000003</v>
      </c>
      <c r="S196" s="9">
        <f t="shared" si="7"/>
        <v>155.81819999999999</v>
      </c>
      <c r="T196" s="9">
        <f t="shared" si="8"/>
        <v>273.52260000000001</v>
      </c>
    </row>
    <row r="197" spans="16:20" x14ac:dyDescent="0.3">
      <c r="P197" s="9"/>
      <c r="Q197" s="9">
        <v>187</v>
      </c>
      <c r="R197" s="9">
        <f t="shared" si="6"/>
        <v>2050.221</v>
      </c>
      <c r="S197" s="9">
        <f t="shared" si="7"/>
        <v>156.5814</v>
      </c>
      <c r="T197" s="9">
        <f t="shared" si="8"/>
        <v>272.66669999999999</v>
      </c>
    </row>
    <row r="198" spans="16:20" x14ac:dyDescent="0.3">
      <c r="P198" s="9"/>
      <c r="Q198" s="9">
        <v>188</v>
      </c>
      <c r="R198" s="9">
        <f t="shared" si="6"/>
        <v>2048.7040000000002</v>
      </c>
      <c r="S198" s="9">
        <f t="shared" si="7"/>
        <v>157.34459999999999</v>
      </c>
      <c r="T198" s="9">
        <f t="shared" si="8"/>
        <v>271.81080000000003</v>
      </c>
    </row>
    <row r="199" spans="16:20" x14ac:dyDescent="0.3">
      <c r="P199" s="9"/>
      <c r="Q199" s="9">
        <v>189</v>
      </c>
      <c r="R199" s="9">
        <f t="shared" si="6"/>
        <v>2047.1870000000001</v>
      </c>
      <c r="S199" s="9">
        <f t="shared" si="7"/>
        <v>158.1078</v>
      </c>
      <c r="T199" s="9">
        <f t="shared" si="8"/>
        <v>270.95490000000007</v>
      </c>
    </row>
    <row r="200" spans="16:20" x14ac:dyDescent="0.3">
      <c r="P200" s="9"/>
      <c r="Q200" s="9">
        <v>190</v>
      </c>
      <c r="R200" s="9">
        <f t="shared" si="6"/>
        <v>2045.67</v>
      </c>
      <c r="S200" s="9">
        <f t="shared" si="7"/>
        <v>158.87100000000001</v>
      </c>
      <c r="T200" s="9">
        <f t="shared" si="8"/>
        <v>270.09900000000005</v>
      </c>
    </row>
    <row r="201" spans="16:20" x14ac:dyDescent="0.3">
      <c r="P201" s="9"/>
      <c r="Q201" s="9">
        <v>191</v>
      </c>
      <c r="R201" s="9">
        <f t="shared" si="6"/>
        <v>2044.1530000000002</v>
      </c>
      <c r="S201" s="9">
        <f t="shared" si="7"/>
        <v>159.63419999999999</v>
      </c>
      <c r="T201" s="9">
        <f t="shared" si="8"/>
        <v>269.24310000000003</v>
      </c>
    </row>
    <row r="202" spans="16:20" x14ac:dyDescent="0.3">
      <c r="P202" s="9"/>
      <c r="Q202" s="9">
        <v>192</v>
      </c>
      <c r="R202" s="9">
        <f t="shared" si="6"/>
        <v>2042.636</v>
      </c>
      <c r="S202" s="9">
        <f t="shared" si="7"/>
        <v>160.3974</v>
      </c>
      <c r="T202" s="9">
        <f t="shared" si="8"/>
        <v>268.38720000000001</v>
      </c>
    </row>
    <row r="203" spans="16:20" x14ac:dyDescent="0.3">
      <c r="P203" s="9"/>
      <c r="Q203" s="9">
        <v>193</v>
      </c>
      <c r="R203" s="9">
        <f t="shared" si="6"/>
        <v>2041.1190000000001</v>
      </c>
      <c r="S203" s="9">
        <f t="shared" si="7"/>
        <v>161.16059999999999</v>
      </c>
      <c r="T203" s="9">
        <f t="shared" si="8"/>
        <v>267.53129999999999</v>
      </c>
    </row>
    <row r="204" spans="16:20" x14ac:dyDescent="0.3">
      <c r="P204" s="9"/>
      <c r="Q204" s="9">
        <v>194</v>
      </c>
      <c r="R204" s="9">
        <f t="shared" ref="R204:R260" si="9">-1.517*Q204+2333.9</f>
        <v>2039.6020000000001</v>
      </c>
      <c r="S204" s="9">
        <f t="shared" ref="S204:S260" si="10">0.7632*Q204+13.863</f>
        <v>161.9238</v>
      </c>
      <c r="T204" s="9">
        <f t="shared" ref="T204:T260" si="11">-0.8559*Q204+432.72</f>
        <v>266.67540000000002</v>
      </c>
    </row>
    <row r="205" spans="16:20" x14ac:dyDescent="0.3">
      <c r="P205" s="9"/>
      <c r="Q205" s="9">
        <v>195</v>
      </c>
      <c r="R205" s="9">
        <f t="shared" si="9"/>
        <v>2038.085</v>
      </c>
      <c r="S205" s="9">
        <f t="shared" si="10"/>
        <v>162.68699999999998</v>
      </c>
      <c r="T205" s="9">
        <f t="shared" si="11"/>
        <v>265.81950000000006</v>
      </c>
    </row>
    <row r="206" spans="16:20" x14ac:dyDescent="0.3">
      <c r="P206" s="9"/>
      <c r="Q206" s="9">
        <v>196</v>
      </c>
      <c r="R206" s="9">
        <f t="shared" si="9"/>
        <v>2036.5680000000002</v>
      </c>
      <c r="S206" s="9">
        <f t="shared" si="10"/>
        <v>163.4502</v>
      </c>
      <c r="T206" s="9">
        <f t="shared" si="11"/>
        <v>264.96360000000004</v>
      </c>
    </row>
    <row r="207" spans="16:20" x14ac:dyDescent="0.3">
      <c r="P207" s="9"/>
      <c r="Q207" s="9">
        <v>197</v>
      </c>
      <c r="R207" s="9">
        <f t="shared" si="9"/>
        <v>2035.0510000000002</v>
      </c>
      <c r="S207" s="9">
        <f t="shared" si="10"/>
        <v>164.21340000000001</v>
      </c>
      <c r="T207" s="9">
        <f t="shared" si="11"/>
        <v>264.10770000000002</v>
      </c>
    </row>
    <row r="208" spans="16:20" x14ac:dyDescent="0.3">
      <c r="P208" s="9"/>
      <c r="Q208" s="9">
        <v>198</v>
      </c>
      <c r="R208" s="9">
        <f t="shared" si="9"/>
        <v>2033.5340000000001</v>
      </c>
      <c r="S208" s="9">
        <f t="shared" si="10"/>
        <v>164.97659999999999</v>
      </c>
      <c r="T208" s="9">
        <f t="shared" si="11"/>
        <v>263.2518</v>
      </c>
    </row>
    <row r="209" spans="16:20" x14ac:dyDescent="0.3">
      <c r="P209" s="9"/>
      <c r="Q209" s="9">
        <v>199</v>
      </c>
      <c r="R209" s="9">
        <f t="shared" si="9"/>
        <v>2032.0170000000001</v>
      </c>
      <c r="S209" s="9">
        <f t="shared" si="10"/>
        <v>165.7398</v>
      </c>
      <c r="T209" s="9">
        <f t="shared" si="11"/>
        <v>262.39590000000004</v>
      </c>
    </row>
    <row r="210" spans="16:20" x14ac:dyDescent="0.3">
      <c r="P210" s="9"/>
      <c r="Q210" s="9">
        <v>200</v>
      </c>
      <c r="R210" s="9">
        <f t="shared" si="9"/>
        <v>2030.5</v>
      </c>
      <c r="S210" s="9">
        <f t="shared" si="10"/>
        <v>166.50299999999999</v>
      </c>
      <c r="T210" s="9">
        <f t="shared" si="11"/>
        <v>261.54000000000002</v>
      </c>
    </row>
    <row r="211" spans="16:20" x14ac:dyDescent="0.3">
      <c r="P211" s="9"/>
      <c r="Q211" s="9">
        <v>201</v>
      </c>
      <c r="R211" s="9">
        <f t="shared" si="9"/>
        <v>2028.9830000000002</v>
      </c>
      <c r="S211" s="9">
        <f t="shared" si="10"/>
        <v>167.2662</v>
      </c>
      <c r="T211" s="9">
        <f t="shared" si="11"/>
        <v>260.68410000000006</v>
      </c>
    </row>
    <row r="212" spans="16:20" x14ac:dyDescent="0.3">
      <c r="P212" s="9"/>
      <c r="Q212" s="9">
        <v>202</v>
      </c>
      <c r="R212" s="9">
        <f t="shared" si="9"/>
        <v>2027.4660000000001</v>
      </c>
      <c r="S212" s="9">
        <f t="shared" si="10"/>
        <v>168.02940000000001</v>
      </c>
      <c r="T212" s="9">
        <f t="shared" si="11"/>
        <v>259.82820000000004</v>
      </c>
    </row>
    <row r="213" spans="16:20" x14ac:dyDescent="0.3">
      <c r="P213" s="9"/>
      <c r="Q213" s="9">
        <v>203</v>
      </c>
      <c r="R213" s="9">
        <f t="shared" si="9"/>
        <v>2025.9490000000001</v>
      </c>
      <c r="S213" s="9">
        <f t="shared" si="10"/>
        <v>168.79259999999999</v>
      </c>
      <c r="T213" s="9">
        <f t="shared" si="11"/>
        <v>258.97230000000002</v>
      </c>
    </row>
    <row r="214" spans="16:20" x14ac:dyDescent="0.3">
      <c r="P214" s="9"/>
      <c r="Q214" s="9">
        <v>204</v>
      </c>
      <c r="R214" s="9">
        <f t="shared" si="9"/>
        <v>2024.4320000000002</v>
      </c>
      <c r="S214" s="9">
        <f t="shared" si="10"/>
        <v>169.5558</v>
      </c>
      <c r="T214" s="9">
        <f t="shared" si="11"/>
        <v>258.1164</v>
      </c>
    </row>
    <row r="215" spans="16:20" x14ac:dyDescent="0.3">
      <c r="P215" s="9"/>
      <c r="Q215" s="9">
        <v>205</v>
      </c>
      <c r="R215" s="9">
        <f t="shared" si="9"/>
        <v>2022.9150000000002</v>
      </c>
      <c r="S215" s="9">
        <f t="shared" si="10"/>
        <v>170.31899999999999</v>
      </c>
      <c r="T215" s="9">
        <f t="shared" si="11"/>
        <v>257.26050000000004</v>
      </c>
    </row>
    <row r="216" spans="16:20" x14ac:dyDescent="0.3">
      <c r="P216" s="9"/>
      <c r="Q216" s="9">
        <v>206</v>
      </c>
      <c r="R216" s="9">
        <f t="shared" si="9"/>
        <v>2021.3980000000001</v>
      </c>
      <c r="S216" s="9">
        <f t="shared" si="10"/>
        <v>171.0822</v>
      </c>
      <c r="T216" s="9">
        <f t="shared" si="11"/>
        <v>256.40460000000002</v>
      </c>
    </row>
    <row r="217" spans="16:20" x14ac:dyDescent="0.3">
      <c r="P217" s="9"/>
      <c r="Q217" s="9">
        <v>207</v>
      </c>
      <c r="R217" s="9">
        <f t="shared" si="9"/>
        <v>2019.8810000000001</v>
      </c>
      <c r="S217" s="9">
        <f t="shared" si="10"/>
        <v>171.84539999999998</v>
      </c>
      <c r="T217" s="9">
        <f t="shared" si="11"/>
        <v>255.54870000000003</v>
      </c>
    </row>
    <row r="218" spans="16:20" x14ac:dyDescent="0.3">
      <c r="P218" s="9"/>
      <c r="Q218" s="9">
        <v>208</v>
      </c>
      <c r="R218" s="9">
        <f t="shared" si="9"/>
        <v>2018.364</v>
      </c>
      <c r="S218" s="9">
        <f t="shared" si="10"/>
        <v>172.6086</v>
      </c>
      <c r="T218" s="9">
        <f t="shared" si="11"/>
        <v>254.69280000000003</v>
      </c>
    </row>
    <row r="219" spans="16:20" x14ac:dyDescent="0.3">
      <c r="P219" s="9"/>
      <c r="Q219" s="9">
        <v>209</v>
      </c>
      <c r="R219" s="9">
        <f t="shared" si="9"/>
        <v>2016.8470000000002</v>
      </c>
      <c r="S219" s="9">
        <f t="shared" si="10"/>
        <v>173.37180000000001</v>
      </c>
      <c r="T219" s="9">
        <f t="shared" si="11"/>
        <v>253.83690000000004</v>
      </c>
    </row>
    <row r="220" spans="16:20" x14ac:dyDescent="0.3">
      <c r="P220" s="9"/>
      <c r="Q220" s="9">
        <v>210</v>
      </c>
      <c r="R220" s="9">
        <f t="shared" si="9"/>
        <v>2015.3300000000002</v>
      </c>
      <c r="S220" s="9">
        <f t="shared" si="10"/>
        <v>174.13499999999999</v>
      </c>
      <c r="T220" s="9">
        <f t="shared" si="11"/>
        <v>252.98100000000002</v>
      </c>
    </row>
    <row r="221" spans="16:20" x14ac:dyDescent="0.3">
      <c r="P221" s="9"/>
      <c r="Q221" s="9">
        <v>211</v>
      </c>
      <c r="R221" s="9">
        <f t="shared" si="9"/>
        <v>2013.8130000000001</v>
      </c>
      <c r="S221" s="9">
        <f t="shared" si="10"/>
        <v>174.8982</v>
      </c>
      <c r="T221" s="9">
        <f t="shared" si="11"/>
        <v>252.12510000000003</v>
      </c>
    </row>
    <row r="222" spans="16:20" x14ac:dyDescent="0.3">
      <c r="P222" s="9"/>
      <c r="Q222" s="9">
        <v>212</v>
      </c>
      <c r="R222" s="9">
        <f t="shared" si="9"/>
        <v>2012.296</v>
      </c>
      <c r="S222" s="9">
        <f t="shared" si="10"/>
        <v>175.66139999999999</v>
      </c>
      <c r="T222" s="9">
        <f t="shared" si="11"/>
        <v>251.26920000000004</v>
      </c>
    </row>
    <row r="223" spans="16:20" x14ac:dyDescent="0.3">
      <c r="P223" s="9"/>
      <c r="Q223" s="9">
        <v>213</v>
      </c>
      <c r="R223" s="9">
        <f t="shared" si="9"/>
        <v>2010.779</v>
      </c>
      <c r="S223" s="9">
        <f t="shared" si="10"/>
        <v>176.4246</v>
      </c>
      <c r="T223" s="9">
        <f t="shared" si="11"/>
        <v>250.41330000000002</v>
      </c>
    </row>
    <row r="224" spans="16:20" x14ac:dyDescent="0.3">
      <c r="P224" s="9"/>
      <c r="Q224" s="9">
        <v>214</v>
      </c>
      <c r="R224" s="9">
        <f t="shared" si="9"/>
        <v>2009.2620000000002</v>
      </c>
      <c r="S224" s="9">
        <f t="shared" si="10"/>
        <v>177.18780000000001</v>
      </c>
      <c r="T224" s="9">
        <f t="shared" si="11"/>
        <v>249.55740000000003</v>
      </c>
    </row>
    <row r="225" spans="16:20" x14ac:dyDescent="0.3">
      <c r="P225" s="9"/>
      <c r="Q225" s="9">
        <v>215</v>
      </c>
      <c r="R225" s="9">
        <f t="shared" si="9"/>
        <v>2007.7450000000001</v>
      </c>
      <c r="S225" s="9">
        <f t="shared" si="10"/>
        <v>177.95099999999999</v>
      </c>
      <c r="T225" s="9">
        <f t="shared" si="11"/>
        <v>248.70150000000004</v>
      </c>
    </row>
    <row r="226" spans="16:20" x14ac:dyDescent="0.3">
      <c r="P226" s="9"/>
      <c r="Q226" s="9">
        <v>216</v>
      </c>
      <c r="R226" s="9">
        <f t="shared" si="9"/>
        <v>2006.2280000000001</v>
      </c>
      <c r="S226" s="9">
        <f t="shared" si="10"/>
        <v>178.71420000000001</v>
      </c>
      <c r="T226" s="9">
        <f t="shared" si="11"/>
        <v>247.84560000000002</v>
      </c>
    </row>
    <row r="227" spans="16:20" x14ac:dyDescent="0.3">
      <c r="P227" s="9"/>
      <c r="Q227" s="9">
        <v>217</v>
      </c>
      <c r="R227" s="9">
        <f t="shared" si="9"/>
        <v>2004.7110000000002</v>
      </c>
      <c r="S227" s="9">
        <f t="shared" si="10"/>
        <v>179.47739999999999</v>
      </c>
      <c r="T227" s="9">
        <f t="shared" si="11"/>
        <v>246.98970000000003</v>
      </c>
    </row>
    <row r="228" spans="16:20" x14ac:dyDescent="0.3">
      <c r="P228" s="9"/>
      <c r="Q228" s="9">
        <v>218</v>
      </c>
      <c r="R228" s="9">
        <f t="shared" si="9"/>
        <v>2003.1940000000002</v>
      </c>
      <c r="S228" s="9">
        <f t="shared" si="10"/>
        <v>180.2406</v>
      </c>
      <c r="T228" s="9">
        <f t="shared" si="11"/>
        <v>246.13380000000004</v>
      </c>
    </row>
    <row r="229" spans="16:20" x14ac:dyDescent="0.3">
      <c r="P229" s="9"/>
      <c r="Q229" s="9">
        <v>219</v>
      </c>
      <c r="R229" s="9">
        <f t="shared" si="9"/>
        <v>2001.6770000000001</v>
      </c>
      <c r="S229" s="9">
        <f t="shared" si="10"/>
        <v>181.00379999999998</v>
      </c>
      <c r="T229" s="9">
        <f t="shared" si="11"/>
        <v>245.27790000000002</v>
      </c>
    </row>
    <row r="230" spans="16:20" x14ac:dyDescent="0.3">
      <c r="P230" s="9"/>
      <c r="Q230" s="9">
        <v>220</v>
      </c>
      <c r="R230" s="9">
        <f t="shared" si="9"/>
        <v>2000.16</v>
      </c>
      <c r="S230" s="9">
        <f t="shared" si="10"/>
        <v>181.767</v>
      </c>
      <c r="T230" s="9">
        <f t="shared" si="11"/>
        <v>244.42200000000003</v>
      </c>
    </row>
    <row r="231" spans="16:20" x14ac:dyDescent="0.3">
      <c r="P231" s="9"/>
      <c r="Q231" s="9">
        <v>221</v>
      </c>
      <c r="R231" s="9">
        <f t="shared" si="9"/>
        <v>1998.643</v>
      </c>
      <c r="S231" s="9">
        <f t="shared" si="10"/>
        <v>182.53020000000001</v>
      </c>
      <c r="T231" s="9">
        <f t="shared" si="11"/>
        <v>243.56610000000003</v>
      </c>
    </row>
    <row r="232" spans="16:20" x14ac:dyDescent="0.3">
      <c r="P232" s="9"/>
      <c r="Q232" s="9">
        <v>222</v>
      </c>
      <c r="R232" s="9">
        <f t="shared" si="9"/>
        <v>1997.1260000000002</v>
      </c>
      <c r="S232" s="9">
        <f t="shared" si="10"/>
        <v>183.29339999999999</v>
      </c>
      <c r="T232" s="9">
        <f t="shared" si="11"/>
        <v>242.71020000000001</v>
      </c>
    </row>
    <row r="233" spans="16:20" x14ac:dyDescent="0.3">
      <c r="P233" s="9"/>
      <c r="Q233" s="9">
        <v>223</v>
      </c>
      <c r="R233" s="9">
        <f t="shared" si="9"/>
        <v>1995.6090000000002</v>
      </c>
      <c r="S233" s="9">
        <f t="shared" si="10"/>
        <v>184.0566</v>
      </c>
      <c r="T233" s="9">
        <f t="shared" si="11"/>
        <v>241.85430000000002</v>
      </c>
    </row>
    <row r="234" spans="16:20" x14ac:dyDescent="0.3">
      <c r="P234" s="9"/>
      <c r="Q234" s="9">
        <v>224</v>
      </c>
      <c r="R234" s="9">
        <f t="shared" si="9"/>
        <v>1994.0920000000001</v>
      </c>
      <c r="S234" s="9">
        <f t="shared" si="10"/>
        <v>184.81979999999999</v>
      </c>
      <c r="T234" s="9">
        <f t="shared" si="11"/>
        <v>240.99840000000003</v>
      </c>
    </row>
    <row r="235" spans="16:20" x14ac:dyDescent="0.3">
      <c r="P235" s="9"/>
      <c r="Q235" s="9">
        <v>225</v>
      </c>
      <c r="R235" s="9">
        <f t="shared" si="9"/>
        <v>1992.575</v>
      </c>
      <c r="S235" s="9">
        <f t="shared" si="10"/>
        <v>185.583</v>
      </c>
      <c r="T235" s="9">
        <f t="shared" si="11"/>
        <v>240.14250000000004</v>
      </c>
    </row>
    <row r="236" spans="16:20" x14ac:dyDescent="0.3">
      <c r="P236" s="9"/>
      <c r="Q236" s="9">
        <v>226</v>
      </c>
      <c r="R236" s="9">
        <f t="shared" si="9"/>
        <v>1991.058</v>
      </c>
      <c r="S236" s="9">
        <f t="shared" si="10"/>
        <v>186.34620000000001</v>
      </c>
      <c r="T236" s="9">
        <f t="shared" si="11"/>
        <v>239.28660000000002</v>
      </c>
    </row>
    <row r="237" spans="16:20" x14ac:dyDescent="0.3">
      <c r="P237" s="9"/>
      <c r="Q237" s="9">
        <v>227</v>
      </c>
      <c r="R237" s="9">
        <f t="shared" si="9"/>
        <v>1989.5410000000002</v>
      </c>
      <c r="S237" s="9">
        <f t="shared" si="10"/>
        <v>187.10939999999999</v>
      </c>
      <c r="T237" s="9">
        <f t="shared" si="11"/>
        <v>238.43070000000003</v>
      </c>
    </row>
    <row r="238" spans="16:20" x14ac:dyDescent="0.3">
      <c r="P238" s="9"/>
      <c r="Q238" s="9">
        <v>228</v>
      </c>
      <c r="R238" s="9">
        <f t="shared" si="9"/>
        <v>1988.0240000000001</v>
      </c>
      <c r="S238" s="9">
        <f t="shared" si="10"/>
        <v>187.87260000000001</v>
      </c>
      <c r="T238" s="9">
        <f t="shared" si="11"/>
        <v>237.57480000000004</v>
      </c>
    </row>
    <row r="239" spans="16:20" x14ac:dyDescent="0.3">
      <c r="P239" s="9"/>
      <c r="Q239" s="9">
        <v>229</v>
      </c>
      <c r="R239" s="9">
        <f t="shared" si="9"/>
        <v>1986.5070000000001</v>
      </c>
      <c r="S239" s="9">
        <f t="shared" si="10"/>
        <v>188.63579999999999</v>
      </c>
      <c r="T239" s="9">
        <f t="shared" si="11"/>
        <v>236.71890000000002</v>
      </c>
    </row>
    <row r="240" spans="16:20" x14ac:dyDescent="0.3">
      <c r="P240" s="9"/>
      <c r="Q240" s="9">
        <v>230</v>
      </c>
      <c r="R240" s="9">
        <f t="shared" si="9"/>
        <v>1984.9900000000002</v>
      </c>
      <c r="S240" s="9">
        <f t="shared" si="10"/>
        <v>189.399</v>
      </c>
      <c r="T240" s="9">
        <f t="shared" si="11"/>
        <v>235.86300000000003</v>
      </c>
    </row>
    <row r="241" spans="16:20" x14ac:dyDescent="0.3">
      <c r="P241" s="9"/>
      <c r="Q241" s="9">
        <v>231</v>
      </c>
      <c r="R241" s="9">
        <f t="shared" si="9"/>
        <v>1983.4730000000002</v>
      </c>
      <c r="S241" s="9">
        <f t="shared" si="10"/>
        <v>190.16219999999998</v>
      </c>
      <c r="T241" s="9">
        <f t="shared" si="11"/>
        <v>235.00710000000004</v>
      </c>
    </row>
    <row r="242" spans="16:20" x14ac:dyDescent="0.3">
      <c r="P242" s="9"/>
      <c r="Q242" s="9">
        <v>232</v>
      </c>
      <c r="R242" s="9">
        <f t="shared" si="9"/>
        <v>1981.9560000000001</v>
      </c>
      <c r="S242" s="9">
        <f t="shared" si="10"/>
        <v>190.9254</v>
      </c>
      <c r="T242" s="9">
        <f t="shared" si="11"/>
        <v>234.15120000000002</v>
      </c>
    </row>
    <row r="243" spans="16:20" x14ac:dyDescent="0.3">
      <c r="P243" s="9"/>
      <c r="Q243" s="9">
        <v>233</v>
      </c>
      <c r="R243" s="9">
        <f t="shared" si="9"/>
        <v>1980.4390000000001</v>
      </c>
      <c r="S243" s="9">
        <f t="shared" si="10"/>
        <v>191.68860000000001</v>
      </c>
      <c r="T243" s="9">
        <f t="shared" si="11"/>
        <v>233.29530000000003</v>
      </c>
    </row>
    <row r="244" spans="16:20" x14ac:dyDescent="0.3">
      <c r="P244" s="9"/>
      <c r="Q244" s="9">
        <v>234</v>
      </c>
      <c r="R244" s="9">
        <f t="shared" si="9"/>
        <v>1978.922</v>
      </c>
      <c r="S244" s="9">
        <f t="shared" si="10"/>
        <v>192.45179999999999</v>
      </c>
      <c r="T244" s="9">
        <f t="shared" si="11"/>
        <v>232.43940000000003</v>
      </c>
    </row>
    <row r="245" spans="16:20" x14ac:dyDescent="0.3">
      <c r="P245" s="9"/>
      <c r="Q245" s="9">
        <v>235</v>
      </c>
      <c r="R245" s="9">
        <f t="shared" si="9"/>
        <v>1977.4050000000002</v>
      </c>
      <c r="S245" s="9">
        <f t="shared" si="10"/>
        <v>193.215</v>
      </c>
      <c r="T245" s="9">
        <f t="shared" si="11"/>
        <v>231.58350000000002</v>
      </c>
    </row>
    <row r="246" spans="16:20" x14ac:dyDescent="0.3">
      <c r="P246" s="9"/>
      <c r="Q246" s="9">
        <v>236</v>
      </c>
      <c r="R246" s="9">
        <f t="shared" si="9"/>
        <v>1975.8880000000001</v>
      </c>
      <c r="S246" s="9">
        <f t="shared" si="10"/>
        <v>193.97819999999999</v>
      </c>
      <c r="T246" s="9">
        <f t="shared" si="11"/>
        <v>230.72760000000002</v>
      </c>
    </row>
    <row r="247" spans="16:20" x14ac:dyDescent="0.3">
      <c r="P247" s="9"/>
      <c r="Q247" s="9">
        <v>237</v>
      </c>
      <c r="R247" s="9">
        <f t="shared" si="9"/>
        <v>1974.3710000000001</v>
      </c>
      <c r="S247" s="9">
        <f t="shared" si="10"/>
        <v>194.7414</v>
      </c>
      <c r="T247" s="9">
        <f t="shared" si="11"/>
        <v>229.87170000000003</v>
      </c>
    </row>
    <row r="248" spans="16:20" x14ac:dyDescent="0.3">
      <c r="P248" s="9"/>
      <c r="Q248" s="9">
        <v>238</v>
      </c>
      <c r="R248" s="9">
        <f t="shared" si="9"/>
        <v>1972.854</v>
      </c>
      <c r="S248" s="9">
        <f t="shared" si="10"/>
        <v>195.50460000000001</v>
      </c>
      <c r="T248" s="9">
        <f t="shared" si="11"/>
        <v>229.01580000000004</v>
      </c>
    </row>
    <row r="249" spans="16:20" x14ac:dyDescent="0.3">
      <c r="P249" s="9"/>
      <c r="Q249" s="9">
        <v>239</v>
      </c>
      <c r="R249" s="9">
        <f t="shared" si="9"/>
        <v>1971.337</v>
      </c>
      <c r="S249" s="9">
        <f t="shared" si="10"/>
        <v>196.26779999999999</v>
      </c>
      <c r="T249" s="9">
        <f t="shared" si="11"/>
        <v>228.15990000000002</v>
      </c>
    </row>
    <row r="250" spans="16:20" x14ac:dyDescent="0.3">
      <c r="P250" s="9"/>
      <c r="Q250" s="9">
        <v>240</v>
      </c>
      <c r="R250" s="9">
        <f t="shared" si="9"/>
        <v>1969.8200000000002</v>
      </c>
      <c r="S250" s="9">
        <f t="shared" si="10"/>
        <v>197.03100000000001</v>
      </c>
      <c r="T250" s="9">
        <f t="shared" si="11"/>
        <v>227.30400000000003</v>
      </c>
    </row>
    <row r="251" spans="16:20" x14ac:dyDescent="0.3">
      <c r="P251" s="9"/>
      <c r="Q251" s="9">
        <v>241</v>
      </c>
      <c r="R251" s="9">
        <f t="shared" si="9"/>
        <v>1968.3030000000001</v>
      </c>
      <c r="S251" s="9">
        <f t="shared" si="10"/>
        <v>197.79419999999999</v>
      </c>
      <c r="T251" s="9">
        <f t="shared" si="11"/>
        <v>226.44810000000004</v>
      </c>
    </row>
    <row r="252" spans="16:20" x14ac:dyDescent="0.3">
      <c r="P252" s="9"/>
      <c r="Q252" s="9">
        <v>242</v>
      </c>
      <c r="R252" s="9">
        <f t="shared" si="9"/>
        <v>1966.7860000000001</v>
      </c>
      <c r="S252" s="9">
        <f t="shared" si="10"/>
        <v>198.5574</v>
      </c>
      <c r="T252" s="9">
        <f t="shared" si="11"/>
        <v>225.59220000000002</v>
      </c>
    </row>
    <row r="253" spans="16:20" x14ac:dyDescent="0.3">
      <c r="P253" s="9"/>
      <c r="Q253" s="9">
        <v>243</v>
      </c>
      <c r="R253" s="9">
        <f t="shared" si="9"/>
        <v>1965.2690000000002</v>
      </c>
      <c r="S253" s="9">
        <f t="shared" si="10"/>
        <v>199.32059999999998</v>
      </c>
      <c r="T253" s="9">
        <f t="shared" si="11"/>
        <v>224.73630000000003</v>
      </c>
    </row>
    <row r="254" spans="16:20" x14ac:dyDescent="0.3">
      <c r="P254" s="9"/>
      <c r="Q254" s="9">
        <v>244</v>
      </c>
      <c r="R254" s="9">
        <f t="shared" si="9"/>
        <v>1963.7520000000002</v>
      </c>
      <c r="S254" s="9">
        <f t="shared" si="10"/>
        <v>200.0838</v>
      </c>
      <c r="T254" s="9">
        <f t="shared" si="11"/>
        <v>223.88040000000004</v>
      </c>
    </row>
    <row r="255" spans="16:20" x14ac:dyDescent="0.3">
      <c r="P255" s="9"/>
      <c r="Q255" s="9">
        <v>245</v>
      </c>
      <c r="R255" s="9">
        <f t="shared" si="9"/>
        <v>1962.2350000000001</v>
      </c>
      <c r="S255" s="9">
        <f t="shared" si="10"/>
        <v>200.84700000000001</v>
      </c>
      <c r="T255" s="9">
        <f t="shared" si="11"/>
        <v>223.02450000000002</v>
      </c>
    </row>
    <row r="256" spans="16:20" x14ac:dyDescent="0.3">
      <c r="P256" s="9"/>
      <c r="Q256" s="9">
        <v>246</v>
      </c>
      <c r="R256" s="9">
        <f t="shared" si="9"/>
        <v>1960.7180000000001</v>
      </c>
      <c r="S256" s="9">
        <f t="shared" si="10"/>
        <v>201.61019999999999</v>
      </c>
      <c r="T256" s="9">
        <f t="shared" si="11"/>
        <v>222.16860000000003</v>
      </c>
    </row>
    <row r="257" spans="16:20" x14ac:dyDescent="0.3">
      <c r="P257" s="9"/>
      <c r="Q257" s="9">
        <v>247</v>
      </c>
      <c r="R257" s="9">
        <f t="shared" si="9"/>
        <v>1959.201</v>
      </c>
      <c r="S257" s="9">
        <f t="shared" si="10"/>
        <v>202.3734</v>
      </c>
      <c r="T257" s="9">
        <f t="shared" si="11"/>
        <v>221.31270000000004</v>
      </c>
    </row>
    <row r="258" spans="16:20" x14ac:dyDescent="0.3">
      <c r="P258" s="9"/>
      <c r="Q258" s="9">
        <v>248</v>
      </c>
      <c r="R258" s="9">
        <f t="shared" si="9"/>
        <v>1957.6840000000002</v>
      </c>
      <c r="S258" s="9">
        <f t="shared" si="10"/>
        <v>203.13659999999999</v>
      </c>
      <c r="T258" s="9">
        <f t="shared" si="11"/>
        <v>220.45680000000002</v>
      </c>
    </row>
    <row r="259" spans="16:20" x14ac:dyDescent="0.3">
      <c r="P259" s="9"/>
      <c r="Q259" s="9">
        <v>249</v>
      </c>
      <c r="R259" s="9">
        <f t="shared" si="9"/>
        <v>1956.1670000000001</v>
      </c>
      <c r="S259" s="9">
        <f t="shared" si="10"/>
        <v>203.8998</v>
      </c>
      <c r="T259" s="9">
        <f t="shared" si="11"/>
        <v>219.60090000000002</v>
      </c>
    </row>
    <row r="260" spans="16:20" x14ac:dyDescent="0.3">
      <c r="P260" s="9"/>
      <c r="Q260" s="9">
        <v>250</v>
      </c>
      <c r="R260" s="9">
        <f t="shared" si="9"/>
        <v>1954.65</v>
      </c>
      <c r="S260" s="9">
        <f t="shared" si="10"/>
        <v>204.66300000000001</v>
      </c>
      <c r="T260" s="9">
        <f t="shared" si="11"/>
        <v>218.74500000000003</v>
      </c>
    </row>
  </sheetData>
  <mergeCells count="8">
    <mergeCell ref="G61:K61"/>
    <mergeCell ref="A9:E9"/>
    <mergeCell ref="A1:L1"/>
    <mergeCell ref="G32:K32"/>
    <mergeCell ref="B10:D10"/>
    <mergeCell ref="B51:D51"/>
    <mergeCell ref="B3:E3"/>
    <mergeCell ref="G22:I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5CCD-1CEE-4121-8480-2779A0DD4721}">
  <dimension ref="A2:AR100"/>
  <sheetViews>
    <sheetView topLeftCell="H58" zoomScale="55" zoomScaleNormal="55" workbookViewId="0">
      <selection activeCell="N90" sqref="N90"/>
    </sheetView>
  </sheetViews>
  <sheetFormatPr defaultRowHeight="13.8" x14ac:dyDescent="0.3"/>
  <cols>
    <col min="1" max="1" width="10" style="2" customWidth="1"/>
    <col min="2" max="2" width="43.88671875" style="2" bestFit="1" customWidth="1"/>
    <col min="3" max="3" width="19.21875" style="2" bestFit="1" customWidth="1"/>
    <col min="4" max="5" width="13.33203125" style="2" customWidth="1"/>
    <col min="6" max="6" width="11" style="2" bestFit="1" customWidth="1"/>
    <col min="7" max="7" width="12.44140625" style="2" bestFit="1" customWidth="1"/>
    <col min="8" max="10" width="1" style="2" customWidth="1"/>
    <col min="11" max="11" width="8.88671875" style="2" bestFit="1" customWidth="1"/>
    <col min="12" max="12" width="38.88671875" style="2" customWidth="1"/>
    <col min="13" max="43" width="22.21875" style="2" customWidth="1"/>
    <col min="44" max="16384" width="8.88671875" style="2"/>
  </cols>
  <sheetData>
    <row r="2" spans="1:44" ht="23.4" customHeight="1" x14ac:dyDescent="0.3">
      <c r="A2" s="107" t="s">
        <v>240</v>
      </c>
      <c r="B2" s="107"/>
      <c r="C2" s="107"/>
      <c r="D2" s="107"/>
      <c r="E2" s="107"/>
      <c r="F2" s="107"/>
      <c r="G2" s="107"/>
      <c r="H2" s="1"/>
      <c r="I2" s="1"/>
      <c r="K2" s="114" t="s">
        <v>241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</row>
    <row r="3" spans="1:44" s="4" customFormat="1" ht="41.4" x14ac:dyDescent="0.3">
      <c r="A3" s="55" t="s">
        <v>231</v>
      </c>
      <c r="B3" s="55" t="s">
        <v>0</v>
      </c>
      <c r="C3" s="56" t="s">
        <v>168</v>
      </c>
      <c r="D3" s="56" t="s">
        <v>101</v>
      </c>
      <c r="E3" s="56" t="s">
        <v>100</v>
      </c>
      <c r="F3" s="55" t="s">
        <v>234</v>
      </c>
      <c r="G3" s="55" t="s">
        <v>235</v>
      </c>
      <c r="K3" s="55" t="s">
        <v>31</v>
      </c>
      <c r="L3" s="55" t="s">
        <v>32</v>
      </c>
      <c r="M3" s="55" t="s">
        <v>63</v>
      </c>
      <c r="N3" s="56" t="s">
        <v>64</v>
      </c>
      <c r="O3" s="56" t="s">
        <v>2</v>
      </c>
      <c r="P3" s="56" t="s">
        <v>3</v>
      </c>
      <c r="Q3" s="56" t="s">
        <v>4</v>
      </c>
      <c r="R3" s="56" t="s">
        <v>5</v>
      </c>
      <c r="S3" s="56" t="s">
        <v>6</v>
      </c>
      <c r="T3" s="56" t="s">
        <v>7</v>
      </c>
      <c r="U3" s="56" t="s">
        <v>8</v>
      </c>
      <c r="V3" s="56" t="s">
        <v>9</v>
      </c>
      <c r="W3" s="56" t="s">
        <v>10</v>
      </c>
      <c r="X3" s="56" t="s">
        <v>11</v>
      </c>
      <c r="Y3" s="56" t="s">
        <v>12</v>
      </c>
      <c r="Z3" s="56" t="s">
        <v>13</v>
      </c>
      <c r="AA3" s="56" t="s">
        <v>14</v>
      </c>
      <c r="AB3" s="56" t="s">
        <v>15</v>
      </c>
      <c r="AC3" s="56" t="s">
        <v>16</v>
      </c>
      <c r="AD3" s="56" t="s">
        <v>17</v>
      </c>
      <c r="AE3" s="56" t="s">
        <v>18</v>
      </c>
      <c r="AF3" s="56" t="s">
        <v>19</v>
      </c>
      <c r="AG3" s="56" t="s">
        <v>20</v>
      </c>
      <c r="AH3" s="56" t="s">
        <v>21</v>
      </c>
      <c r="AI3" s="56" t="s">
        <v>22</v>
      </c>
      <c r="AJ3" s="56" t="s">
        <v>23</v>
      </c>
      <c r="AK3" s="56" t="s">
        <v>24</v>
      </c>
      <c r="AL3" s="56" t="s">
        <v>25</v>
      </c>
      <c r="AM3" s="56" t="s">
        <v>26</v>
      </c>
      <c r="AN3" s="56" t="s">
        <v>27</v>
      </c>
      <c r="AO3" s="56" t="s">
        <v>65</v>
      </c>
      <c r="AP3" s="56" t="s">
        <v>29</v>
      </c>
      <c r="AQ3" s="56" t="s">
        <v>30</v>
      </c>
    </row>
    <row r="4" spans="1:44" x14ac:dyDescent="0.3">
      <c r="A4" s="43" t="s">
        <v>232</v>
      </c>
      <c r="B4" s="44" t="s">
        <v>1</v>
      </c>
      <c r="C4" s="45" cm="1">
        <f t="array" ref="C4:C33">MMULT(MINVERSE(N4:AQ33),M4:M33)</f>
        <v>1302.083333333333</v>
      </c>
      <c r="D4" s="10">
        <v>930</v>
      </c>
      <c r="E4" s="10">
        <v>-3.1520000000000001</v>
      </c>
      <c r="F4" s="115">
        <f>SUM(C4:C7,C15:C16,C18:C19,C21,C23,,C29:C33,C27)</f>
        <v>3463.7113561628667</v>
      </c>
      <c r="G4" s="115">
        <f>SUM(C8:C14,C17,C20,C22,C24,C25:C26,C28)</f>
        <v>3463.8561208398705</v>
      </c>
      <c r="H4" s="6"/>
      <c r="I4" s="6"/>
      <c r="K4" s="10">
        <v>7.7</v>
      </c>
      <c r="L4" s="40" t="s">
        <v>33</v>
      </c>
      <c r="M4" s="10">
        <v>1000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2">
        <f>SUM(N4:AQ4)</f>
        <v>1</v>
      </c>
    </row>
    <row r="5" spans="1:44" x14ac:dyDescent="0.3">
      <c r="A5" s="43" t="s">
        <v>232</v>
      </c>
      <c r="B5" s="44" t="s">
        <v>2</v>
      </c>
      <c r="C5" s="45">
        <v>304.35414650774732</v>
      </c>
      <c r="D5" s="10">
        <v>930</v>
      </c>
      <c r="E5" s="10">
        <v>1.359</v>
      </c>
      <c r="F5" s="115"/>
      <c r="G5" s="115"/>
      <c r="H5" s="6"/>
      <c r="I5" s="6"/>
      <c r="K5" s="10">
        <v>32.200000000000003</v>
      </c>
      <c r="L5" s="40" t="s">
        <v>34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7.5300000000000006E-2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-1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2">
        <f t="shared" ref="AR5:AR33" si="0">SUM(N5:AQ5)</f>
        <v>-0.92469999999999997</v>
      </c>
    </row>
    <row r="6" spans="1:44" x14ac:dyDescent="0.3">
      <c r="A6" s="43" t="s">
        <v>232</v>
      </c>
      <c r="B6" s="44" t="s">
        <v>3</v>
      </c>
      <c r="C6" s="45">
        <v>325.94800434598966</v>
      </c>
      <c r="D6" s="10">
        <v>1200</v>
      </c>
      <c r="E6" s="10">
        <v>1.2390000000000001</v>
      </c>
      <c r="F6" s="115"/>
      <c r="G6" s="115"/>
      <c r="H6" s="6"/>
      <c r="I6" s="6"/>
      <c r="K6" s="10">
        <v>34.4</v>
      </c>
      <c r="L6" s="40" t="s">
        <v>35</v>
      </c>
      <c r="M6" s="10">
        <v>0</v>
      </c>
      <c r="N6" s="10">
        <v>0</v>
      </c>
      <c r="O6" s="10">
        <v>7.7799999999999994E-2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-1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2">
        <f t="shared" si="0"/>
        <v>-0.92220000000000002</v>
      </c>
    </row>
    <row r="7" spans="1:44" x14ac:dyDescent="0.3">
      <c r="A7" s="43" t="s">
        <v>232</v>
      </c>
      <c r="B7" s="44" t="s">
        <v>4</v>
      </c>
      <c r="C7" s="45">
        <v>1075.6284143417661</v>
      </c>
      <c r="D7" s="10">
        <v>1200</v>
      </c>
      <c r="E7" s="10">
        <v>1.339</v>
      </c>
      <c r="F7" s="115"/>
      <c r="G7" s="115"/>
      <c r="H7" s="6"/>
      <c r="I7" s="6"/>
      <c r="K7" s="10">
        <v>7.2</v>
      </c>
      <c r="L7" s="40" t="s">
        <v>36</v>
      </c>
      <c r="M7" s="10">
        <v>0</v>
      </c>
      <c r="N7" s="10">
        <v>-0.76800000000000002</v>
      </c>
      <c r="O7" s="10">
        <v>0</v>
      </c>
      <c r="P7" s="10">
        <v>0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2">
        <f t="shared" si="0"/>
        <v>0.23199999999999998</v>
      </c>
    </row>
    <row r="8" spans="1:44" x14ac:dyDescent="0.3">
      <c r="A8" s="47" t="s">
        <v>233</v>
      </c>
      <c r="B8" s="48" t="s">
        <v>5</v>
      </c>
      <c r="C8" s="49">
        <v>1000.0000000000002</v>
      </c>
      <c r="D8" s="10">
        <v>1500</v>
      </c>
      <c r="E8" s="10">
        <v>1.2689999999999999</v>
      </c>
      <c r="F8" s="115"/>
      <c r="G8" s="115"/>
      <c r="H8" s="6"/>
      <c r="I8" s="6"/>
      <c r="K8" s="10"/>
      <c r="L8" s="51" t="s">
        <v>37</v>
      </c>
      <c r="M8" s="10">
        <v>0</v>
      </c>
      <c r="N8" s="10">
        <v>-0.23200000000000001</v>
      </c>
      <c r="O8" s="10">
        <v>0</v>
      </c>
      <c r="P8" s="10">
        <v>-1</v>
      </c>
      <c r="Q8" s="10">
        <v>0</v>
      </c>
      <c r="R8" s="10">
        <v>0</v>
      </c>
      <c r="S8" s="10">
        <v>0</v>
      </c>
      <c r="T8" s="10">
        <v>0.57099999999999995</v>
      </c>
      <c r="U8" s="10">
        <v>0.72699999999999998</v>
      </c>
      <c r="V8" s="10">
        <v>0</v>
      </c>
      <c r="W8" s="10">
        <v>0</v>
      </c>
      <c r="X8" s="10">
        <v>0.88800000000000001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-1.1399999999999999</v>
      </c>
      <c r="AJ8" s="10">
        <v>-0.29099999999999998</v>
      </c>
      <c r="AK8" s="10">
        <v>0</v>
      </c>
      <c r="AL8" s="10">
        <v>0</v>
      </c>
      <c r="AM8" s="10">
        <v>-4.5999999999999999E-2</v>
      </c>
      <c r="AN8" s="10">
        <v>-1</v>
      </c>
      <c r="AO8" s="10">
        <v>-0.88800000000000001</v>
      </c>
      <c r="AP8" s="10">
        <v>-0.01</v>
      </c>
      <c r="AQ8" s="10">
        <v>0</v>
      </c>
      <c r="AR8" s="2">
        <f t="shared" si="0"/>
        <v>-2.4209999999999998</v>
      </c>
    </row>
    <row r="9" spans="1:44" x14ac:dyDescent="0.3">
      <c r="A9" s="47" t="s">
        <v>233</v>
      </c>
      <c r="B9" s="48" t="s">
        <v>6</v>
      </c>
      <c r="C9" s="49">
        <v>47.600000000000023</v>
      </c>
      <c r="D9" s="10">
        <v>1500</v>
      </c>
      <c r="E9" s="10">
        <v>5</v>
      </c>
      <c r="F9" s="115"/>
      <c r="G9" s="115"/>
      <c r="H9" s="6"/>
      <c r="I9" s="6"/>
      <c r="K9" s="10"/>
      <c r="L9" s="51" t="s">
        <v>38</v>
      </c>
      <c r="M9" s="10">
        <v>0</v>
      </c>
      <c r="N9" s="10">
        <v>0</v>
      </c>
      <c r="O9" s="10">
        <v>-1</v>
      </c>
      <c r="P9" s="10">
        <v>0</v>
      </c>
      <c r="Q9" s="10">
        <v>0</v>
      </c>
      <c r="R9" s="10">
        <v>0</v>
      </c>
      <c r="S9" s="10">
        <v>1</v>
      </c>
      <c r="T9" s="10">
        <v>0.42899999999999999</v>
      </c>
      <c r="U9" s="10">
        <v>0.27300000000000002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-0.81</v>
      </c>
      <c r="AN9" s="10">
        <v>0</v>
      </c>
      <c r="AO9" s="10">
        <v>0</v>
      </c>
      <c r="AP9" s="10">
        <v>-0.73399999999999999</v>
      </c>
      <c r="AQ9" s="10">
        <v>0</v>
      </c>
      <c r="AR9" s="2">
        <f t="shared" si="0"/>
        <v>-0.84200000000000008</v>
      </c>
    </row>
    <row r="10" spans="1:44" x14ac:dyDescent="0.3">
      <c r="A10" s="47" t="s">
        <v>233</v>
      </c>
      <c r="B10" s="48" t="s">
        <v>7</v>
      </c>
      <c r="C10" s="49">
        <v>611.60450683752151</v>
      </c>
      <c r="D10" s="10">
        <v>930</v>
      </c>
      <c r="E10" s="10">
        <v>-2.9260000000000002</v>
      </c>
      <c r="F10" s="115"/>
      <c r="G10" s="115"/>
      <c r="H10" s="6"/>
      <c r="I10" s="6"/>
      <c r="K10" s="10">
        <v>37.9</v>
      </c>
      <c r="L10" s="40" t="s">
        <v>39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-1</v>
      </c>
      <c r="Z10" s="10">
        <v>-1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2.14</v>
      </c>
      <c r="AJ10" s="10">
        <v>0</v>
      </c>
      <c r="AK10" s="10">
        <v>0</v>
      </c>
      <c r="AL10" s="10">
        <v>0</v>
      </c>
      <c r="AM10" s="10">
        <v>-5.6000000000000001E-2</v>
      </c>
      <c r="AN10" s="10">
        <v>0</v>
      </c>
      <c r="AO10" s="10">
        <v>0</v>
      </c>
      <c r="AP10" s="10">
        <v>0</v>
      </c>
      <c r="AQ10" s="10">
        <v>0</v>
      </c>
      <c r="AR10" s="2">
        <f t="shared" si="0"/>
        <v>1.0840000000000001</v>
      </c>
    </row>
    <row r="11" spans="1:44" x14ac:dyDescent="0.3">
      <c r="A11" s="47" t="s">
        <v>233</v>
      </c>
      <c r="B11" s="48" t="s">
        <v>8</v>
      </c>
      <c r="C11" s="49">
        <v>424.45352774523997</v>
      </c>
      <c r="D11" s="10">
        <v>930</v>
      </c>
      <c r="E11" s="10">
        <v>-7.9260000000000002</v>
      </c>
      <c r="F11" s="115"/>
      <c r="G11" s="115"/>
      <c r="H11" s="6"/>
      <c r="I11" s="6"/>
      <c r="K11" s="10"/>
      <c r="L11" s="51" t="s">
        <v>40</v>
      </c>
      <c r="M11" s="10">
        <v>0</v>
      </c>
      <c r="N11" s="10">
        <v>0</v>
      </c>
      <c r="O11" s="10">
        <v>0</v>
      </c>
      <c r="P11" s="10">
        <v>0</v>
      </c>
      <c r="Q11" s="10">
        <v>-1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-8.9999999999999993E-3</v>
      </c>
      <c r="AN11" s="10">
        <v>0</v>
      </c>
      <c r="AO11" s="10">
        <v>0</v>
      </c>
      <c r="AP11" s="10">
        <v>-1.7000000000000001E-2</v>
      </c>
      <c r="AQ11" s="10">
        <v>0</v>
      </c>
      <c r="AR11" s="2">
        <f t="shared" si="0"/>
        <v>-2.6000000000000002E-2</v>
      </c>
    </row>
    <row r="12" spans="1:44" x14ac:dyDescent="0.3">
      <c r="A12" s="47" t="s">
        <v>233</v>
      </c>
      <c r="B12" s="48" t="s">
        <v>9</v>
      </c>
      <c r="C12" s="49">
        <v>1076.978414341766</v>
      </c>
      <c r="D12" s="10">
        <v>930</v>
      </c>
      <c r="E12" s="10">
        <v>1.008</v>
      </c>
      <c r="F12" s="115"/>
      <c r="G12" s="115"/>
      <c r="H12" s="6"/>
      <c r="I12" s="6"/>
      <c r="K12" s="10">
        <v>7.6</v>
      </c>
      <c r="L12" s="40" t="s">
        <v>41</v>
      </c>
      <c r="M12" s="10">
        <v>0</v>
      </c>
      <c r="N12" s="10">
        <v>0</v>
      </c>
      <c r="O12" s="10">
        <v>0</v>
      </c>
      <c r="P12" s="10">
        <v>3.3</v>
      </c>
      <c r="Q12" s="10">
        <v>-1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2">
        <f t="shared" si="0"/>
        <v>2.2999999999999998</v>
      </c>
    </row>
    <row r="13" spans="1:44" x14ac:dyDescent="0.3">
      <c r="A13" s="47" t="s">
        <v>233</v>
      </c>
      <c r="B13" s="48" t="s">
        <v>10</v>
      </c>
      <c r="C13" s="49">
        <v>6.3707517616186982</v>
      </c>
      <c r="F13" s="115"/>
      <c r="G13" s="115"/>
      <c r="H13" s="6"/>
      <c r="I13" s="6"/>
      <c r="K13" s="10">
        <v>7.9</v>
      </c>
      <c r="L13" s="40" t="s">
        <v>42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0.69399999999999995</v>
      </c>
      <c r="U13" s="10">
        <v>-1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2">
        <f t="shared" si="0"/>
        <v>-0.30600000000000005</v>
      </c>
    </row>
    <row r="14" spans="1:44" x14ac:dyDescent="0.3">
      <c r="A14" s="47" t="s">
        <v>233</v>
      </c>
      <c r="B14" s="48" t="s">
        <v>11</v>
      </c>
      <c r="C14" s="49">
        <v>34.656889583205718</v>
      </c>
      <c r="F14" s="115"/>
      <c r="G14" s="115"/>
      <c r="H14" s="6"/>
      <c r="I14" s="6"/>
      <c r="K14" s="10">
        <v>36.299999999999997</v>
      </c>
      <c r="L14" s="40" t="s">
        <v>43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4.7600000000000003E-2</v>
      </c>
      <c r="S14" s="10">
        <v>-1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2">
        <f t="shared" si="0"/>
        <v>-0.95240000000000002</v>
      </c>
    </row>
    <row r="15" spans="1:44" x14ac:dyDescent="0.3">
      <c r="A15" s="43" t="s">
        <v>232</v>
      </c>
      <c r="B15" s="44" t="s">
        <v>12</v>
      </c>
      <c r="C15" s="45">
        <v>75.300000000000026</v>
      </c>
      <c r="F15" s="115"/>
      <c r="G15" s="115"/>
      <c r="H15" s="6"/>
      <c r="I15" s="6"/>
      <c r="K15" s="10">
        <v>34.200000000000003</v>
      </c>
      <c r="L15" s="40" t="s">
        <v>44</v>
      </c>
      <c r="M15" s="10">
        <v>0</v>
      </c>
      <c r="N15" s="10">
        <v>0</v>
      </c>
      <c r="O15" s="10">
        <v>3.3300000000000003E-2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-1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2">
        <f t="shared" si="0"/>
        <v>-0.9667</v>
      </c>
    </row>
    <row r="16" spans="1:44" x14ac:dyDescent="0.3">
      <c r="A16" s="43" t="s">
        <v>232</v>
      </c>
      <c r="B16" s="44" t="s">
        <v>13</v>
      </c>
      <c r="C16" s="45">
        <v>23.678752598302726</v>
      </c>
      <c r="F16" s="115"/>
      <c r="G16" s="115"/>
      <c r="H16" s="6"/>
      <c r="I16" s="6"/>
      <c r="K16" s="10">
        <v>32.5</v>
      </c>
      <c r="L16" s="40" t="s">
        <v>45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0.25600000000000001</v>
      </c>
      <c r="AB16" s="10">
        <v>0</v>
      </c>
      <c r="AC16" s="10">
        <v>0</v>
      </c>
      <c r="AD16" s="10">
        <v>-1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2">
        <f t="shared" si="0"/>
        <v>-0.74399999999999999</v>
      </c>
    </row>
    <row r="17" spans="1:44" x14ac:dyDescent="0.3">
      <c r="A17" s="47" t="s">
        <v>233</v>
      </c>
      <c r="B17" s="48" t="s">
        <v>14</v>
      </c>
      <c r="C17" s="49">
        <v>98.326552598302754</v>
      </c>
      <c r="F17" s="115"/>
      <c r="G17" s="115"/>
      <c r="H17" s="6"/>
      <c r="I17" s="6"/>
      <c r="K17" s="10">
        <v>37.700000000000003</v>
      </c>
      <c r="L17" s="40" t="s">
        <v>46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-1</v>
      </c>
      <c r="AC17" s="10">
        <v>-1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-2.4E-2</v>
      </c>
      <c r="AN17" s="10">
        <v>0</v>
      </c>
      <c r="AO17" s="10">
        <v>0</v>
      </c>
      <c r="AP17" s="10">
        <v>0</v>
      </c>
      <c r="AQ17" s="10">
        <v>0</v>
      </c>
      <c r="AR17" s="2">
        <f t="shared" si="0"/>
        <v>-1.024</v>
      </c>
    </row>
    <row r="18" spans="1:44" x14ac:dyDescent="0.3">
      <c r="A18" s="43" t="s">
        <v>232</v>
      </c>
      <c r="B18" s="44" t="s">
        <v>15</v>
      </c>
      <c r="C18" s="45">
        <v>11.436604386457521</v>
      </c>
      <c r="F18" s="115"/>
      <c r="G18" s="115"/>
      <c r="H18" s="6"/>
      <c r="I18" s="6"/>
      <c r="K18" s="10">
        <v>32.6</v>
      </c>
      <c r="L18" s="40" t="s">
        <v>47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1.05</v>
      </c>
      <c r="AB18" s="10">
        <v>0</v>
      </c>
      <c r="AC18" s="10">
        <v>0</v>
      </c>
      <c r="AD18" s="10">
        <v>0</v>
      </c>
      <c r="AE18" s="10">
        <v>0</v>
      </c>
      <c r="AF18" s="10">
        <v>-1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2">
        <f t="shared" si="0"/>
        <v>5.0000000000000044E-2</v>
      </c>
    </row>
    <row r="19" spans="1:44" x14ac:dyDescent="0.3">
      <c r="A19" s="43" t="s">
        <v>232</v>
      </c>
      <c r="B19" s="44" t="s">
        <v>16</v>
      </c>
      <c r="C19" s="45">
        <v>10.134993078707986</v>
      </c>
      <c r="F19" s="115"/>
      <c r="G19" s="115"/>
      <c r="H19" s="6"/>
      <c r="I19" s="6"/>
      <c r="K19" s="10">
        <v>32.9</v>
      </c>
      <c r="L19" s="40" t="s">
        <v>48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-1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2">
        <f t="shared" si="0"/>
        <v>0</v>
      </c>
    </row>
    <row r="20" spans="1:44" x14ac:dyDescent="0.3">
      <c r="A20" s="47" t="s">
        <v>233</v>
      </c>
      <c r="B20" s="48" t="s">
        <v>17</v>
      </c>
      <c r="C20" s="49">
        <v>25.171597465165512</v>
      </c>
      <c r="F20" s="115"/>
      <c r="G20" s="115"/>
      <c r="H20" s="6"/>
      <c r="I20" s="6"/>
      <c r="K20" s="10">
        <v>32.700000000000003</v>
      </c>
      <c r="L20" s="40" t="s">
        <v>49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0.25600000000000001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-1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2">
        <f t="shared" si="0"/>
        <v>-0.74399999999999999</v>
      </c>
    </row>
    <row r="21" spans="1:44" x14ac:dyDescent="0.3">
      <c r="A21" s="43" t="s">
        <v>232</v>
      </c>
      <c r="B21" s="44" t="s">
        <v>18</v>
      </c>
      <c r="C21" s="45">
        <v>103.2428802282179</v>
      </c>
      <c r="F21" s="115"/>
      <c r="G21" s="115"/>
      <c r="H21" s="6"/>
      <c r="I21" s="6"/>
      <c r="K21" s="10">
        <v>32.1</v>
      </c>
      <c r="L21" s="40" t="s">
        <v>50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-1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2">
        <f t="shared" si="0"/>
        <v>0</v>
      </c>
    </row>
    <row r="22" spans="1:44" x14ac:dyDescent="0.3">
      <c r="A22" s="47" t="s">
        <v>233</v>
      </c>
      <c r="B22" s="48" t="s">
        <v>19</v>
      </c>
      <c r="C22" s="49">
        <v>103.2428802282179</v>
      </c>
      <c r="F22" s="115"/>
      <c r="G22" s="115"/>
      <c r="H22" s="6"/>
      <c r="I22" s="6"/>
      <c r="K22" s="10"/>
      <c r="L22" s="51" t="s">
        <v>51</v>
      </c>
      <c r="M22" s="10">
        <v>-320</v>
      </c>
      <c r="N22" s="42">
        <v>3.1520000000000001</v>
      </c>
      <c r="O22" s="10">
        <v>-1.359</v>
      </c>
      <c r="P22" s="10">
        <v>-1.2390000000000001</v>
      </c>
      <c r="Q22" s="10">
        <v>-1.339</v>
      </c>
      <c r="R22" s="10">
        <v>1.2689999999999999</v>
      </c>
      <c r="S22" s="10">
        <v>5</v>
      </c>
      <c r="T22" s="10">
        <v>-2.9260000000000002</v>
      </c>
      <c r="U22" s="10">
        <v>-7.9260000000000002</v>
      </c>
      <c r="V22" s="10">
        <v>1.008</v>
      </c>
      <c r="W22" s="10">
        <v>13.35</v>
      </c>
      <c r="X22" s="10">
        <v>-11.49</v>
      </c>
      <c r="Y22" s="10">
        <v>14.13</v>
      </c>
      <c r="Z22" s="10">
        <v>14.13</v>
      </c>
      <c r="AA22" s="10">
        <v>-13.28</v>
      </c>
      <c r="AB22" s="10">
        <v>15.41</v>
      </c>
      <c r="AC22" s="10">
        <v>15.41</v>
      </c>
      <c r="AD22" s="10">
        <v>-13.58</v>
      </c>
      <c r="AE22" s="10">
        <v>10.5</v>
      </c>
      <c r="AF22" s="10">
        <v>-8.4949999999999992</v>
      </c>
      <c r="AG22" s="10">
        <v>13.84</v>
      </c>
      <c r="AH22" s="10">
        <v>-11.14</v>
      </c>
      <c r="AI22" s="10">
        <v>-2.15</v>
      </c>
      <c r="AJ22" s="10">
        <v>1.27</v>
      </c>
      <c r="AK22" s="10">
        <v>4.7699999999999996</v>
      </c>
      <c r="AL22" s="10">
        <v>-3.53</v>
      </c>
      <c r="AM22" s="10">
        <v>1.2</v>
      </c>
      <c r="AN22" s="10">
        <v>-1.2390000000000001</v>
      </c>
      <c r="AO22" s="10">
        <v>10.81</v>
      </c>
      <c r="AP22" s="10">
        <v>4.5199999999999996</v>
      </c>
      <c r="AQ22" s="10">
        <v>0</v>
      </c>
      <c r="AR22" s="2">
        <f t="shared" si="0"/>
        <v>50.076000000000008</v>
      </c>
    </row>
    <row r="23" spans="1:44" x14ac:dyDescent="0.3">
      <c r="A23" s="43" t="s">
        <v>232</v>
      </c>
      <c r="B23" s="44" t="s">
        <v>20</v>
      </c>
      <c r="C23" s="45">
        <v>25.171597465165508</v>
      </c>
      <c r="F23" s="115"/>
      <c r="G23" s="115"/>
      <c r="H23" s="6"/>
      <c r="I23" s="6"/>
      <c r="K23" s="10">
        <v>36.4</v>
      </c>
      <c r="L23" s="40" t="s">
        <v>52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4.2300000000000003E-3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-1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2">
        <f t="shared" si="0"/>
        <v>-0.99577000000000004</v>
      </c>
    </row>
    <row r="24" spans="1:44" x14ac:dyDescent="0.3">
      <c r="A24" s="47" t="s">
        <v>233</v>
      </c>
      <c r="B24" s="48" t="s">
        <v>21</v>
      </c>
      <c r="C24" s="49">
        <v>25.171597465165508</v>
      </c>
      <c r="D24" s="6"/>
      <c r="E24" s="6"/>
      <c r="F24" s="115"/>
      <c r="G24" s="115"/>
      <c r="H24" s="6"/>
      <c r="I24" s="6"/>
      <c r="K24" s="10">
        <v>36.5</v>
      </c>
      <c r="L24" s="40" t="s">
        <v>53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5.2900000000000004E-3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-1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2">
        <f t="shared" si="0"/>
        <v>-0.99470999999999998</v>
      </c>
    </row>
    <row r="25" spans="1:44" x14ac:dyDescent="0.3">
      <c r="A25" s="47" t="s">
        <v>233</v>
      </c>
      <c r="B25" s="48" t="s">
        <v>22</v>
      </c>
      <c r="C25" s="49">
        <v>4.2300000000000004</v>
      </c>
      <c r="F25" s="115"/>
      <c r="G25" s="115"/>
      <c r="H25" s="6"/>
      <c r="I25" s="6"/>
      <c r="K25" s="10">
        <v>36.700000000000003</v>
      </c>
      <c r="L25" s="40" t="s">
        <v>54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1</v>
      </c>
      <c r="AK25" s="10">
        <v>-0.77400000000000002</v>
      </c>
      <c r="AL25" s="10">
        <v>0.77400000000000002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2">
        <f t="shared" si="0"/>
        <v>1</v>
      </c>
    </row>
    <row r="26" spans="1:44" x14ac:dyDescent="0.3">
      <c r="A26" s="47" t="s">
        <v>233</v>
      </c>
      <c r="B26" s="48" t="s">
        <v>23</v>
      </c>
      <c r="C26" s="49">
        <v>5.2900000000000009</v>
      </c>
      <c r="F26" s="115"/>
      <c r="G26" s="115"/>
      <c r="H26" s="6"/>
      <c r="I26" s="6"/>
      <c r="K26" s="10">
        <v>36.9</v>
      </c>
      <c r="L26" s="40" t="s">
        <v>55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-0.1</v>
      </c>
      <c r="AL26" s="10">
        <v>1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2">
        <f t="shared" si="0"/>
        <v>0.9</v>
      </c>
    </row>
    <row r="27" spans="1:44" x14ac:dyDescent="0.3">
      <c r="A27" s="43" t="s">
        <v>232</v>
      </c>
      <c r="B27" s="44" t="s">
        <v>24</v>
      </c>
      <c r="C27" s="45">
        <v>7.5940281366637974</v>
      </c>
      <c r="F27" s="115"/>
      <c r="G27" s="115"/>
      <c r="H27" s="6"/>
      <c r="I27" s="6"/>
      <c r="K27" s="10"/>
      <c r="L27" s="51" t="s">
        <v>56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0.112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-5.6000000000000001E-2</v>
      </c>
      <c r="AN27" s="10">
        <v>0</v>
      </c>
      <c r="AO27" s="10">
        <v>-0.112</v>
      </c>
      <c r="AP27" s="10">
        <v>-0.24</v>
      </c>
      <c r="AQ27" s="10">
        <v>0</v>
      </c>
      <c r="AR27" s="2">
        <f t="shared" si="0"/>
        <v>0.70400000000000007</v>
      </c>
    </row>
    <row r="28" spans="1:44" x14ac:dyDescent="0.3">
      <c r="A28" s="47" t="s">
        <v>233</v>
      </c>
      <c r="B28" s="48" t="s">
        <v>25</v>
      </c>
      <c r="C28" s="49">
        <v>0.75940281366637974</v>
      </c>
      <c r="F28" s="115"/>
      <c r="G28" s="115"/>
      <c r="H28" s="6"/>
      <c r="I28" s="6"/>
      <c r="K28" s="10">
        <v>11.8</v>
      </c>
      <c r="L28" s="40" t="s">
        <v>57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5.44</v>
      </c>
      <c r="X28" s="10">
        <v>-1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2">
        <f t="shared" si="0"/>
        <v>4.4400000000000004</v>
      </c>
    </row>
    <row r="29" spans="1:44" x14ac:dyDescent="0.3">
      <c r="A29" s="43" t="s">
        <v>232</v>
      </c>
      <c r="B29" s="44" t="s">
        <v>26</v>
      </c>
      <c r="C29" s="45">
        <v>150</v>
      </c>
      <c r="F29" s="115"/>
      <c r="G29" s="115"/>
      <c r="H29" s="6"/>
      <c r="I29" s="6"/>
      <c r="K29" s="10">
        <v>37.200000000000003</v>
      </c>
      <c r="L29" s="82" t="s">
        <v>58</v>
      </c>
      <c r="M29" s="81">
        <f>'PCI &amp; Oxi Case'!H27</f>
        <v>150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0</v>
      </c>
      <c r="AP29" s="10">
        <v>0</v>
      </c>
      <c r="AQ29" s="10">
        <v>0</v>
      </c>
      <c r="AR29" s="2">
        <f t="shared" si="0"/>
        <v>1</v>
      </c>
    </row>
    <row r="30" spans="1:44" x14ac:dyDescent="0.3">
      <c r="A30" s="43" t="s">
        <v>232</v>
      </c>
      <c r="B30" s="44" t="s">
        <v>27</v>
      </c>
      <c r="C30" s="45">
        <v>32.6</v>
      </c>
      <c r="F30" s="115"/>
      <c r="G30" s="115"/>
      <c r="H30" s="6"/>
      <c r="I30" s="6"/>
      <c r="K30" s="10">
        <v>9.1</v>
      </c>
      <c r="L30" s="82" t="s">
        <v>59</v>
      </c>
      <c r="M30" s="81">
        <f>'PCI &amp; Oxi Case'!H28</f>
        <v>32.6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2">
        <f t="shared" si="0"/>
        <v>1</v>
      </c>
    </row>
    <row r="31" spans="1:44" x14ac:dyDescent="0.3">
      <c r="A31" s="43" t="s">
        <v>232</v>
      </c>
      <c r="B31" s="44" t="s">
        <v>28</v>
      </c>
      <c r="C31" s="45">
        <v>16.538601740515521</v>
      </c>
      <c r="F31" s="115"/>
      <c r="G31" s="115"/>
      <c r="H31" s="6"/>
      <c r="I31" s="6"/>
      <c r="K31" s="10">
        <v>12.2</v>
      </c>
      <c r="L31" s="40" t="s">
        <v>60</v>
      </c>
      <c r="M31" s="10">
        <v>0</v>
      </c>
      <c r="N31" s="10">
        <v>0</v>
      </c>
      <c r="O31" s="10">
        <v>0</v>
      </c>
      <c r="P31" s="10">
        <v>1.18E-2</v>
      </c>
      <c r="Q31" s="10">
        <v>1.18E-2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-1</v>
      </c>
      <c r="AP31" s="10">
        <v>0</v>
      </c>
      <c r="AQ31" s="10">
        <v>0</v>
      </c>
      <c r="AR31" s="2">
        <f t="shared" si="0"/>
        <v>-0.97640000000000005</v>
      </c>
    </row>
    <row r="32" spans="1:44" x14ac:dyDescent="0.3">
      <c r="A32" s="43" t="s">
        <v>232</v>
      </c>
      <c r="B32" s="44" t="s">
        <v>29</v>
      </c>
      <c r="C32" s="45">
        <v>0</v>
      </c>
      <c r="F32" s="115"/>
      <c r="G32" s="115"/>
      <c r="H32" s="6"/>
      <c r="I32" s="6"/>
      <c r="K32" s="10">
        <v>29.1</v>
      </c>
      <c r="L32" s="40" t="s">
        <v>61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2">
        <f t="shared" si="0"/>
        <v>1</v>
      </c>
    </row>
    <row r="33" spans="1:44" x14ac:dyDescent="0.3">
      <c r="A33" s="43" t="s">
        <v>232</v>
      </c>
      <c r="B33" s="44" t="s">
        <v>30</v>
      </c>
      <c r="C33" s="45">
        <v>0</v>
      </c>
      <c r="F33" s="115"/>
      <c r="G33" s="115"/>
      <c r="H33" s="6"/>
      <c r="I33" s="6"/>
      <c r="K33" s="10"/>
      <c r="L33" s="40" t="s">
        <v>62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2">
        <f t="shared" si="0"/>
        <v>1</v>
      </c>
    </row>
    <row r="36" spans="1:44" ht="23.4" customHeight="1" x14ac:dyDescent="0.3">
      <c r="A36" s="107" t="s">
        <v>242</v>
      </c>
      <c r="B36" s="107"/>
      <c r="C36" s="107"/>
      <c r="D36" s="107"/>
      <c r="E36" s="107"/>
      <c r="F36" s="107"/>
      <c r="G36" s="57"/>
      <c r="K36" s="107" t="s">
        <v>243</v>
      </c>
      <c r="L36" s="107"/>
      <c r="M36" s="107"/>
      <c r="N36" s="107"/>
      <c r="O36" s="107"/>
      <c r="P36" s="107"/>
      <c r="Q36" s="5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44" ht="41.4" x14ac:dyDescent="0.3">
      <c r="A37" s="55" t="s">
        <v>231</v>
      </c>
      <c r="B37" s="55" t="s">
        <v>95</v>
      </c>
      <c r="C37" s="56" t="s">
        <v>168</v>
      </c>
      <c r="D37" s="56" t="s">
        <v>101</v>
      </c>
      <c r="E37" s="56" t="s">
        <v>100</v>
      </c>
      <c r="F37" s="55" t="s">
        <v>234</v>
      </c>
      <c r="G37" s="55" t="s">
        <v>235</v>
      </c>
      <c r="H37" s="4"/>
      <c r="I37" s="4"/>
      <c r="J37" s="4"/>
      <c r="K37" s="55" t="s">
        <v>31</v>
      </c>
      <c r="L37" s="55" t="s">
        <v>32</v>
      </c>
      <c r="M37" s="55" t="s">
        <v>66</v>
      </c>
      <c r="N37" s="56" t="s">
        <v>67</v>
      </c>
      <c r="O37" s="56" t="s">
        <v>68</v>
      </c>
      <c r="P37" s="56" t="s">
        <v>69</v>
      </c>
      <c r="Q37" s="56" t="s">
        <v>70</v>
      </c>
      <c r="R37" s="56" t="s">
        <v>71</v>
      </c>
      <c r="S37" s="56" t="s">
        <v>72</v>
      </c>
      <c r="T37" s="56" t="s">
        <v>73</v>
      </c>
      <c r="U37" s="56" t="s">
        <v>74</v>
      </c>
      <c r="V37" s="56" t="s">
        <v>75</v>
      </c>
      <c r="W37" s="56" t="s">
        <v>76</v>
      </c>
      <c r="X37" s="56" t="s">
        <v>77</v>
      </c>
      <c r="Y37" s="56" t="s">
        <v>78</v>
      </c>
      <c r="Z37" s="56" t="s">
        <v>79</v>
      </c>
      <c r="AA37" s="56" t="s">
        <v>80</v>
      </c>
      <c r="AB37" s="56" t="s">
        <v>81</v>
      </c>
    </row>
    <row r="38" spans="1:44" x14ac:dyDescent="0.3">
      <c r="A38" s="10" t="s">
        <v>232</v>
      </c>
      <c r="B38" s="40" t="s">
        <v>67</v>
      </c>
      <c r="C38" s="38" cm="1">
        <f t="array" ref="C38:C52">MMULT(MINVERSE(N38:AB52),M38:M52)</f>
        <v>325.94800434598966</v>
      </c>
      <c r="D38" s="38">
        <v>960</v>
      </c>
      <c r="E38" s="39">
        <v>1.2390000000000001</v>
      </c>
      <c r="F38" s="115">
        <f>SUM(C38:C42,C48:C52)</f>
        <v>1783.0465445839623</v>
      </c>
      <c r="G38" s="115">
        <f>SUM(C43:C47)</f>
        <v>1783.0465445839623</v>
      </c>
      <c r="H38" s="7"/>
      <c r="I38" s="7"/>
      <c r="J38" s="2">
        <f>C38*E38</f>
        <v>403.8495773846812</v>
      </c>
      <c r="K38" s="10">
        <v>39.700000000000003</v>
      </c>
      <c r="L38" s="40" t="s">
        <v>67</v>
      </c>
      <c r="M38" s="38">
        <f>C6</f>
        <v>325.94800434598966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</row>
    <row r="39" spans="1:44" x14ac:dyDescent="0.3">
      <c r="A39" s="10" t="s">
        <v>232</v>
      </c>
      <c r="B39" s="40" t="s">
        <v>68</v>
      </c>
      <c r="C39" s="38">
        <v>1075.6284143417661</v>
      </c>
      <c r="D39" s="38">
        <v>1200</v>
      </c>
      <c r="E39" s="42">
        <v>1.339</v>
      </c>
      <c r="F39" s="115"/>
      <c r="G39" s="115"/>
      <c r="H39" s="7"/>
      <c r="I39" s="7"/>
      <c r="J39" s="2">
        <f>C39*E39</f>
        <v>1440.2664468036248</v>
      </c>
      <c r="K39" s="10">
        <v>39.799999999999997</v>
      </c>
      <c r="L39" s="40" t="s">
        <v>68</v>
      </c>
      <c r="M39" s="38">
        <f>C7</f>
        <v>1075.6284143417661</v>
      </c>
      <c r="N39" s="10">
        <v>0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</row>
    <row r="40" spans="1:44" x14ac:dyDescent="0.3">
      <c r="A40" s="10" t="s">
        <v>232</v>
      </c>
      <c r="B40" s="40" t="s">
        <v>69</v>
      </c>
      <c r="C40" s="38">
        <v>164.10001274024947</v>
      </c>
      <c r="D40" s="38">
        <v>25</v>
      </c>
      <c r="E40" s="39">
        <v>2.448</v>
      </c>
      <c r="F40" s="115"/>
      <c r="G40" s="115"/>
      <c r="H40" s="7"/>
      <c r="I40" s="7"/>
      <c r="J40" s="2">
        <f>C40*E40</f>
        <v>401.7168311881307</v>
      </c>
      <c r="K40" s="10">
        <v>39.9</v>
      </c>
      <c r="L40" s="40" t="s">
        <v>82</v>
      </c>
      <c r="M40" s="38">
        <v>0</v>
      </c>
      <c r="N40" s="10">
        <v>-1</v>
      </c>
      <c r="O40" s="10">
        <v>0</v>
      </c>
      <c r="P40" s="10">
        <v>0</v>
      </c>
      <c r="Q40" s="10">
        <v>0</v>
      </c>
      <c r="R40" s="10">
        <v>0</v>
      </c>
      <c r="S40" s="10">
        <v>0.57099999999999995</v>
      </c>
      <c r="T40" s="10">
        <v>0</v>
      </c>
      <c r="U40" s="10">
        <v>0</v>
      </c>
      <c r="V40" s="10">
        <v>0</v>
      </c>
      <c r="W40" s="10">
        <v>0</v>
      </c>
      <c r="X40" s="10">
        <v>-4.5999999999999999E-2</v>
      </c>
      <c r="Y40" s="10">
        <v>-1</v>
      </c>
      <c r="Z40" s="10">
        <v>-0.88800000000000001</v>
      </c>
      <c r="AA40" s="10">
        <v>-0.01</v>
      </c>
      <c r="AB40" s="10">
        <v>0</v>
      </c>
    </row>
    <row r="41" spans="1:44" x14ac:dyDescent="0.3">
      <c r="A41" s="10" t="s">
        <v>232</v>
      </c>
      <c r="B41" s="40" t="s">
        <v>70</v>
      </c>
      <c r="C41" s="38">
        <v>5.4645304242503085</v>
      </c>
      <c r="D41" s="38">
        <v>1500</v>
      </c>
      <c r="E41" s="50">
        <v>-14.67</v>
      </c>
      <c r="F41" s="115"/>
      <c r="G41" s="115"/>
      <c r="H41" s="6"/>
      <c r="I41" s="6"/>
      <c r="J41" s="2">
        <f>C41*E41</f>
        <v>-80.164661323752028</v>
      </c>
      <c r="K41" s="10">
        <v>39.1</v>
      </c>
      <c r="L41" s="40" t="s">
        <v>83</v>
      </c>
      <c r="M41" s="38">
        <v>0</v>
      </c>
      <c r="N41" s="10">
        <v>0</v>
      </c>
      <c r="O41" s="10">
        <v>0</v>
      </c>
      <c r="P41" s="10">
        <v>-1</v>
      </c>
      <c r="Q41" s="10">
        <v>0</v>
      </c>
      <c r="R41" s="10">
        <v>0</v>
      </c>
      <c r="S41" s="10">
        <v>0.42899999999999999</v>
      </c>
      <c r="T41" s="10">
        <v>0</v>
      </c>
      <c r="U41" s="10">
        <v>0</v>
      </c>
      <c r="V41" s="10">
        <v>0</v>
      </c>
      <c r="W41" s="10">
        <v>0</v>
      </c>
      <c r="X41" s="10">
        <v>-0.81</v>
      </c>
      <c r="Y41" s="10">
        <v>0</v>
      </c>
      <c r="Z41" s="10">
        <v>0</v>
      </c>
      <c r="AA41" s="10">
        <v>-0.73399999999999999</v>
      </c>
      <c r="AB41" s="10">
        <v>0</v>
      </c>
    </row>
    <row r="42" spans="1:44" x14ac:dyDescent="0.3">
      <c r="A42" s="10" t="s">
        <v>232</v>
      </c>
      <c r="B42" s="40" t="s">
        <v>71</v>
      </c>
      <c r="C42" s="38">
        <v>12.766980991191403</v>
      </c>
      <c r="D42" s="38">
        <v>1500</v>
      </c>
      <c r="E42" s="50">
        <v>-13.44</v>
      </c>
      <c r="F42" s="115"/>
      <c r="G42" s="115"/>
      <c r="H42" s="7"/>
      <c r="I42" s="7"/>
      <c r="J42" s="2">
        <f>C42*E42</f>
        <v>-171.58822452161246</v>
      </c>
      <c r="K42" s="10">
        <v>39.11</v>
      </c>
      <c r="L42" s="40" t="s">
        <v>84</v>
      </c>
      <c r="M42" s="38">
        <v>0</v>
      </c>
      <c r="N42" s="10">
        <v>0</v>
      </c>
      <c r="O42" s="10">
        <v>-1</v>
      </c>
      <c r="P42" s="10">
        <v>0</v>
      </c>
      <c r="Q42" s="10">
        <v>0</v>
      </c>
      <c r="R42" s="10">
        <v>0</v>
      </c>
      <c r="S42" s="10">
        <v>0</v>
      </c>
      <c r="T42" s="10">
        <v>1</v>
      </c>
      <c r="U42" s="10">
        <v>0</v>
      </c>
      <c r="V42" s="10">
        <v>0</v>
      </c>
      <c r="W42" s="10">
        <v>0</v>
      </c>
      <c r="X42" s="10">
        <v>-8.9999999999999993E-3</v>
      </c>
      <c r="Y42" s="10">
        <v>0</v>
      </c>
      <c r="Z42" s="10">
        <v>0</v>
      </c>
      <c r="AA42" s="10">
        <v>-1.7000000000000001E-2</v>
      </c>
      <c r="AB42" s="10">
        <v>0</v>
      </c>
    </row>
    <row r="43" spans="1:44" x14ac:dyDescent="0.3">
      <c r="A43" s="10" t="s">
        <v>233</v>
      </c>
      <c r="B43" s="40" t="s">
        <v>96</v>
      </c>
      <c r="C43" s="38">
        <v>665.73429543181692</v>
      </c>
      <c r="D43" s="38" t="s">
        <v>111</v>
      </c>
      <c r="E43" s="39">
        <v>-4.1829999999999998</v>
      </c>
      <c r="F43" s="115"/>
      <c r="G43" s="115"/>
      <c r="H43" s="8">
        <v>1.31E-3</v>
      </c>
      <c r="I43" s="8">
        <f>C43*H43</f>
        <v>0.87211192701568019</v>
      </c>
      <c r="J43" s="2">
        <f t="shared" ref="J43:J47" si="1">C43*E43</f>
        <v>-2784.7665577912899</v>
      </c>
      <c r="K43" s="10">
        <v>39.119999999999997</v>
      </c>
      <c r="L43" s="40" t="s">
        <v>85</v>
      </c>
      <c r="M43" s="3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-5.5E-2</v>
      </c>
      <c r="Y43" s="10">
        <v>0</v>
      </c>
      <c r="Z43" s="10">
        <v>-0.112</v>
      </c>
      <c r="AA43" s="10">
        <v>-0.24</v>
      </c>
      <c r="AB43" s="10">
        <v>0</v>
      </c>
    </row>
    <row r="44" spans="1:44" x14ac:dyDescent="0.3">
      <c r="A44" s="10" t="s">
        <v>233</v>
      </c>
      <c r="B44" s="40" t="s">
        <v>73</v>
      </c>
      <c r="C44" s="38">
        <v>1076.978414341766</v>
      </c>
      <c r="D44" s="38" t="s">
        <v>102</v>
      </c>
      <c r="E44" s="39">
        <v>-0.24479999999999999</v>
      </c>
      <c r="F44" s="115"/>
      <c r="G44" s="115"/>
      <c r="H44" s="8">
        <v>1.3010000000000001E-3</v>
      </c>
      <c r="I44" s="8">
        <f>C44*H44</f>
        <v>1.4011489170586375</v>
      </c>
      <c r="J44" s="2">
        <f>C44*E44</f>
        <v>-263.64431583086429</v>
      </c>
      <c r="K44" s="10">
        <v>39.1</v>
      </c>
      <c r="L44" s="40" t="s">
        <v>86</v>
      </c>
      <c r="M44" s="38">
        <v>0</v>
      </c>
      <c r="N44" s="10">
        <v>0</v>
      </c>
      <c r="O44" s="10">
        <v>0</v>
      </c>
      <c r="P44" s="10">
        <v>3.3300000000000003E-2</v>
      </c>
      <c r="Q44" s="10">
        <v>-1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</row>
    <row r="45" spans="1:44" x14ac:dyDescent="0.3">
      <c r="A45" s="10" t="s">
        <v>233</v>
      </c>
      <c r="B45" s="40" t="s">
        <v>74</v>
      </c>
      <c r="C45" s="38">
        <v>10.102323394937738</v>
      </c>
      <c r="D45" s="38" t="s">
        <v>102</v>
      </c>
      <c r="E45" s="39">
        <v>-4.13</v>
      </c>
      <c r="F45" s="115"/>
      <c r="G45" s="115"/>
      <c r="H45" s="8">
        <v>1.7559999999999999E-2</v>
      </c>
      <c r="I45" s="8">
        <f>C45*H45</f>
        <v>0.17739679881510667</v>
      </c>
      <c r="J45" s="2">
        <f>C45*E45</f>
        <v>-41.722595621092857</v>
      </c>
      <c r="K45" s="10">
        <v>39.200000000000003</v>
      </c>
      <c r="L45" s="40" t="s">
        <v>87</v>
      </c>
      <c r="M45" s="38">
        <v>0</v>
      </c>
      <c r="N45" s="10">
        <v>0</v>
      </c>
      <c r="O45" s="10">
        <v>0</v>
      </c>
      <c r="P45" s="10">
        <v>7.7799999999999994E-2</v>
      </c>
      <c r="Q45" s="10">
        <v>0</v>
      </c>
      <c r="R45" s="10">
        <v>-1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</row>
    <row r="46" spans="1:44" x14ac:dyDescent="0.3">
      <c r="A46" s="10" t="s">
        <v>233</v>
      </c>
      <c r="B46" s="40" t="s">
        <v>75</v>
      </c>
      <c r="C46" s="38">
        <v>9.0645304242503091</v>
      </c>
      <c r="D46" s="38" t="s">
        <v>102</v>
      </c>
      <c r="E46" s="50">
        <v>-16.72</v>
      </c>
      <c r="F46" s="115"/>
      <c r="G46" s="115"/>
      <c r="H46" s="8">
        <v>1.887E-3</v>
      </c>
      <c r="I46" s="8">
        <f t="shared" ref="I46:I47" si="2">C46*H46</f>
        <v>1.7104768910560335E-2</v>
      </c>
      <c r="J46" s="2">
        <f t="shared" si="1"/>
        <v>-151.55894869346517</v>
      </c>
      <c r="K46" s="10">
        <v>39.130000000000003</v>
      </c>
      <c r="L46" s="40" t="s">
        <v>88</v>
      </c>
      <c r="M46" s="38">
        <v>0</v>
      </c>
      <c r="N46" s="10">
        <v>0</v>
      </c>
      <c r="O46" s="10">
        <v>0</v>
      </c>
      <c r="P46" s="10">
        <v>0</v>
      </c>
      <c r="Q46" s="10">
        <v>-1</v>
      </c>
      <c r="R46" s="10">
        <v>0</v>
      </c>
      <c r="S46" s="10">
        <v>0</v>
      </c>
      <c r="T46" s="10">
        <v>0</v>
      </c>
      <c r="U46" s="10">
        <v>0</v>
      </c>
      <c r="V46" s="10">
        <v>1</v>
      </c>
      <c r="W46" s="10">
        <v>0</v>
      </c>
      <c r="X46" s="10">
        <v>-2.4E-2</v>
      </c>
      <c r="Y46" s="10">
        <v>0</v>
      </c>
      <c r="Z46" s="10">
        <v>0</v>
      </c>
      <c r="AA46" s="10">
        <v>0</v>
      </c>
      <c r="AB46" s="10">
        <v>0</v>
      </c>
    </row>
    <row r="47" spans="1:44" x14ac:dyDescent="0.3">
      <c r="A47" s="10" t="s">
        <v>233</v>
      </c>
      <c r="B47" s="40" t="s">
        <v>76</v>
      </c>
      <c r="C47" s="38">
        <v>21.166980991191405</v>
      </c>
      <c r="D47" s="38" t="s">
        <v>102</v>
      </c>
      <c r="E47" s="50">
        <v>-15.47</v>
      </c>
      <c r="F47" s="115"/>
      <c r="G47" s="115"/>
      <c r="H47" s="8">
        <v>1.4270000000000001E-3</v>
      </c>
      <c r="I47" s="8">
        <f t="shared" si="2"/>
        <v>3.0205281874430136E-2</v>
      </c>
      <c r="J47" s="2">
        <f t="shared" si="1"/>
        <v>-327.45319593373102</v>
      </c>
      <c r="K47" s="10">
        <v>39.14</v>
      </c>
      <c r="L47" s="40" t="s">
        <v>89</v>
      </c>
      <c r="M47" s="3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-1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-5.6000000000000001E-2</v>
      </c>
      <c r="Y47" s="10">
        <v>0</v>
      </c>
      <c r="Z47" s="10">
        <v>0</v>
      </c>
      <c r="AA47" s="10">
        <v>0</v>
      </c>
      <c r="AB47" s="10">
        <v>0</v>
      </c>
    </row>
    <row r="48" spans="1:44" x14ac:dyDescent="0.3">
      <c r="A48" s="10" t="s">
        <v>232</v>
      </c>
      <c r="B48" s="40" t="s">
        <v>97</v>
      </c>
      <c r="C48" s="38">
        <v>150</v>
      </c>
      <c r="D48" s="38">
        <v>25</v>
      </c>
      <c r="E48" s="46">
        <v>-1.2</v>
      </c>
      <c r="F48" s="115"/>
      <c r="G48" s="115"/>
      <c r="J48" s="2">
        <f>C48*E48</f>
        <v>-180</v>
      </c>
      <c r="K48" s="10">
        <v>39.15</v>
      </c>
      <c r="L48" s="40" t="s">
        <v>90</v>
      </c>
      <c r="M48" s="38">
        <f>C29</f>
        <v>150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1</v>
      </c>
      <c r="Y48" s="10">
        <v>0</v>
      </c>
      <c r="Z48" s="10">
        <v>0</v>
      </c>
      <c r="AA48" s="10">
        <v>0</v>
      </c>
      <c r="AB48" s="10">
        <v>0</v>
      </c>
    </row>
    <row r="49" spans="1:43" x14ac:dyDescent="0.3">
      <c r="A49" s="10" t="s">
        <v>232</v>
      </c>
      <c r="B49" s="40" t="s">
        <v>98</v>
      </c>
      <c r="C49" s="38">
        <v>32.6</v>
      </c>
      <c r="D49" s="38">
        <v>960</v>
      </c>
      <c r="E49" s="42">
        <v>1.2390000000000001</v>
      </c>
      <c r="F49" s="115"/>
      <c r="G49" s="115"/>
      <c r="H49" s="7"/>
      <c r="I49" s="7"/>
      <c r="J49" s="2">
        <f>C49*E49</f>
        <v>40.391400000000004</v>
      </c>
      <c r="K49" s="10">
        <v>39.159999999999997</v>
      </c>
      <c r="L49" s="40" t="s">
        <v>91</v>
      </c>
      <c r="M49" s="38">
        <f t="shared" ref="M49:M51" si="3">C30</f>
        <v>32.6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1</v>
      </c>
      <c r="Z49" s="10">
        <v>0</v>
      </c>
      <c r="AA49" s="10">
        <v>0</v>
      </c>
      <c r="AB49" s="10">
        <v>0</v>
      </c>
    </row>
    <row r="50" spans="1:43" x14ac:dyDescent="0.3">
      <c r="A50" s="10" t="s">
        <v>232</v>
      </c>
      <c r="B50" s="40" t="s">
        <v>99</v>
      </c>
      <c r="C50" s="38">
        <v>16.538601740515521</v>
      </c>
      <c r="D50" s="38">
        <v>1200</v>
      </c>
      <c r="E50" s="50">
        <v>-10.81</v>
      </c>
      <c r="F50" s="115"/>
      <c r="G50" s="115"/>
      <c r="H50" s="7"/>
      <c r="I50" s="7"/>
      <c r="J50" s="2">
        <f>C50*E50</f>
        <v>-178.7822848149728</v>
      </c>
      <c r="K50" s="10">
        <v>39.17</v>
      </c>
      <c r="L50" s="40" t="s">
        <v>92</v>
      </c>
      <c r="M50" s="38">
        <f>C31</f>
        <v>16.538601740515521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1</v>
      </c>
      <c r="AA50" s="10">
        <v>0</v>
      </c>
      <c r="AB50" s="10">
        <v>0</v>
      </c>
    </row>
    <row r="51" spans="1:43" x14ac:dyDescent="0.3">
      <c r="A51" s="10" t="s">
        <v>232</v>
      </c>
      <c r="B51" s="40" t="s">
        <v>93</v>
      </c>
      <c r="C51" s="38">
        <v>0</v>
      </c>
      <c r="D51" s="38">
        <v>25</v>
      </c>
      <c r="E51" s="50">
        <v>-4.5199999999999996</v>
      </c>
      <c r="F51" s="115"/>
      <c r="G51" s="115"/>
      <c r="H51" s="7"/>
      <c r="I51" s="7"/>
      <c r="J51" s="2">
        <f>C51*E51</f>
        <v>0</v>
      </c>
      <c r="K51" s="10">
        <v>39.18</v>
      </c>
      <c r="L51" s="40" t="s">
        <v>93</v>
      </c>
      <c r="M51" s="38">
        <f t="shared" si="3"/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1</v>
      </c>
      <c r="AB51" s="10">
        <v>0</v>
      </c>
    </row>
    <row r="52" spans="1:43" x14ac:dyDescent="0.3">
      <c r="A52" s="10" t="s">
        <v>232</v>
      </c>
      <c r="B52" s="40" t="s">
        <v>94</v>
      </c>
      <c r="C52" s="38">
        <v>0</v>
      </c>
      <c r="D52" s="38" t="s">
        <v>102</v>
      </c>
      <c r="E52" s="38" t="s">
        <v>102</v>
      </c>
      <c r="F52" s="115"/>
      <c r="G52" s="115"/>
      <c r="H52" s="7"/>
      <c r="I52" s="7"/>
      <c r="K52" s="10">
        <v>39.19</v>
      </c>
      <c r="L52" s="40" t="s">
        <v>94</v>
      </c>
      <c r="M52" s="3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1</v>
      </c>
    </row>
    <row r="53" spans="1:43" x14ac:dyDescent="0.3">
      <c r="K53" s="10"/>
      <c r="L53" s="10"/>
      <c r="M53" s="10"/>
      <c r="N53" s="10">
        <v>1200</v>
      </c>
      <c r="O53" s="10">
        <v>1200</v>
      </c>
      <c r="P53" s="10">
        <v>1500</v>
      </c>
      <c r="Q53" s="10">
        <v>1500</v>
      </c>
      <c r="R53" s="10">
        <v>1500</v>
      </c>
      <c r="S53" s="10" t="s">
        <v>112</v>
      </c>
      <c r="T53" s="10" t="s">
        <v>112</v>
      </c>
      <c r="U53" s="10" t="s">
        <v>112</v>
      </c>
      <c r="V53" s="10" t="s">
        <v>112</v>
      </c>
      <c r="W53" s="10" t="s">
        <v>112</v>
      </c>
      <c r="X53" s="10">
        <v>25</v>
      </c>
      <c r="Y53" s="10">
        <v>1200</v>
      </c>
      <c r="Z53" s="10">
        <v>1200</v>
      </c>
      <c r="AA53" s="10">
        <v>25</v>
      </c>
      <c r="AB53" s="10"/>
    </row>
    <row r="54" spans="1:43" ht="23.4" customHeight="1" x14ac:dyDescent="0.3">
      <c r="A54" s="107" t="s">
        <v>236</v>
      </c>
      <c r="B54" s="107"/>
      <c r="C54" s="107"/>
      <c r="D54" s="107"/>
      <c r="E54" s="107"/>
      <c r="F54" s="107"/>
      <c r="G54" s="107"/>
    </row>
    <row r="55" spans="1:43" x14ac:dyDescent="0.3">
      <c r="A55" s="10" t="s">
        <v>103</v>
      </c>
      <c r="B55" s="40" t="s">
        <v>109</v>
      </c>
      <c r="C55" s="38">
        <f>C38*1.239+C39*1.339+C40*2.488+C41*-14.67+C42*-13.44+C48*-1.2+C49*1.239+C50*-10.81+C51*-4.52</f>
        <v>1682.2530852257089</v>
      </c>
    </row>
    <row r="56" spans="1:43" x14ac:dyDescent="0.3">
      <c r="A56" s="10" t="s">
        <v>105</v>
      </c>
      <c r="B56" s="40" t="s">
        <v>110</v>
      </c>
      <c r="C56" s="38">
        <f>C55</f>
        <v>1682.2530852257089</v>
      </c>
    </row>
    <row r="57" spans="1:43" x14ac:dyDescent="0.3">
      <c r="A57" s="10"/>
      <c r="B57" s="40"/>
      <c r="C57" s="10"/>
    </row>
    <row r="58" spans="1:43" x14ac:dyDescent="0.3">
      <c r="A58" s="10" t="s">
        <v>107</v>
      </c>
      <c r="B58" s="40" t="s">
        <v>108</v>
      </c>
      <c r="C58" s="46">
        <f>(C56-SUM(J43:J47))/SUM(I43:I47)</f>
        <v>2102.2684610350366</v>
      </c>
      <c r="D58" s="7"/>
    </row>
    <row r="60" spans="1:43" ht="23.4" customHeight="1" x14ac:dyDescent="0.3">
      <c r="A60" s="107" t="s">
        <v>238</v>
      </c>
      <c r="B60" s="107"/>
      <c r="C60" s="107"/>
      <c r="D60" s="107"/>
      <c r="E60" s="107"/>
      <c r="F60" s="107"/>
      <c r="G60" s="107"/>
      <c r="K60" s="114" t="s">
        <v>237</v>
      </c>
      <c r="L60" s="114"/>
      <c r="M60" s="114"/>
      <c r="N60" s="114"/>
      <c r="O60" s="114"/>
      <c r="P60" s="114"/>
      <c r="Q60" s="114"/>
      <c r="R60" s="114"/>
      <c r="S60" s="11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41.4" x14ac:dyDescent="0.3">
      <c r="A61" s="55" t="s">
        <v>231</v>
      </c>
      <c r="B61" s="55" t="s">
        <v>163</v>
      </c>
      <c r="C61" s="56" t="s">
        <v>168</v>
      </c>
      <c r="D61" s="56" t="s">
        <v>101</v>
      </c>
      <c r="E61" s="56" t="s">
        <v>100</v>
      </c>
      <c r="F61" s="55" t="s">
        <v>234</v>
      </c>
      <c r="G61" s="55" t="s">
        <v>235</v>
      </c>
      <c r="H61" s="4"/>
      <c r="I61" s="4"/>
      <c r="J61" s="4"/>
      <c r="K61" s="55" t="s">
        <v>31</v>
      </c>
      <c r="L61" s="55" t="s">
        <v>32</v>
      </c>
      <c r="M61" s="55" t="s">
        <v>66</v>
      </c>
      <c r="N61" s="56" t="s">
        <v>113</v>
      </c>
      <c r="O61" s="56" t="s">
        <v>114</v>
      </c>
      <c r="P61" s="56" t="s">
        <v>115</v>
      </c>
      <c r="Q61" s="56" t="s">
        <v>116</v>
      </c>
      <c r="R61" s="56" t="s">
        <v>117</v>
      </c>
      <c r="S61" s="56" t="s">
        <v>118</v>
      </c>
      <c r="T61" s="56" t="s">
        <v>119</v>
      </c>
      <c r="U61" s="56" t="s">
        <v>120</v>
      </c>
      <c r="V61" s="56" t="s">
        <v>121</v>
      </c>
      <c r="W61" s="56" t="s">
        <v>122</v>
      </c>
      <c r="X61" s="56" t="s">
        <v>123</v>
      </c>
      <c r="Y61" s="56" t="s">
        <v>124</v>
      </c>
      <c r="Z61" s="56" t="s">
        <v>125</v>
      </c>
      <c r="AA61" s="56" t="s">
        <v>126</v>
      </c>
      <c r="AB61" s="56" t="s">
        <v>127</v>
      </c>
      <c r="AC61" s="56" t="s">
        <v>128</v>
      </c>
      <c r="AD61" s="56" t="s">
        <v>129</v>
      </c>
      <c r="AE61" s="56" t="s">
        <v>130</v>
      </c>
      <c r="AF61" s="56" t="s">
        <v>131</v>
      </c>
      <c r="AG61" s="56" t="s">
        <v>132</v>
      </c>
      <c r="AH61" s="56" t="s">
        <v>133</v>
      </c>
      <c r="AI61" s="56" t="s">
        <v>134</v>
      </c>
      <c r="AJ61" s="56" t="s">
        <v>135</v>
      </c>
      <c r="AK61" s="56" t="s">
        <v>136</v>
      </c>
      <c r="AL61" s="56" t="s">
        <v>137</v>
      </c>
      <c r="AM61" s="56" t="s">
        <v>138</v>
      </c>
      <c r="AN61" s="56" t="s">
        <v>139</v>
      </c>
      <c r="AO61" s="56" t="s">
        <v>140</v>
      </c>
      <c r="AP61" s="56" t="s">
        <v>141</v>
      </c>
      <c r="AQ61" s="56" t="s">
        <v>142</v>
      </c>
    </row>
    <row r="62" spans="1:43" x14ac:dyDescent="0.3">
      <c r="A62" s="10" t="s">
        <v>232</v>
      </c>
      <c r="B62" s="40" t="s">
        <v>113</v>
      </c>
      <c r="C62" s="50" cm="1">
        <f t="array" ref="C62:C91">MMULT(MINVERSE(N62:AQ91),M62:M91)</f>
        <v>1430.6151645207435</v>
      </c>
      <c r="D62" s="10">
        <v>25</v>
      </c>
      <c r="E62" s="10">
        <v>-5.1689999999999996</v>
      </c>
      <c r="F62" s="108">
        <f>SUM(C62:C70,C80:C84,C90)</f>
        <v>4246.9602313526111</v>
      </c>
      <c r="G62" s="108">
        <f>SUM(C71:C79,C85:C89,C91)</f>
        <v>4246.9602313526111</v>
      </c>
      <c r="H62" s="2">
        <f>C62*E62</f>
        <v>-7394.8497854077223</v>
      </c>
      <c r="K62" s="10">
        <v>40.799999999999997</v>
      </c>
      <c r="L62" s="40" t="s">
        <v>143</v>
      </c>
      <c r="M62" s="38">
        <f>C10</f>
        <v>611.60450683752151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spans="1:43" x14ac:dyDescent="0.3">
      <c r="A63" s="10" t="s">
        <v>232</v>
      </c>
      <c r="B63" s="40" t="s">
        <v>114</v>
      </c>
      <c r="C63" s="50">
        <v>75.300000000000026</v>
      </c>
      <c r="D63" s="10">
        <v>25</v>
      </c>
      <c r="E63" s="10">
        <v>-15.16</v>
      </c>
      <c r="F63" s="109"/>
      <c r="G63" s="109"/>
      <c r="H63" s="2">
        <f t="shared" ref="H63:H90" si="4">C63*E63</f>
        <v>-1141.5480000000005</v>
      </c>
      <c r="K63" s="10">
        <v>40.9</v>
      </c>
      <c r="L63" s="40" t="s">
        <v>144</v>
      </c>
      <c r="M63" s="38">
        <f>C11</f>
        <v>424.45352774523997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spans="1:43" x14ac:dyDescent="0.3">
      <c r="A64" s="10" t="s">
        <v>232</v>
      </c>
      <c r="B64" s="40" t="s">
        <v>115</v>
      </c>
      <c r="C64" s="50">
        <v>304.35414650774732</v>
      </c>
      <c r="D64" s="10">
        <v>25</v>
      </c>
      <c r="E64" s="10">
        <v>0</v>
      </c>
      <c r="F64" s="109"/>
      <c r="G64" s="109"/>
      <c r="H64" s="2">
        <f t="shared" si="4"/>
        <v>0</v>
      </c>
      <c r="K64" s="10">
        <v>40.1</v>
      </c>
      <c r="L64" s="40" t="s">
        <v>145</v>
      </c>
      <c r="M64" s="38">
        <f>C13</f>
        <v>6.3707517616186982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1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</row>
    <row r="65" spans="1:43" x14ac:dyDescent="0.3">
      <c r="A65" s="10" t="s">
        <v>232</v>
      </c>
      <c r="B65" s="40" t="s">
        <v>116</v>
      </c>
      <c r="C65" s="50">
        <v>10.134993078707986</v>
      </c>
      <c r="D65" s="10">
        <v>25</v>
      </c>
      <c r="E65" s="10">
        <v>-16.43</v>
      </c>
      <c r="F65" s="109"/>
      <c r="G65" s="109"/>
      <c r="H65" s="2">
        <f t="shared" si="4"/>
        <v>-166.51793628317219</v>
      </c>
      <c r="K65" s="10">
        <v>40.11</v>
      </c>
      <c r="L65" s="40" t="s">
        <v>146</v>
      </c>
      <c r="M65" s="38">
        <f>C14</f>
        <v>34.656889583205718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</row>
    <row r="66" spans="1:43" x14ac:dyDescent="0.3">
      <c r="A66" s="10" t="s">
        <v>232</v>
      </c>
      <c r="B66" s="40" t="s">
        <v>117</v>
      </c>
      <c r="C66" s="50">
        <v>23.678752598302726</v>
      </c>
      <c r="D66" s="10">
        <v>25</v>
      </c>
      <c r="E66" s="10">
        <v>-15.16</v>
      </c>
      <c r="F66" s="109"/>
      <c r="G66" s="109"/>
      <c r="H66" s="2">
        <f t="shared" si="4"/>
        <v>-358.96988939026932</v>
      </c>
      <c r="K66" s="10">
        <v>40.119999999999997</v>
      </c>
      <c r="L66" s="40" t="s">
        <v>147</v>
      </c>
      <c r="M66" s="38">
        <f>C12</f>
        <v>1076.978414341766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1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</row>
    <row r="67" spans="1:43" x14ac:dyDescent="0.3">
      <c r="A67" s="10" t="s">
        <v>232</v>
      </c>
      <c r="B67" s="40" t="s">
        <v>118</v>
      </c>
      <c r="C67" s="50">
        <v>11.436604386457521</v>
      </c>
      <c r="D67" s="10">
        <v>25</v>
      </c>
      <c r="E67" s="10">
        <v>-16.43</v>
      </c>
      <c r="F67" s="109"/>
      <c r="G67" s="109"/>
      <c r="H67" s="2">
        <f t="shared" si="4"/>
        <v>-187.90341006949706</v>
      </c>
      <c r="K67" s="10">
        <v>40.130000000000003</v>
      </c>
      <c r="L67" s="40" t="s">
        <v>148</v>
      </c>
      <c r="M67" s="38">
        <f>C19</f>
        <v>10.134993078707986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1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</row>
    <row r="68" spans="1:43" x14ac:dyDescent="0.3">
      <c r="A68" s="10" t="s">
        <v>232</v>
      </c>
      <c r="B68" s="40" t="s">
        <v>119</v>
      </c>
      <c r="C68" s="50">
        <v>103.2428802282179</v>
      </c>
      <c r="D68" s="10">
        <v>25</v>
      </c>
      <c r="E68" s="10">
        <v>-11.32</v>
      </c>
      <c r="F68" s="109"/>
      <c r="G68" s="109"/>
      <c r="H68" s="2">
        <f t="shared" si="4"/>
        <v>-1168.7094041834266</v>
      </c>
      <c r="K68" s="10">
        <v>40.14</v>
      </c>
      <c r="L68" s="40" t="s">
        <v>149</v>
      </c>
      <c r="M68" s="38">
        <f>C18</f>
        <v>11.436604386457521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1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</row>
    <row r="69" spans="1:43" x14ac:dyDescent="0.3">
      <c r="A69" s="10" t="s">
        <v>232</v>
      </c>
      <c r="B69" s="40" t="s">
        <v>120</v>
      </c>
      <c r="C69" s="50">
        <v>25.171597465165508</v>
      </c>
      <c r="D69" s="10">
        <v>25</v>
      </c>
      <c r="E69" s="10">
        <v>-14.92</v>
      </c>
      <c r="F69" s="109"/>
      <c r="G69" s="109"/>
      <c r="H69" s="2">
        <f t="shared" si="4"/>
        <v>-375.56023418026939</v>
      </c>
      <c r="K69" s="10">
        <v>40.15</v>
      </c>
      <c r="L69" s="40" t="s">
        <v>150</v>
      </c>
      <c r="M69" s="38">
        <f>C5</f>
        <v>304.35414650774732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1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</row>
    <row r="70" spans="1:43" x14ac:dyDescent="0.3">
      <c r="A70" s="10" t="s">
        <v>232</v>
      </c>
      <c r="B70" s="40" t="s">
        <v>121</v>
      </c>
      <c r="C70" s="50">
        <v>9.3002812939521835</v>
      </c>
      <c r="D70" s="10">
        <v>25</v>
      </c>
      <c r="E70" s="10">
        <v>-5.98</v>
      </c>
      <c r="F70" s="109"/>
      <c r="G70" s="109"/>
      <c r="H70" s="2">
        <f t="shared" si="4"/>
        <v>-55.615682137834064</v>
      </c>
      <c r="K70" s="10">
        <v>40.159999999999997</v>
      </c>
      <c r="L70" s="40" t="s">
        <v>151</v>
      </c>
      <c r="M70" s="38">
        <f>C4</f>
        <v>1302.083333333333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1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</row>
    <row r="71" spans="1:43" x14ac:dyDescent="0.3">
      <c r="A71" s="10" t="s">
        <v>233</v>
      </c>
      <c r="B71" s="40" t="s">
        <v>122</v>
      </c>
      <c r="C71" s="50">
        <v>10.134993078707986</v>
      </c>
      <c r="D71" s="10">
        <v>930</v>
      </c>
      <c r="E71" s="10">
        <v>-15.41</v>
      </c>
      <c r="F71" s="109"/>
      <c r="G71" s="109"/>
      <c r="H71" s="2">
        <f t="shared" si="4"/>
        <v>-156.18024334289007</v>
      </c>
      <c r="K71" s="10">
        <v>40.17</v>
      </c>
      <c r="L71" s="40" t="s">
        <v>152</v>
      </c>
      <c r="M71" s="38">
        <f>C21</f>
        <v>103.2428802282179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1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</row>
    <row r="72" spans="1:43" x14ac:dyDescent="0.3">
      <c r="A72" s="10" t="s">
        <v>233</v>
      </c>
      <c r="B72" s="40" t="s">
        <v>123</v>
      </c>
      <c r="C72" s="50">
        <v>11.436604386457521</v>
      </c>
      <c r="D72" s="10">
        <v>930</v>
      </c>
      <c r="E72" s="10">
        <v>-15.41</v>
      </c>
      <c r="F72" s="109"/>
      <c r="G72" s="109"/>
      <c r="H72" s="2">
        <f t="shared" si="4"/>
        <v>-176.2380735953104</v>
      </c>
      <c r="K72" s="10">
        <v>40.18</v>
      </c>
      <c r="L72" s="40" t="s">
        <v>153</v>
      </c>
      <c r="M72" s="38">
        <f>C23</f>
        <v>25.171597465165508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1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</row>
    <row r="73" spans="1:43" x14ac:dyDescent="0.3">
      <c r="A73" s="10" t="s">
        <v>233</v>
      </c>
      <c r="B73" s="40" t="s">
        <v>124</v>
      </c>
      <c r="C73" s="50">
        <v>304.35414650774732</v>
      </c>
      <c r="D73" s="10">
        <v>930</v>
      </c>
      <c r="E73" s="10">
        <v>1.359</v>
      </c>
      <c r="F73" s="109"/>
      <c r="G73" s="109"/>
      <c r="H73" s="2">
        <f t="shared" si="4"/>
        <v>413.61728510402861</v>
      </c>
      <c r="K73" s="10">
        <v>40.19</v>
      </c>
      <c r="L73" s="40" t="s">
        <v>154</v>
      </c>
      <c r="M73" s="38">
        <f>C27</f>
        <v>7.5940281366637974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</row>
    <row r="74" spans="1:43" x14ac:dyDescent="0.3">
      <c r="A74" s="10" t="s">
        <v>233</v>
      </c>
      <c r="B74" s="40" t="s">
        <v>125</v>
      </c>
      <c r="C74" s="50">
        <v>103.2428802282179</v>
      </c>
      <c r="D74" s="10">
        <v>930</v>
      </c>
      <c r="E74" s="10">
        <v>-10.5</v>
      </c>
      <c r="F74" s="109"/>
      <c r="G74" s="109"/>
      <c r="H74" s="2">
        <f t="shared" si="4"/>
        <v>-1084.050242396288</v>
      </c>
      <c r="K74" s="10">
        <v>40.200000000000003</v>
      </c>
      <c r="L74" s="40" t="s">
        <v>155</v>
      </c>
      <c r="M74" s="38">
        <f>C16</f>
        <v>23.678752598302726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1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</row>
    <row r="75" spans="1:43" x14ac:dyDescent="0.3">
      <c r="A75" s="10" t="s">
        <v>233</v>
      </c>
      <c r="B75" s="40" t="s">
        <v>126</v>
      </c>
      <c r="C75" s="50">
        <v>1302.083333333333</v>
      </c>
      <c r="D75" s="10">
        <v>930</v>
      </c>
      <c r="E75" s="10">
        <v>-3.1520000000000001</v>
      </c>
      <c r="F75" s="109"/>
      <c r="G75" s="109"/>
      <c r="H75" s="2">
        <f t="shared" si="4"/>
        <v>-4104.1666666666661</v>
      </c>
      <c r="K75" s="10">
        <v>40.21</v>
      </c>
      <c r="L75" s="40" t="s">
        <v>156</v>
      </c>
      <c r="M75" s="38">
        <f>C15</f>
        <v>75.300000000000026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</row>
    <row r="76" spans="1:43" x14ac:dyDescent="0.3">
      <c r="A76" s="10" t="s">
        <v>233</v>
      </c>
      <c r="B76" s="40" t="s">
        <v>127</v>
      </c>
      <c r="C76" s="50">
        <v>25.171597465165508</v>
      </c>
      <c r="D76" s="10">
        <v>930</v>
      </c>
      <c r="E76" s="10">
        <v>-13.84</v>
      </c>
      <c r="F76" s="109"/>
      <c r="G76" s="109"/>
      <c r="H76" s="2">
        <f t="shared" si="4"/>
        <v>-348.37490891789065</v>
      </c>
      <c r="K76" s="10">
        <v>40.22</v>
      </c>
      <c r="L76" s="40" t="s">
        <v>157</v>
      </c>
      <c r="M76" s="10">
        <v>0</v>
      </c>
      <c r="N76" s="10">
        <v>0</v>
      </c>
      <c r="O76" s="10">
        <v>0</v>
      </c>
      <c r="P76" s="10">
        <v>0</v>
      </c>
      <c r="Q76" s="10">
        <v>-1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1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</row>
    <row r="77" spans="1:43" x14ac:dyDescent="0.3">
      <c r="A77" s="10" t="s">
        <v>233</v>
      </c>
      <c r="B77" s="40" t="s">
        <v>128</v>
      </c>
      <c r="C77" s="50">
        <v>7.5940281366637974</v>
      </c>
      <c r="D77" s="10">
        <v>930</v>
      </c>
      <c r="E77" s="10">
        <v>-4.7699999999999996</v>
      </c>
      <c r="F77" s="109"/>
      <c r="G77" s="109"/>
      <c r="H77" s="2">
        <f t="shared" si="4"/>
        <v>-36.223514211886311</v>
      </c>
      <c r="K77" s="10">
        <v>40.229999999999997</v>
      </c>
      <c r="L77" s="40" t="s">
        <v>158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-1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</row>
    <row r="78" spans="1:43" x14ac:dyDescent="0.3">
      <c r="A78" s="10" t="s">
        <v>233</v>
      </c>
      <c r="B78" s="40" t="s">
        <v>129</v>
      </c>
      <c r="C78" s="50">
        <v>23.678752598302726</v>
      </c>
      <c r="D78" s="10">
        <v>930</v>
      </c>
      <c r="E78" s="10">
        <v>-14.13</v>
      </c>
      <c r="F78" s="109"/>
      <c r="G78" s="109"/>
      <c r="H78" s="2">
        <f t="shared" si="4"/>
        <v>-334.58077421401754</v>
      </c>
      <c r="K78" s="10">
        <v>40.24</v>
      </c>
      <c r="L78" s="40" t="s">
        <v>38</v>
      </c>
      <c r="M78" s="10">
        <v>0</v>
      </c>
      <c r="N78" s="10">
        <v>0</v>
      </c>
      <c r="O78" s="10">
        <v>0</v>
      </c>
      <c r="P78" s="10">
        <v>-1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1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-0.42899999999999999</v>
      </c>
      <c r="AG78" s="10">
        <v>-0.27300000000000002</v>
      </c>
      <c r="AH78" s="10">
        <v>0</v>
      </c>
      <c r="AI78" s="10">
        <v>0</v>
      </c>
      <c r="AJ78" s="10">
        <v>0</v>
      </c>
      <c r="AK78" s="10">
        <v>0.42899999999999999</v>
      </c>
      <c r="AL78" s="10">
        <v>0.27300000000000002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</row>
    <row r="79" spans="1:43" x14ac:dyDescent="0.3">
      <c r="A79" s="10" t="s">
        <v>233</v>
      </c>
      <c r="B79" s="40" t="s">
        <v>130</v>
      </c>
      <c r="C79" s="50">
        <v>75.300000000000026</v>
      </c>
      <c r="D79" s="10">
        <v>930</v>
      </c>
      <c r="E79" s="10">
        <v>-14.13</v>
      </c>
      <c r="F79" s="109"/>
      <c r="G79" s="109"/>
      <c r="H79" s="2">
        <f t="shared" si="4"/>
        <v>-1063.9890000000005</v>
      </c>
      <c r="K79" s="10">
        <v>40.25</v>
      </c>
      <c r="L79" s="40" t="s">
        <v>48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-1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1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</row>
    <row r="80" spans="1:43" x14ac:dyDescent="0.3">
      <c r="A80" s="10" t="s">
        <v>232</v>
      </c>
      <c r="B80" s="40" t="s">
        <v>131</v>
      </c>
      <c r="C80" s="50">
        <v>611.60450683752151</v>
      </c>
      <c r="D80" s="10">
        <v>930</v>
      </c>
      <c r="E80" s="10">
        <v>-2.9260000000000002</v>
      </c>
      <c r="F80" s="109"/>
      <c r="G80" s="109"/>
      <c r="H80" s="2">
        <f t="shared" si="4"/>
        <v>-1789.554787006588</v>
      </c>
      <c r="K80" s="10">
        <v>40.26</v>
      </c>
      <c r="L80" s="40" t="s">
        <v>36</v>
      </c>
      <c r="M80" s="10">
        <v>0</v>
      </c>
      <c r="N80" s="10">
        <v>-0.69899999999999995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0.76800000000000002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pans="1:43" x14ac:dyDescent="0.3">
      <c r="A81" s="10" t="s">
        <v>232</v>
      </c>
      <c r="B81" s="40" t="s">
        <v>132</v>
      </c>
      <c r="C81" s="50">
        <v>424.45352774523997</v>
      </c>
      <c r="D81" s="10">
        <v>930</v>
      </c>
      <c r="E81" s="10">
        <v>-7.9260000000000002</v>
      </c>
      <c r="F81" s="109"/>
      <c r="G81" s="109"/>
      <c r="H81" s="2">
        <f t="shared" si="4"/>
        <v>-3364.2186609087721</v>
      </c>
      <c r="K81" s="10">
        <v>40.270000000000003</v>
      </c>
      <c r="L81" s="40" t="s">
        <v>56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-1</v>
      </c>
      <c r="AI81" s="10">
        <v>-0.112</v>
      </c>
      <c r="AJ81" s="10">
        <v>0</v>
      </c>
      <c r="AK81" s="10">
        <v>0</v>
      </c>
      <c r="AL81" s="10">
        <v>0</v>
      </c>
      <c r="AM81" s="10">
        <v>1</v>
      </c>
      <c r="AN81" s="10">
        <v>0.112</v>
      </c>
      <c r="AO81" s="10">
        <v>0</v>
      </c>
      <c r="AP81" s="10">
        <v>0</v>
      </c>
      <c r="AQ81" s="10">
        <v>0</v>
      </c>
    </row>
    <row r="82" spans="1:43" x14ac:dyDescent="0.3">
      <c r="A82" s="10" t="s">
        <v>232</v>
      </c>
      <c r="B82" s="40" t="s">
        <v>133</v>
      </c>
      <c r="C82" s="50">
        <v>6.3707517616186982</v>
      </c>
      <c r="D82" s="10">
        <v>930</v>
      </c>
      <c r="E82" s="10">
        <v>13.35</v>
      </c>
      <c r="F82" s="109"/>
      <c r="G82" s="109"/>
      <c r="H82" s="2">
        <f t="shared" si="4"/>
        <v>85.049536017609611</v>
      </c>
      <c r="K82" s="10">
        <v>40.28</v>
      </c>
      <c r="L82" s="40" t="s">
        <v>50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-1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1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pans="1:43" x14ac:dyDescent="0.3">
      <c r="A83" s="10" t="s">
        <v>232</v>
      </c>
      <c r="B83" s="40" t="s">
        <v>134</v>
      </c>
      <c r="C83" s="50">
        <v>34.656889583205718</v>
      </c>
      <c r="D83" s="10">
        <v>930</v>
      </c>
      <c r="E83" s="10">
        <v>-11.49</v>
      </c>
      <c r="F83" s="109"/>
      <c r="G83" s="109"/>
      <c r="H83" s="2">
        <f t="shared" si="4"/>
        <v>-398.20766131103369</v>
      </c>
      <c r="K83" s="10">
        <v>40.29</v>
      </c>
      <c r="L83" s="40" t="s">
        <v>54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-0.63200000000000001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0.77400000000000002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pans="1:43" x14ac:dyDescent="0.3">
      <c r="A84" s="10" t="s">
        <v>232</v>
      </c>
      <c r="B84" s="40" t="s">
        <v>135</v>
      </c>
      <c r="C84" s="50">
        <v>1076.978414341766</v>
      </c>
      <c r="D84" s="10">
        <v>930</v>
      </c>
      <c r="E84" s="10">
        <v>1.008</v>
      </c>
      <c r="F84" s="109"/>
      <c r="G84" s="109"/>
      <c r="H84" s="2">
        <f t="shared" si="4"/>
        <v>1085.5942416565001</v>
      </c>
      <c r="K84" s="10">
        <v>40.299999999999997</v>
      </c>
      <c r="L84" s="40" t="s">
        <v>40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-1</v>
      </c>
      <c r="AK84" s="10">
        <v>0</v>
      </c>
      <c r="AL84" s="10">
        <v>0</v>
      </c>
      <c r="AM84" s="10">
        <v>0</v>
      </c>
      <c r="AN84" s="10">
        <v>0</v>
      </c>
      <c r="AO84" s="10">
        <v>1</v>
      </c>
      <c r="AP84" s="10">
        <v>0</v>
      </c>
      <c r="AQ84" s="10">
        <v>0</v>
      </c>
    </row>
    <row r="85" spans="1:43" x14ac:dyDescent="0.3">
      <c r="A85" s="10" t="s">
        <v>233</v>
      </c>
      <c r="B85" s="40" t="s">
        <v>136</v>
      </c>
      <c r="C85" s="50">
        <v>412.54907109919617</v>
      </c>
      <c r="D85" s="10">
        <v>25</v>
      </c>
      <c r="E85" s="10">
        <v>-3.972</v>
      </c>
      <c r="F85" s="109"/>
      <c r="G85" s="109"/>
      <c r="H85" s="2">
        <f t="shared" si="4"/>
        <v>-1638.6449104060073</v>
      </c>
      <c r="I85" s="11">
        <v>1.049E-3</v>
      </c>
      <c r="J85" s="3">
        <f>C85*I85</f>
        <v>0.43276397558305679</v>
      </c>
      <c r="K85" s="10">
        <v>40.31</v>
      </c>
      <c r="L85" s="40" t="s">
        <v>37</v>
      </c>
      <c r="M85" s="10">
        <v>0</v>
      </c>
      <c r="N85" s="10">
        <v>-0.30099999999999999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-0.36799999999999999</v>
      </c>
      <c r="W85" s="10">
        <v>0</v>
      </c>
      <c r="X85" s="10">
        <v>0</v>
      </c>
      <c r="Y85" s="10">
        <v>0</v>
      </c>
      <c r="Z85" s="10">
        <v>0</v>
      </c>
      <c r="AA85" s="10">
        <v>0.23200000000000001</v>
      </c>
      <c r="AB85" s="10">
        <v>0</v>
      </c>
      <c r="AC85" s="10">
        <v>0.22600000000000001</v>
      </c>
      <c r="AD85" s="10">
        <v>0</v>
      </c>
      <c r="AE85" s="10">
        <v>0</v>
      </c>
      <c r="AF85" s="10">
        <v>-0.57099999999999995</v>
      </c>
      <c r="AG85" s="10">
        <v>-0.72699999999999998</v>
      </c>
      <c r="AH85" s="10">
        <v>0</v>
      </c>
      <c r="AI85" s="10">
        <v>-0.88800000000000001</v>
      </c>
      <c r="AJ85" s="10">
        <v>0</v>
      </c>
      <c r="AK85" s="10">
        <v>0.57099999999999995</v>
      </c>
      <c r="AL85" s="10">
        <v>0.72699999999999998</v>
      </c>
      <c r="AM85" s="10">
        <v>0</v>
      </c>
      <c r="AN85" s="10">
        <v>0.88800000000000001</v>
      </c>
      <c r="AO85" s="10">
        <v>0</v>
      </c>
      <c r="AP85" s="10">
        <v>0</v>
      </c>
      <c r="AQ85" s="10">
        <v>0</v>
      </c>
    </row>
    <row r="86" spans="1:43" x14ac:dyDescent="0.3">
      <c r="A86" s="10" t="s">
        <v>233</v>
      </c>
      <c r="B86" s="40" t="s">
        <v>137</v>
      </c>
      <c r="C86" s="50">
        <v>737.25492676260831</v>
      </c>
      <c r="D86" s="10">
        <v>25</v>
      </c>
      <c r="E86" s="10">
        <v>-8.9659999999999993</v>
      </c>
      <c r="F86" s="109"/>
      <c r="G86" s="109"/>
      <c r="H86" s="2">
        <f t="shared" si="4"/>
        <v>-6610.2276733535455</v>
      </c>
      <c r="I86" s="11">
        <v>9.3139999999999998E-4</v>
      </c>
      <c r="J86" s="3">
        <f t="shared" ref="J86:J89" si="5">C86*I86</f>
        <v>0.68667923878669335</v>
      </c>
      <c r="K86" s="10">
        <v>40.32</v>
      </c>
      <c r="L86" s="40" t="s">
        <v>159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-1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1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</row>
    <row r="87" spans="1:43" x14ac:dyDescent="0.3">
      <c r="A87" s="10" t="s">
        <v>233</v>
      </c>
      <c r="B87" s="40" t="s">
        <v>138</v>
      </c>
      <c r="C87" s="50">
        <v>4.2906644200044379</v>
      </c>
      <c r="D87" s="10">
        <v>25</v>
      </c>
      <c r="E87" s="10">
        <v>-0.36159999999999998</v>
      </c>
      <c r="F87" s="109"/>
      <c r="G87" s="109"/>
      <c r="H87" s="2">
        <f t="shared" si="4"/>
        <v>-1.5515042542736046</v>
      </c>
      <c r="I87" s="11">
        <v>1.4420000000000001E-2</v>
      </c>
      <c r="J87" s="3">
        <f t="shared" si="5"/>
        <v>6.1871380936464E-2</v>
      </c>
      <c r="K87" s="10">
        <v>40.33</v>
      </c>
      <c r="L87" s="40" t="s">
        <v>160</v>
      </c>
      <c r="M87" s="10">
        <v>0</v>
      </c>
      <c r="N87" s="10">
        <v>0</v>
      </c>
      <c r="O87" s="10">
        <v>-1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1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</row>
    <row r="88" spans="1:43" x14ac:dyDescent="0.3">
      <c r="A88" s="10" t="s">
        <v>233</v>
      </c>
      <c r="B88" s="40" t="s">
        <v>139</v>
      </c>
      <c r="C88" s="50">
        <v>53.2290979904759</v>
      </c>
      <c r="D88" s="10">
        <v>25</v>
      </c>
      <c r="E88" s="10">
        <v>-13.47</v>
      </c>
      <c r="F88" s="109"/>
      <c r="G88" s="109"/>
      <c r="H88" s="2">
        <f>(C88+C91)*E88</f>
        <v>-2059.4393318551151</v>
      </c>
      <c r="I88" s="11">
        <v>1.902E-3</v>
      </c>
      <c r="J88" s="3">
        <f>(C88+C91)*I88</f>
        <v>0.29079833772742608</v>
      </c>
      <c r="K88" s="10">
        <v>40.340000000000003</v>
      </c>
      <c r="L88" s="40" t="s">
        <v>161</v>
      </c>
      <c r="M88" s="10">
        <v>0</v>
      </c>
      <c r="N88" s="10">
        <v>0</v>
      </c>
      <c r="O88" s="10">
        <v>0</v>
      </c>
      <c r="P88" s="10">
        <v>-1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1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</row>
    <row r="89" spans="1:43" x14ac:dyDescent="0.3">
      <c r="A89" s="10" t="s">
        <v>233</v>
      </c>
      <c r="B89" s="40" t="s">
        <v>140</v>
      </c>
      <c r="C89" s="50">
        <v>1076.978414341766</v>
      </c>
      <c r="D89" s="10">
        <v>25</v>
      </c>
      <c r="E89" s="10">
        <v>2.6239999999999999E-2</v>
      </c>
      <c r="F89" s="109"/>
      <c r="G89" s="109"/>
      <c r="H89" s="2">
        <f>C89*E89</f>
        <v>28.259913592327941</v>
      </c>
      <c r="I89" s="11">
        <v>1.044E-3</v>
      </c>
      <c r="J89" s="3">
        <f t="shared" si="5"/>
        <v>1.1243654645728036</v>
      </c>
      <c r="K89" s="10">
        <v>25.13</v>
      </c>
      <c r="L89" s="40" t="s">
        <v>162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39">
        <f>-M64/M62*5.7</f>
        <v>-5.9373802245171393E-2</v>
      </c>
      <c r="AH89" s="10">
        <v>0</v>
      </c>
      <c r="AI89" s="10">
        <v>1</v>
      </c>
      <c r="AJ89" s="10">
        <v>0</v>
      </c>
      <c r="AK89" s="10">
        <v>0</v>
      </c>
      <c r="AL89" s="39">
        <f>M64/M62*5.7</f>
        <v>5.9373802245171393E-2</v>
      </c>
      <c r="AM89" s="10">
        <v>0</v>
      </c>
      <c r="AN89" s="10">
        <v>-1</v>
      </c>
      <c r="AO89" s="10">
        <v>0</v>
      </c>
      <c r="AP89" s="10">
        <v>0</v>
      </c>
      <c r="AQ89" s="10">
        <v>0</v>
      </c>
    </row>
    <row r="90" spans="1:43" x14ac:dyDescent="0.3">
      <c r="A90" s="10" t="s">
        <v>232</v>
      </c>
      <c r="B90" s="40" t="s">
        <v>166</v>
      </c>
      <c r="C90" s="50">
        <v>99.661721003964729</v>
      </c>
      <c r="D90" s="10">
        <v>25</v>
      </c>
      <c r="E90" s="10">
        <v>-15.87</v>
      </c>
      <c r="F90" s="109"/>
      <c r="G90" s="109"/>
      <c r="H90" s="2">
        <f t="shared" si="4"/>
        <v>-1581.6315123329202</v>
      </c>
      <c r="K90" s="10">
        <v>41.2</v>
      </c>
      <c r="L90" s="40" t="s">
        <v>141</v>
      </c>
      <c r="M90" s="10">
        <v>0</v>
      </c>
      <c r="N90" s="10">
        <f>'PCI &amp; Oxi Case'!$C$49/100</f>
        <v>0.05</v>
      </c>
      <c r="O90" s="10">
        <f>'PCI &amp; Oxi Case'!$C$49/100</f>
        <v>0.05</v>
      </c>
      <c r="P90" s="10">
        <f>'PCI &amp; Oxi Case'!$C$49/100</f>
        <v>0.05</v>
      </c>
      <c r="Q90" s="10">
        <f>'PCI &amp; Oxi Case'!$C$49/100</f>
        <v>0.05</v>
      </c>
      <c r="R90" s="10">
        <f>'PCI &amp; Oxi Case'!$C$49/100</f>
        <v>0.05</v>
      </c>
      <c r="S90" s="10">
        <f>'PCI &amp; Oxi Case'!$C$49/100</f>
        <v>0.05</v>
      </c>
      <c r="T90" s="10">
        <f>'PCI &amp; Oxi Case'!$C$49/100</f>
        <v>0.05</v>
      </c>
      <c r="U90" s="10">
        <f>'PCI &amp; Oxi Case'!$C$49/100</f>
        <v>0.05</v>
      </c>
      <c r="V90" s="10">
        <f>'PCI &amp; Oxi Case'!$C$49/100</f>
        <v>0.05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-1</v>
      </c>
      <c r="AQ90" s="10">
        <v>0</v>
      </c>
    </row>
    <row r="91" spans="1:43" x14ac:dyDescent="0.3">
      <c r="A91" s="10" t="s">
        <v>233</v>
      </c>
      <c r="B91" s="40" t="s">
        <v>167</v>
      </c>
      <c r="C91" s="50">
        <v>99.661721003964729</v>
      </c>
      <c r="D91" s="10">
        <v>25</v>
      </c>
      <c r="E91" s="10">
        <v>-15.87</v>
      </c>
      <c r="F91" s="110"/>
      <c r="G91" s="110"/>
      <c r="H91" s="2">
        <f>SUM(H85:H89)</f>
        <v>-10281.603506276613</v>
      </c>
      <c r="J91" s="2">
        <f>SUM(J85:J89)</f>
        <v>2.5964783976064441</v>
      </c>
      <c r="K91" s="10">
        <v>41.4</v>
      </c>
      <c r="L91" s="40" t="s">
        <v>142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-1</v>
      </c>
      <c r="AQ91" s="10">
        <v>1</v>
      </c>
    </row>
    <row r="93" spans="1:43" ht="23.4" customHeight="1" x14ac:dyDescent="0.3">
      <c r="A93" s="107" t="s">
        <v>239</v>
      </c>
      <c r="B93" s="107"/>
      <c r="C93" s="107"/>
      <c r="D93" s="107"/>
      <c r="E93" s="107"/>
      <c r="F93" s="107"/>
      <c r="G93" s="107"/>
    </row>
    <row r="94" spans="1:43" ht="14.4" customHeight="1" x14ac:dyDescent="0.3">
      <c r="A94" s="111" t="s">
        <v>228</v>
      </c>
      <c r="B94" s="112"/>
      <c r="C94" s="112"/>
      <c r="D94" s="113"/>
      <c r="H94" s="2">
        <f>(C98-H91)/J91</f>
        <v>107.50964045665616</v>
      </c>
    </row>
    <row r="95" spans="1:43" x14ac:dyDescent="0.3">
      <c r="A95" s="10">
        <v>40.200000000000003</v>
      </c>
      <c r="B95" s="40" t="s">
        <v>104</v>
      </c>
      <c r="C95" s="38">
        <f>SUM(H62:H70,H80:H84,H90)</f>
        <v>-16812.643185537392</v>
      </c>
      <c r="D95" s="10"/>
    </row>
    <row r="96" spans="1:43" x14ac:dyDescent="0.3">
      <c r="A96" s="10">
        <v>40.299999999999997</v>
      </c>
      <c r="B96" s="40" t="s">
        <v>106</v>
      </c>
      <c r="C96" s="38">
        <f>C95-80</f>
        <v>-16892.643185537392</v>
      </c>
      <c r="D96" s="10"/>
    </row>
    <row r="97" spans="1:4" x14ac:dyDescent="0.3">
      <c r="A97" s="111" t="s">
        <v>229</v>
      </c>
      <c r="B97" s="112"/>
      <c r="C97" s="112"/>
      <c r="D97" s="113"/>
    </row>
    <row r="98" spans="1:4" x14ac:dyDescent="0.3">
      <c r="A98" s="10">
        <v>40.5</v>
      </c>
      <c r="B98" s="40" t="s">
        <v>164</v>
      </c>
      <c r="C98" s="38">
        <f>C96-SUM(H71:H79)</f>
        <v>-10002.45704729647</v>
      </c>
      <c r="D98" s="40"/>
    </row>
    <row r="99" spans="1:4" x14ac:dyDescent="0.3">
      <c r="A99" s="111" t="s">
        <v>230</v>
      </c>
      <c r="B99" s="112"/>
      <c r="C99" s="112"/>
      <c r="D99" s="113"/>
    </row>
    <row r="100" spans="1:4" x14ac:dyDescent="0.3">
      <c r="A100" s="10">
        <v>40.700000000000003</v>
      </c>
      <c r="B100" s="40" t="s">
        <v>165</v>
      </c>
      <c r="C100" s="38">
        <f>(C98-C85*-3.972-C86*-8.966-C87*-0.3616-(C88+C91)*-13.47-C89*-0.02624)/(C85*0.001049+C86*0.0009314+C87*0.01442+(C88+C91)*0.001902+C89*0.001044)</f>
        <v>129.27751930238745</v>
      </c>
      <c r="D100" s="10"/>
    </row>
  </sheetData>
  <mergeCells count="19">
    <mergeCell ref="K2:AQ2"/>
    <mergeCell ref="A2:G2"/>
    <mergeCell ref="N36:P36"/>
    <mergeCell ref="A54:G54"/>
    <mergeCell ref="A60:G60"/>
    <mergeCell ref="K60:S60"/>
    <mergeCell ref="F38:F52"/>
    <mergeCell ref="G38:G52"/>
    <mergeCell ref="F4:F33"/>
    <mergeCell ref="G4:G33"/>
    <mergeCell ref="A36:C36"/>
    <mergeCell ref="D36:F36"/>
    <mergeCell ref="K36:M36"/>
    <mergeCell ref="F62:F91"/>
    <mergeCell ref="G62:G91"/>
    <mergeCell ref="A99:D99"/>
    <mergeCell ref="A97:D97"/>
    <mergeCell ref="A94:D94"/>
    <mergeCell ref="A93:G9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5144-AC08-4BD2-8A3E-3DDB1C9DC809}">
  <dimension ref="A2:AR100"/>
  <sheetViews>
    <sheetView topLeftCell="A46" zoomScale="55" zoomScaleNormal="55" workbookViewId="0">
      <selection activeCell="C66" sqref="C66"/>
    </sheetView>
  </sheetViews>
  <sheetFormatPr defaultRowHeight="13.8" x14ac:dyDescent="0.3"/>
  <cols>
    <col min="1" max="1" width="10" style="2" customWidth="1"/>
    <col min="2" max="2" width="43.88671875" style="2" bestFit="1" customWidth="1"/>
    <col min="3" max="3" width="19.21875" style="2" bestFit="1" customWidth="1"/>
    <col min="4" max="5" width="13.33203125" style="2" customWidth="1"/>
    <col min="6" max="6" width="11" style="2" bestFit="1" customWidth="1"/>
    <col min="7" max="7" width="12.44140625" style="2" bestFit="1" customWidth="1"/>
    <col min="8" max="10" width="1" style="2" customWidth="1"/>
    <col min="11" max="11" width="8.88671875" style="2" bestFit="1" customWidth="1"/>
    <col min="12" max="12" width="38.88671875" style="2" customWidth="1"/>
    <col min="13" max="43" width="22.21875" style="2" customWidth="1"/>
    <col min="44" max="16384" width="8.88671875" style="2"/>
  </cols>
  <sheetData>
    <row r="2" spans="1:44" ht="23.4" customHeight="1" x14ac:dyDescent="0.3">
      <c r="A2" s="116" t="s">
        <v>240</v>
      </c>
      <c r="B2" s="107"/>
      <c r="C2" s="107"/>
      <c r="D2" s="107"/>
      <c r="E2" s="107"/>
      <c r="F2" s="107"/>
      <c r="G2" s="107"/>
      <c r="H2" s="1"/>
      <c r="I2" s="1"/>
      <c r="K2" s="114" t="s">
        <v>241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</row>
    <row r="3" spans="1:44" s="4" customFormat="1" ht="41.4" x14ac:dyDescent="0.3">
      <c r="A3" s="55" t="s">
        <v>231</v>
      </c>
      <c r="B3" s="55" t="s">
        <v>0</v>
      </c>
      <c r="C3" s="56" t="s">
        <v>168</v>
      </c>
      <c r="D3" s="56" t="s">
        <v>101</v>
      </c>
      <c r="E3" s="56" t="s">
        <v>100</v>
      </c>
      <c r="F3" s="55" t="s">
        <v>234</v>
      </c>
      <c r="G3" s="55" t="s">
        <v>235</v>
      </c>
      <c r="K3" s="55" t="s">
        <v>31</v>
      </c>
      <c r="L3" s="55" t="s">
        <v>32</v>
      </c>
      <c r="M3" s="55" t="s">
        <v>63</v>
      </c>
      <c r="N3" s="56" t="s">
        <v>64</v>
      </c>
      <c r="O3" s="56" t="s">
        <v>2</v>
      </c>
      <c r="P3" s="56" t="s">
        <v>3</v>
      </c>
      <c r="Q3" s="56" t="s">
        <v>4</v>
      </c>
      <c r="R3" s="56" t="s">
        <v>5</v>
      </c>
      <c r="S3" s="56" t="s">
        <v>6</v>
      </c>
      <c r="T3" s="56" t="s">
        <v>7</v>
      </c>
      <c r="U3" s="56" t="s">
        <v>8</v>
      </c>
      <c r="V3" s="56" t="s">
        <v>9</v>
      </c>
      <c r="W3" s="56" t="s">
        <v>10</v>
      </c>
      <c r="X3" s="56" t="s">
        <v>11</v>
      </c>
      <c r="Y3" s="56" t="s">
        <v>12</v>
      </c>
      <c r="Z3" s="56" t="s">
        <v>13</v>
      </c>
      <c r="AA3" s="56" t="s">
        <v>14</v>
      </c>
      <c r="AB3" s="56" t="s">
        <v>15</v>
      </c>
      <c r="AC3" s="56" t="s">
        <v>16</v>
      </c>
      <c r="AD3" s="56" t="s">
        <v>17</v>
      </c>
      <c r="AE3" s="56" t="s">
        <v>18</v>
      </c>
      <c r="AF3" s="56" t="s">
        <v>19</v>
      </c>
      <c r="AG3" s="56" t="s">
        <v>20</v>
      </c>
      <c r="AH3" s="56" t="s">
        <v>21</v>
      </c>
      <c r="AI3" s="56" t="s">
        <v>22</v>
      </c>
      <c r="AJ3" s="56" t="s">
        <v>23</v>
      </c>
      <c r="AK3" s="56" t="s">
        <v>24</v>
      </c>
      <c r="AL3" s="56" t="s">
        <v>25</v>
      </c>
      <c r="AM3" s="56" t="s">
        <v>26</v>
      </c>
      <c r="AN3" s="56" t="s">
        <v>27</v>
      </c>
      <c r="AO3" s="56" t="s">
        <v>65</v>
      </c>
      <c r="AP3" s="56" t="s">
        <v>29</v>
      </c>
      <c r="AQ3" s="56" t="s">
        <v>30</v>
      </c>
    </row>
    <row r="4" spans="1:44" x14ac:dyDescent="0.3">
      <c r="A4" s="43" t="s">
        <v>232</v>
      </c>
      <c r="B4" s="44" t="s">
        <v>1</v>
      </c>
      <c r="C4" s="45" cm="1">
        <f t="array" ref="C4:C33">MMULT(MINVERSE(N4:AQ33),M4:M33)</f>
        <v>1302.083333333333</v>
      </c>
      <c r="D4" s="10">
        <v>930</v>
      </c>
      <c r="E4" s="10">
        <v>-3.1520000000000001</v>
      </c>
      <c r="F4" s="115">
        <f>SUM(C4:C7,C15:C16,C18:C19,C21,C23,,C29:C33,C27)</f>
        <v>3543.5901349629607</v>
      </c>
      <c r="G4" s="115">
        <f>SUM(C8:C14,C17,C20,C22,C24,C25:C26,C28)</f>
        <v>3543.664899639964</v>
      </c>
      <c r="H4" s="6"/>
      <c r="I4" s="6"/>
      <c r="K4" s="10">
        <v>7.7</v>
      </c>
      <c r="L4" s="40" t="s">
        <v>33</v>
      </c>
      <c r="M4" s="10">
        <v>1000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2">
        <f>SUM(N4:AQ4)</f>
        <v>1</v>
      </c>
    </row>
    <row r="5" spans="1:44" x14ac:dyDescent="0.3">
      <c r="A5" s="81" t="s">
        <v>232</v>
      </c>
      <c r="B5" s="82" t="s">
        <v>2</v>
      </c>
      <c r="C5" s="83">
        <v>363.05428917592565</v>
      </c>
      <c r="D5" s="10">
        <v>930</v>
      </c>
      <c r="E5" s="10">
        <v>1.359</v>
      </c>
      <c r="F5" s="115"/>
      <c r="G5" s="115"/>
      <c r="H5" s="6"/>
      <c r="I5" s="6"/>
      <c r="K5" s="10">
        <v>32.200000000000003</v>
      </c>
      <c r="L5" s="40" t="s">
        <v>34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7.5300000000000006E-2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-1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2">
        <f t="shared" ref="AR5:AR33" si="0">SUM(N5:AQ5)</f>
        <v>-0.92469999999999997</v>
      </c>
    </row>
    <row r="6" spans="1:44" x14ac:dyDescent="0.3">
      <c r="A6" s="43" t="s">
        <v>232</v>
      </c>
      <c r="B6" s="44" t="s">
        <v>3</v>
      </c>
      <c r="C6" s="45">
        <v>352.73031089034316</v>
      </c>
      <c r="D6" s="10">
        <v>1200</v>
      </c>
      <c r="E6" s="10">
        <v>1.2390000000000001</v>
      </c>
      <c r="F6" s="115"/>
      <c r="G6" s="115"/>
      <c r="H6" s="6"/>
      <c r="I6" s="6"/>
      <c r="K6" s="10">
        <v>34.4</v>
      </c>
      <c r="L6" s="40" t="s">
        <v>35</v>
      </c>
      <c r="M6" s="10">
        <v>0</v>
      </c>
      <c r="N6" s="10">
        <v>0</v>
      </c>
      <c r="O6" s="10">
        <v>7.7799999999999994E-2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-1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2">
        <f t="shared" si="0"/>
        <v>-0.92220000000000002</v>
      </c>
    </row>
    <row r="7" spans="1:44" x14ac:dyDescent="0.3">
      <c r="A7" s="43" t="s">
        <v>232</v>
      </c>
      <c r="B7" s="44" t="s">
        <v>4</v>
      </c>
      <c r="C7" s="45">
        <v>1164.0100259381325</v>
      </c>
      <c r="D7" s="10">
        <v>1200</v>
      </c>
      <c r="E7" s="10">
        <v>1.339</v>
      </c>
      <c r="F7" s="115"/>
      <c r="G7" s="115"/>
      <c r="H7" s="6"/>
      <c r="I7" s="6"/>
      <c r="K7" s="10">
        <v>7.2</v>
      </c>
      <c r="L7" s="40" t="s">
        <v>36</v>
      </c>
      <c r="M7" s="10">
        <v>0</v>
      </c>
      <c r="N7" s="10">
        <v>-0.76800000000000002</v>
      </c>
      <c r="O7" s="10">
        <v>0</v>
      </c>
      <c r="P7" s="10">
        <v>0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2">
        <f t="shared" si="0"/>
        <v>0.23199999999999998</v>
      </c>
    </row>
    <row r="8" spans="1:44" x14ac:dyDescent="0.3">
      <c r="A8" s="47" t="s">
        <v>233</v>
      </c>
      <c r="B8" s="48" t="s">
        <v>5</v>
      </c>
      <c r="C8" s="49">
        <v>1000.0000000000002</v>
      </c>
      <c r="D8" s="10">
        <v>1500</v>
      </c>
      <c r="E8" s="10">
        <v>1.2689999999999999</v>
      </c>
      <c r="F8" s="115"/>
      <c r="G8" s="115"/>
      <c r="H8" s="6"/>
      <c r="I8" s="6"/>
      <c r="K8" s="10"/>
      <c r="L8" s="51" t="s">
        <v>37</v>
      </c>
      <c r="M8" s="10">
        <v>0</v>
      </c>
      <c r="N8" s="10">
        <v>-0.23200000000000001</v>
      </c>
      <c r="O8" s="10">
        <v>0</v>
      </c>
      <c r="P8" s="10">
        <v>-1</v>
      </c>
      <c r="Q8" s="10">
        <v>0</v>
      </c>
      <c r="R8" s="10">
        <v>0</v>
      </c>
      <c r="S8" s="10">
        <v>0</v>
      </c>
      <c r="T8" s="10">
        <v>0.57099999999999995</v>
      </c>
      <c r="U8" s="10">
        <v>0.72699999999999998</v>
      </c>
      <c r="V8" s="10">
        <v>0</v>
      </c>
      <c r="W8" s="10">
        <v>0</v>
      </c>
      <c r="X8" s="10">
        <v>0.88800000000000001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-1.1399999999999999</v>
      </c>
      <c r="AJ8" s="10">
        <v>-0.29099999999999998</v>
      </c>
      <c r="AK8" s="10">
        <v>0</v>
      </c>
      <c r="AL8" s="10">
        <v>0</v>
      </c>
      <c r="AM8" s="10">
        <v>-4.5999999999999999E-2</v>
      </c>
      <c r="AN8" s="10">
        <v>-1</v>
      </c>
      <c r="AO8" s="10">
        <v>-0.88800000000000001</v>
      </c>
      <c r="AP8" s="10">
        <v>-0.01</v>
      </c>
      <c r="AQ8" s="10">
        <v>0</v>
      </c>
      <c r="AR8" s="2">
        <f t="shared" si="0"/>
        <v>-2.4209999999999998</v>
      </c>
    </row>
    <row r="9" spans="1:44" x14ac:dyDescent="0.3">
      <c r="A9" s="47" t="s">
        <v>233</v>
      </c>
      <c r="B9" s="48" t="s">
        <v>6</v>
      </c>
      <c r="C9" s="49">
        <v>47.600000000000023</v>
      </c>
      <c r="D9" s="10">
        <v>1500</v>
      </c>
      <c r="E9" s="10">
        <v>5</v>
      </c>
      <c r="F9" s="115"/>
      <c r="G9" s="115"/>
      <c r="H9" s="6"/>
      <c r="I9" s="6"/>
      <c r="K9" s="10"/>
      <c r="L9" s="51" t="s">
        <v>38</v>
      </c>
      <c r="M9" s="10">
        <v>0</v>
      </c>
      <c r="N9" s="10">
        <v>0</v>
      </c>
      <c r="O9" s="10">
        <v>-1</v>
      </c>
      <c r="P9" s="10">
        <v>0</v>
      </c>
      <c r="Q9" s="10">
        <v>0</v>
      </c>
      <c r="R9" s="10">
        <v>0</v>
      </c>
      <c r="S9" s="10">
        <v>1</v>
      </c>
      <c r="T9" s="10">
        <v>0.42899999999999999</v>
      </c>
      <c r="U9" s="10">
        <v>0.27300000000000002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-0.81</v>
      </c>
      <c r="AN9" s="10">
        <v>0</v>
      </c>
      <c r="AO9" s="10">
        <v>0</v>
      </c>
      <c r="AP9" s="10">
        <v>-0.73399999999999999</v>
      </c>
      <c r="AQ9" s="10">
        <v>0</v>
      </c>
      <c r="AR9" s="2">
        <f t="shared" si="0"/>
        <v>-0.84200000000000008</v>
      </c>
    </row>
    <row r="10" spans="1:44" x14ac:dyDescent="0.3">
      <c r="A10" s="47" t="s">
        <v>233</v>
      </c>
      <c r="B10" s="48" t="s">
        <v>7</v>
      </c>
      <c r="C10" s="49">
        <v>614.83856595219368</v>
      </c>
      <c r="D10" s="10">
        <v>930</v>
      </c>
      <c r="E10" s="10">
        <v>-2.9260000000000002</v>
      </c>
      <c r="F10" s="115"/>
      <c r="G10" s="115"/>
      <c r="H10" s="6"/>
      <c r="I10" s="6"/>
      <c r="K10" s="10">
        <v>37.9</v>
      </c>
      <c r="L10" s="40" t="s">
        <v>39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-1</v>
      </c>
      <c r="Z10" s="10">
        <v>-1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2.14</v>
      </c>
      <c r="AJ10" s="10">
        <v>0</v>
      </c>
      <c r="AK10" s="10">
        <v>0</v>
      </c>
      <c r="AL10" s="10">
        <v>0</v>
      </c>
      <c r="AM10" s="10">
        <v>-5.6000000000000001E-2</v>
      </c>
      <c r="AN10" s="10">
        <v>0</v>
      </c>
      <c r="AO10" s="10">
        <v>0</v>
      </c>
      <c r="AP10" s="10">
        <v>0</v>
      </c>
      <c r="AQ10" s="10">
        <v>0</v>
      </c>
      <c r="AR10" s="2">
        <f t="shared" si="0"/>
        <v>1.0840000000000001</v>
      </c>
    </row>
    <row r="11" spans="1:44" x14ac:dyDescent="0.3">
      <c r="A11" s="47" t="s">
        <v>233</v>
      </c>
      <c r="B11" s="48" t="s">
        <v>8</v>
      </c>
      <c r="C11" s="49">
        <v>426.69796477082241</v>
      </c>
      <c r="D11" s="10">
        <v>930</v>
      </c>
      <c r="E11" s="10">
        <v>-7.9260000000000002</v>
      </c>
      <c r="F11" s="115"/>
      <c r="G11" s="115"/>
      <c r="H11" s="6"/>
      <c r="I11" s="6"/>
      <c r="K11" s="10"/>
      <c r="L11" s="51" t="s">
        <v>40</v>
      </c>
      <c r="M11" s="10">
        <v>0</v>
      </c>
      <c r="N11" s="10">
        <v>0</v>
      </c>
      <c r="O11" s="10">
        <v>0</v>
      </c>
      <c r="P11" s="10">
        <v>0</v>
      </c>
      <c r="Q11" s="10">
        <v>-1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-8.9999999999999993E-3</v>
      </c>
      <c r="AN11" s="10">
        <v>0</v>
      </c>
      <c r="AO11" s="10">
        <v>0</v>
      </c>
      <c r="AP11" s="10">
        <v>-1.7000000000000001E-2</v>
      </c>
      <c r="AQ11" s="10">
        <v>0</v>
      </c>
      <c r="AR11" s="2">
        <f t="shared" si="0"/>
        <v>-2.6000000000000002E-2</v>
      </c>
    </row>
    <row r="12" spans="1:44" x14ac:dyDescent="0.3">
      <c r="A12" s="47" t="s">
        <v>233</v>
      </c>
      <c r="B12" s="48" t="s">
        <v>9</v>
      </c>
      <c r="C12" s="49">
        <v>1164.7300259381325</v>
      </c>
      <c r="D12" s="10">
        <v>930</v>
      </c>
      <c r="E12" s="10">
        <v>1.008</v>
      </c>
      <c r="F12" s="115"/>
      <c r="G12" s="115"/>
      <c r="H12" s="6"/>
      <c r="I12" s="6"/>
      <c r="K12" s="10">
        <v>7.6</v>
      </c>
      <c r="L12" s="40" t="s">
        <v>41</v>
      </c>
      <c r="M12" s="10">
        <v>0</v>
      </c>
      <c r="N12" s="10">
        <v>0</v>
      </c>
      <c r="O12" s="10">
        <v>0</v>
      </c>
      <c r="P12" s="10">
        <v>3.3</v>
      </c>
      <c r="Q12" s="10">
        <v>-1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2">
        <f t="shared" si="0"/>
        <v>2.2999999999999998</v>
      </c>
    </row>
    <row r="13" spans="1:44" x14ac:dyDescent="0.3">
      <c r="A13" s="47" t="s">
        <v>233</v>
      </c>
      <c r="B13" s="48" t="s">
        <v>10</v>
      </c>
      <c r="C13" s="49">
        <v>4.0293522750251745</v>
      </c>
      <c r="F13" s="115"/>
      <c r="G13" s="115"/>
      <c r="H13" s="6"/>
      <c r="I13" s="6"/>
      <c r="K13" s="10">
        <v>7.9</v>
      </c>
      <c r="L13" s="40" t="s">
        <v>42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0.69399999999999995</v>
      </c>
      <c r="U13" s="10">
        <v>-1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2">
        <f t="shared" si="0"/>
        <v>-0.30600000000000005</v>
      </c>
    </row>
    <row r="14" spans="1:44" x14ac:dyDescent="0.3">
      <c r="A14" s="47" t="s">
        <v>233</v>
      </c>
      <c r="B14" s="48" t="s">
        <v>11</v>
      </c>
      <c r="C14" s="49">
        <v>21.919676376136955</v>
      </c>
      <c r="F14" s="115"/>
      <c r="G14" s="115"/>
      <c r="H14" s="6"/>
      <c r="I14" s="6"/>
      <c r="K14" s="10">
        <v>36.299999999999997</v>
      </c>
      <c r="L14" s="40" t="s">
        <v>43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4.7600000000000003E-2</v>
      </c>
      <c r="S14" s="10">
        <v>-1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2">
        <f t="shared" si="0"/>
        <v>-0.95240000000000002</v>
      </c>
    </row>
    <row r="15" spans="1:44" x14ac:dyDescent="0.3">
      <c r="A15" s="43" t="s">
        <v>232</v>
      </c>
      <c r="B15" s="44" t="s">
        <v>12</v>
      </c>
      <c r="C15" s="45">
        <v>75.300000000000026</v>
      </c>
      <c r="F15" s="115"/>
      <c r="G15" s="115"/>
      <c r="H15" s="6"/>
      <c r="I15" s="6"/>
      <c r="K15" s="10">
        <v>34.200000000000003</v>
      </c>
      <c r="L15" s="40" t="s">
        <v>44</v>
      </c>
      <c r="M15" s="10">
        <v>0</v>
      </c>
      <c r="N15" s="10">
        <v>0</v>
      </c>
      <c r="O15" s="10">
        <v>3.3300000000000003E-2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-1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2">
        <f t="shared" si="0"/>
        <v>-0.9667</v>
      </c>
    </row>
    <row r="16" spans="1:44" x14ac:dyDescent="0.3">
      <c r="A16" s="43" t="s">
        <v>232</v>
      </c>
      <c r="B16" s="44" t="s">
        <v>13</v>
      </c>
      <c r="C16" s="45">
        <v>28.245623697887005</v>
      </c>
      <c r="F16" s="115"/>
      <c r="G16" s="115"/>
      <c r="H16" s="6"/>
      <c r="I16" s="6"/>
      <c r="K16" s="10">
        <v>32.5</v>
      </c>
      <c r="L16" s="40" t="s">
        <v>45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0.25600000000000001</v>
      </c>
      <c r="AB16" s="10">
        <v>0</v>
      </c>
      <c r="AC16" s="10">
        <v>0</v>
      </c>
      <c r="AD16" s="10">
        <v>-1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2">
        <f t="shared" si="0"/>
        <v>-0.74399999999999999</v>
      </c>
    </row>
    <row r="17" spans="1:44" x14ac:dyDescent="0.3">
      <c r="A17" s="47" t="s">
        <v>233</v>
      </c>
      <c r="B17" s="48" t="s">
        <v>14</v>
      </c>
      <c r="C17" s="49">
        <v>98.973423697887029</v>
      </c>
      <c r="F17" s="115"/>
      <c r="G17" s="115"/>
      <c r="H17" s="6"/>
      <c r="I17" s="6"/>
      <c r="K17" s="10">
        <v>37.700000000000003</v>
      </c>
      <c r="L17" s="40" t="s">
        <v>46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-1</v>
      </c>
      <c r="AC17" s="10">
        <v>-1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-2.4E-2</v>
      </c>
      <c r="AN17" s="10">
        <v>0</v>
      </c>
      <c r="AO17" s="10">
        <v>0</v>
      </c>
      <c r="AP17" s="10">
        <v>0</v>
      </c>
      <c r="AQ17" s="10">
        <v>0</v>
      </c>
      <c r="AR17" s="2">
        <f t="shared" si="0"/>
        <v>-1.024</v>
      </c>
    </row>
    <row r="18" spans="1:44" x14ac:dyDescent="0.3">
      <c r="A18" s="43" t="s">
        <v>232</v>
      </c>
      <c r="B18" s="44" t="s">
        <v>15</v>
      </c>
      <c r="C18" s="45">
        <v>11.327488637100757</v>
      </c>
      <c r="F18" s="115"/>
      <c r="G18" s="115"/>
      <c r="H18" s="6"/>
      <c r="I18" s="6"/>
      <c r="K18" s="10">
        <v>32.6</v>
      </c>
      <c r="L18" s="40" t="s">
        <v>47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1.05</v>
      </c>
      <c r="AB18" s="10">
        <v>0</v>
      </c>
      <c r="AC18" s="10">
        <v>0</v>
      </c>
      <c r="AD18" s="10">
        <v>0</v>
      </c>
      <c r="AE18" s="10">
        <v>0</v>
      </c>
      <c r="AF18" s="10">
        <v>-1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2">
        <f t="shared" si="0"/>
        <v>5.0000000000000044E-2</v>
      </c>
    </row>
    <row r="19" spans="1:44" x14ac:dyDescent="0.3">
      <c r="A19" s="43" t="s">
        <v>232</v>
      </c>
      <c r="B19" s="44" t="s">
        <v>16</v>
      </c>
      <c r="C19" s="45">
        <v>12.089707829558325</v>
      </c>
      <c r="F19" s="115"/>
      <c r="G19" s="115"/>
      <c r="H19" s="6"/>
      <c r="I19" s="6"/>
      <c r="K19" s="10">
        <v>32.9</v>
      </c>
      <c r="L19" s="40" t="s">
        <v>48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-1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2">
        <f t="shared" si="0"/>
        <v>0</v>
      </c>
    </row>
    <row r="20" spans="1:44" x14ac:dyDescent="0.3">
      <c r="A20" s="47" t="s">
        <v>233</v>
      </c>
      <c r="B20" s="48" t="s">
        <v>17</v>
      </c>
      <c r="C20" s="49">
        <v>25.337196466659083</v>
      </c>
      <c r="F20" s="115"/>
      <c r="G20" s="115"/>
      <c r="H20" s="6"/>
      <c r="I20" s="6"/>
      <c r="K20" s="10">
        <v>32.700000000000003</v>
      </c>
      <c r="L20" s="40" t="s">
        <v>49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0.25600000000000001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-1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2">
        <f t="shared" si="0"/>
        <v>-0.74399999999999999</v>
      </c>
    </row>
    <row r="21" spans="1:44" x14ac:dyDescent="0.3">
      <c r="A21" s="43" t="s">
        <v>232</v>
      </c>
      <c r="B21" s="44" t="s">
        <v>18</v>
      </c>
      <c r="C21" s="45">
        <v>103.92209488278139</v>
      </c>
      <c r="F21" s="115"/>
      <c r="G21" s="115"/>
      <c r="H21" s="6"/>
      <c r="I21" s="6"/>
      <c r="K21" s="10">
        <v>32.1</v>
      </c>
      <c r="L21" s="40" t="s">
        <v>50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-1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2">
        <f t="shared" si="0"/>
        <v>0</v>
      </c>
    </row>
    <row r="22" spans="1:44" x14ac:dyDescent="0.3">
      <c r="A22" s="47" t="s">
        <v>233</v>
      </c>
      <c r="B22" s="48" t="s">
        <v>19</v>
      </c>
      <c r="C22" s="49">
        <v>103.92209488278139</v>
      </c>
      <c r="F22" s="115"/>
      <c r="G22" s="115"/>
      <c r="H22" s="6"/>
      <c r="I22" s="6"/>
      <c r="K22" s="10"/>
      <c r="L22" s="51" t="s">
        <v>51</v>
      </c>
      <c r="M22" s="10">
        <v>-320</v>
      </c>
      <c r="N22" s="42">
        <v>3.1520000000000001</v>
      </c>
      <c r="O22" s="10">
        <v>-1.359</v>
      </c>
      <c r="P22" s="10">
        <v>-1.2390000000000001</v>
      </c>
      <c r="Q22" s="10">
        <v>-1.339</v>
      </c>
      <c r="R22" s="10">
        <v>1.2689999999999999</v>
      </c>
      <c r="S22" s="10">
        <v>5</v>
      </c>
      <c r="T22" s="10">
        <v>-2.9260000000000002</v>
      </c>
      <c r="U22" s="10">
        <v>-7.9260000000000002</v>
      </c>
      <c r="V22" s="10">
        <v>1.008</v>
      </c>
      <c r="W22" s="10">
        <v>13.35</v>
      </c>
      <c r="X22" s="10">
        <v>-11.49</v>
      </c>
      <c r="Y22" s="10">
        <v>14.13</v>
      </c>
      <c r="Z22" s="10">
        <v>14.13</v>
      </c>
      <c r="AA22" s="10">
        <v>-13.28</v>
      </c>
      <c r="AB22" s="10">
        <v>15.41</v>
      </c>
      <c r="AC22" s="10">
        <v>15.41</v>
      </c>
      <c r="AD22" s="10">
        <v>-13.58</v>
      </c>
      <c r="AE22" s="10">
        <v>10.5</v>
      </c>
      <c r="AF22" s="10">
        <v>-8.4949999999999992</v>
      </c>
      <c r="AG22" s="10">
        <v>13.84</v>
      </c>
      <c r="AH22" s="10">
        <v>-11.14</v>
      </c>
      <c r="AI22" s="10">
        <v>-2.15</v>
      </c>
      <c r="AJ22" s="10">
        <v>1.27</v>
      </c>
      <c r="AK22" s="10">
        <v>4.7699999999999996</v>
      </c>
      <c r="AL22" s="10">
        <v>-3.53</v>
      </c>
      <c r="AM22" s="10">
        <v>1.2</v>
      </c>
      <c r="AN22" s="10">
        <v>-1.2390000000000001</v>
      </c>
      <c r="AO22" s="10">
        <v>10.81</v>
      </c>
      <c r="AP22" s="10">
        <v>4.5199999999999996</v>
      </c>
      <c r="AQ22" s="10">
        <v>0</v>
      </c>
      <c r="AR22" s="2">
        <f t="shared" si="0"/>
        <v>50.076000000000008</v>
      </c>
    </row>
    <row r="23" spans="1:44" x14ac:dyDescent="0.3">
      <c r="A23" s="43" t="s">
        <v>232</v>
      </c>
      <c r="B23" s="44" t="s">
        <v>20</v>
      </c>
      <c r="C23" s="45">
        <v>25.33719646665908</v>
      </c>
      <c r="F23" s="115"/>
      <c r="G23" s="115"/>
      <c r="H23" s="6"/>
      <c r="I23" s="6"/>
      <c r="K23" s="10">
        <v>36.4</v>
      </c>
      <c r="L23" s="40" t="s">
        <v>52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4.2300000000000003E-3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-1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2">
        <f t="shared" si="0"/>
        <v>-0.99577000000000004</v>
      </c>
    </row>
    <row r="24" spans="1:44" x14ac:dyDescent="0.3">
      <c r="A24" s="47" t="s">
        <v>233</v>
      </c>
      <c r="B24" s="48" t="s">
        <v>21</v>
      </c>
      <c r="C24" s="49">
        <v>25.33719646665908</v>
      </c>
      <c r="D24" s="6"/>
      <c r="E24" s="6"/>
      <c r="F24" s="115"/>
      <c r="G24" s="115"/>
      <c r="H24" s="6"/>
      <c r="I24" s="6"/>
      <c r="K24" s="10">
        <v>36.5</v>
      </c>
      <c r="L24" s="40" t="s">
        <v>53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5.2900000000000004E-3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-1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2">
        <f t="shared" si="0"/>
        <v>-0.99470999999999998</v>
      </c>
    </row>
    <row r="25" spans="1:44" x14ac:dyDescent="0.3">
      <c r="A25" s="47" t="s">
        <v>233</v>
      </c>
      <c r="B25" s="48" t="s">
        <v>22</v>
      </c>
      <c r="C25" s="49">
        <v>4.2300000000000004</v>
      </c>
      <c r="F25" s="115"/>
      <c r="G25" s="115"/>
      <c r="H25" s="6"/>
      <c r="I25" s="6"/>
      <c r="K25" s="10">
        <v>36.700000000000003</v>
      </c>
      <c r="L25" s="40" t="s">
        <v>54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1</v>
      </c>
      <c r="AK25" s="10">
        <v>-0.77400000000000002</v>
      </c>
      <c r="AL25" s="10">
        <v>0.77400000000000002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2">
        <f t="shared" si="0"/>
        <v>1</v>
      </c>
    </row>
    <row r="26" spans="1:44" x14ac:dyDescent="0.3">
      <c r="A26" s="47" t="s">
        <v>233</v>
      </c>
      <c r="B26" s="48" t="s">
        <v>23</v>
      </c>
      <c r="C26" s="49">
        <v>5.2900000000000009</v>
      </c>
      <c r="F26" s="115"/>
      <c r="G26" s="115"/>
      <c r="H26" s="6"/>
      <c r="I26" s="6"/>
      <c r="K26" s="10">
        <v>36.9</v>
      </c>
      <c r="L26" s="40" t="s">
        <v>55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-0.1</v>
      </c>
      <c r="AL26" s="10">
        <v>1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2">
        <f t="shared" si="0"/>
        <v>0.9</v>
      </c>
    </row>
    <row r="27" spans="1:44" x14ac:dyDescent="0.3">
      <c r="A27" s="43" t="s">
        <v>232</v>
      </c>
      <c r="B27" s="44" t="s">
        <v>24</v>
      </c>
      <c r="C27" s="45">
        <v>7.5940281366637974</v>
      </c>
      <c r="F27" s="115"/>
      <c r="G27" s="115"/>
      <c r="H27" s="6"/>
      <c r="I27" s="6"/>
      <c r="K27" s="10"/>
      <c r="L27" s="51" t="s">
        <v>56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0.112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-5.6000000000000001E-2</v>
      </c>
      <c r="AN27" s="10">
        <v>0</v>
      </c>
      <c r="AO27" s="10">
        <v>-0.112</v>
      </c>
      <c r="AP27" s="10">
        <v>-0.24</v>
      </c>
      <c r="AQ27" s="10">
        <v>0</v>
      </c>
      <c r="AR27" s="2">
        <f t="shared" si="0"/>
        <v>0.70400000000000007</v>
      </c>
    </row>
    <row r="28" spans="1:44" x14ac:dyDescent="0.3">
      <c r="A28" s="47" t="s">
        <v>233</v>
      </c>
      <c r="B28" s="48" t="s">
        <v>25</v>
      </c>
      <c r="C28" s="49">
        <v>0.75940281366637974</v>
      </c>
      <c r="F28" s="115"/>
      <c r="G28" s="115"/>
      <c r="H28" s="6"/>
      <c r="I28" s="6"/>
      <c r="K28" s="10">
        <v>11.8</v>
      </c>
      <c r="L28" s="40" t="s">
        <v>57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5.44</v>
      </c>
      <c r="X28" s="10">
        <v>-1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2">
        <f t="shared" si="0"/>
        <v>4.4400000000000004</v>
      </c>
    </row>
    <row r="29" spans="1:44" x14ac:dyDescent="0.3">
      <c r="A29" s="43" t="s">
        <v>232</v>
      </c>
      <c r="B29" s="44" t="s">
        <v>26</v>
      </c>
      <c r="C29" s="45">
        <v>80</v>
      </c>
      <c r="F29" s="115"/>
      <c r="G29" s="115"/>
      <c r="H29" s="6"/>
      <c r="I29" s="6"/>
      <c r="K29" s="10">
        <v>37.200000000000003</v>
      </c>
      <c r="L29" s="82" t="s">
        <v>58</v>
      </c>
      <c r="M29" s="81">
        <v>80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0</v>
      </c>
      <c r="AP29" s="10">
        <v>0</v>
      </c>
      <c r="AQ29" s="10">
        <v>0</v>
      </c>
      <c r="AR29" s="2">
        <f t="shared" si="0"/>
        <v>1</v>
      </c>
    </row>
    <row r="30" spans="1:44" x14ac:dyDescent="0.3">
      <c r="A30" s="43" t="s">
        <v>232</v>
      </c>
      <c r="B30" s="44" t="s">
        <v>27</v>
      </c>
      <c r="C30" s="45">
        <v>0</v>
      </c>
      <c r="F30" s="115"/>
      <c r="G30" s="115"/>
      <c r="H30" s="6"/>
      <c r="I30" s="6"/>
      <c r="K30" s="10">
        <v>9.1</v>
      </c>
      <c r="L30" s="82" t="s">
        <v>59</v>
      </c>
      <c r="M30" s="81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2">
        <f t="shared" si="0"/>
        <v>1</v>
      </c>
    </row>
    <row r="31" spans="1:44" x14ac:dyDescent="0.3">
      <c r="A31" s="43" t="s">
        <v>232</v>
      </c>
      <c r="B31" s="44" t="s">
        <v>28</v>
      </c>
      <c r="C31" s="45">
        <v>17.896035974576016</v>
      </c>
      <c r="F31" s="115"/>
      <c r="G31" s="115"/>
      <c r="H31" s="6"/>
      <c r="I31" s="6"/>
      <c r="K31" s="10">
        <v>12.2</v>
      </c>
      <c r="L31" s="82" t="s">
        <v>60</v>
      </c>
      <c r="M31" s="81">
        <v>1.5E-3</v>
      </c>
      <c r="N31" s="10">
        <v>0</v>
      </c>
      <c r="O31" s="10">
        <v>0</v>
      </c>
      <c r="P31" s="10">
        <v>1.18E-2</v>
      </c>
      <c r="Q31" s="10">
        <v>1.18E-2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-1</v>
      </c>
      <c r="AP31" s="10">
        <v>0</v>
      </c>
      <c r="AQ31" s="10">
        <v>0</v>
      </c>
      <c r="AR31" s="2">
        <f t="shared" si="0"/>
        <v>-0.97640000000000005</v>
      </c>
    </row>
    <row r="32" spans="1:44" x14ac:dyDescent="0.3">
      <c r="A32" s="43" t="s">
        <v>232</v>
      </c>
      <c r="B32" s="44" t="s">
        <v>29</v>
      </c>
      <c r="C32" s="45">
        <v>0</v>
      </c>
      <c r="F32" s="115"/>
      <c r="G32" s="115"/>
      <c r="H32" s="6"/>
      <c r="I32" s="6"/>
      <c r="K32" s="10">
        <v>29.1</v>
      </c>
      <c r="L32" s="40" t="s">
        <v>61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2">
        <f t="shared" si="0"/>
        <v>1</v>
      </c>
    </row>
    <row r="33" spans="1:44" x14ac:dyDescent="0.3">
      <c r="A33" s="43" t="s">
        <v>232</v>
      </c>
      <c r="B33" s="44" t="s">
        <v>30</v>
      </c>
      <c r="C33" s="45">
        <v>0</v>
      </c>
      <c r="F33" s="115"/>
      <c r="G33" s="115"/>
      <c r="H33" s="6"/>
      <c r="I33" s="6"/>
      <c r="K33" s="10"/>
      <c r="L33" s="40" t="s">
        <v>62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2">
        <f t="shared" si="0"/>
        <v>1</v>
      </c>
    </row>
    <row r="36" spans="1:44" ht="23.4" customHeight="1" x14ac:dyDescent="0.3">
      <c r="A36" s="107" t="s">
        <v>242</v>
      </c>
      <c r="B36" s="107"/>
      <c r="C36" s="107"/>
      <c r="D36" s="107"/>
      <c r="E36" s="107"/>
      <c r="F36" s="107"/>
      <c r="G36" s="57"/>
      <c r="K36" s="107" t="s">
        <v>243</v>
      </c>
      <c r="L36" s="107"/>
      <c r="M36" s="107"/>
      <c r="N36" s="107"/>
      <c r="O36" s="107"/>
      <c r="P36" s="107"/>
      <c r="Q36" s="5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44" ht="41.4" x14ac:dyDescent="0.3">
      <c r="A37" s="55" t="s">
        <v>231</v>
      </c>
      <c r="B37" s="55" t="s">
        <v>95</v>
      </c>
      <c r="C37" s="56" t="s">
        <v>168</v>
      </c>
      <c r="D37" s="56" t="s">
        <v>101</v>
      </c>
      <c r="E37" s="56" t="s">
        <v>100</v>
      </c>
      <c r="F37" s="55" t="s">
        <v>234</v>
      </c>
      <c r="G37" s="55" t="s">
        <v>235</v>
      </c>
      <c r="H37" s="4"/>
      <c r="I37" s="4"/>
      <c r="J37" s="4"/>
      <c r="K37" s="55" t="s">
        <v>31</v>
      </c>
      <c r="L37" s="55" t="s">
        <v>32</v>
      </c>
      <c r="M37" s="55" t="s">
        <v>66</v>
      </c>
      <c r="N37" s="56" t="s">
        <v>67</v>
      </c>
      <c r="O37" s="56" t="s">
        <v>68</v>
      </c>
      <c r="P37" s="56" t="s">
        <v>69</v>
      </c>
      <c r="Q37" s="56" t="s">
        <v>70</v>
      </c>
      <c r="R37" s="56" t="s">
        <v>71</v>
      </c>
      <c r="S37" s="56" t="s">
        <v>72</v>
      </c>
      <c r="T37" s="56" t="s">
        <v>73</v>
      </c>
      <c r="U37" s="56" t="s">
        <v>74</v>
      </c>
      <c r="V37" s="56" t="s">
        <v>75</v>
      </c>
      <c r="W37" s="56" t="s">
        <v>76</v>
      </c>
      <c r="X37" s="56" t="s">
        <v>77</v>
      </c>
      <c r="Y37" s="56" t="s">
        <v>78</v>
      </c>
      <c r="Z37" s="56" t="s">
        <v>79</v>
      </c>
      <c r="AA37" s="56" t="s">
        <v>80</v>
      </c>
      <c r="AB37" s="56" t="s">
        <v>81</v>
      </c>
    </row>
    <row r="38" spans="1:44" x14ac:dyDescent="0.3">
      <c r="A38" s="10" t="s">
        <v>232</v>
      </c>
      <c r="B38" s="40" t="s">
        <v>67</v>
      </c>
      <c r="C38" s="38" cm="1">
        <f t="array" ref="C38:C52">MMULT(MINVERSE(N38:AB52),M38:M52)</f>
        <v>352.73031089034316</v>
      </c>
      <c r="D38" s="38">
        <v>960</v>
      </c>
      <c r="E38" s="39">
        <v>1.2390000000000001</v>
      </c>
      <c r="F38" s="115">
        <f>SUM(C38:C42,C48:C52)</f>
        <v>1853.4289917970257</v>
      </c>
      <c r="G38" s="115">
        <f>SUM(C43:C47)</f>
        <v>1853.4289917970254</v>
      </c>
      <c r="H38" s="7"/>
      <c r="I38" s="7"/>
      <c r="J38" s="2">
        <f>C38*E38</f>
        <v>437.03285519313522</v>
      </c>
      <c r="K38" s="10">
        <v>39.700000000000003</v>
      </c>
      <c r="L38" s="40" t="s">
        <v>67</v>
      </c>
      <c r="M38" s="38">
        <f>C6</f>
        <v>352.73031089034316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</row>
    <row r="39" spans="1:44" x14ac:dyDescent="0.3">
      <c r="A39" s="10" t="s">
        <v>232</v>
      </c>
      <c r="B39" s="40" t="s">
        <v>68</v>
      </c>
      <c r="C39" s="38">
        <v>1164.0100259381325</v>
      </c>
      <c r="D39" s="38">
        <v>1200</v>
      </c>
      <c r="E39" s="42">
        <v>1.339</v>
      </c>
      <c r="F39" s="115"/>
      <c r="G39" s="115"/>
      <c r="H39" s="7"/>
      <c r="I39" s="7"/>
      <c r="J39" s="2">
        <f>C39*E39</f>
        <v>1558.6094247311594</v>
      </c>
      <c r="K39" s="10">
        <v>39.799999999999997</v>
      </c>
      <c r="L39" s="40" t="s">
        <v>68</v>
      </c>
      <c r="M39" s="38">
        <f>C7</f>
        <v>1164.0100259381325</v>
      </c>
      <c r="N39" s="10">
        <v>0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</row>
    <row r="40" spans="1:44" x14ac:dyDescent="0.3">
      <c r="A40" s="10" t="s">
        <v>232</v>
      </c>
      <c r="B40" s="40" t="s">
        <v>69</v>
      </c>
      <c r="C40" s="38">
        <v>214.91550624963907</v>
      </c>
      <c r="D40" s="38">
        <v>25</v>
      </c>
      <c r="E40" s="39">
        <v>2.448</v>
      </c>
      <c r="F40" s="115"/>
      <c r="G40" s="115"/>
      <c r="H40" s="7"/>
      <c r="I40" s="7"/>
      <c r="J40" s="2">
        <f>C40*E40</f>
        <v>526.11315929911643</v>
      </c>
      <c r="K40" s="10">
        <v>39.9</v>
      </c>
      <c r="L40" s="40" t="s">
        <v>82</v>
      </c>
      <c r="M40" s="38">
        <v>0</v>
      </c>
      <c r="N40" s="10">
        <v>-1</v>
      </c>
      <c r="O40" s="10">
        <v>0</v>
      </c>
      <c r="P40" s="10">
        <v>0</v>
      </c>
      <c r="Q40" s="10">
        <v>0</v>
      </c>
      <c r="R40" s="10">
        <v>0</v>
      </c>
      <c r="S40" s="10">
        <v>0.57099999999999995</v>
      </c>
      <c r="T40" s="10">
        <v>0</v>
      </c>
      <c r="U40" s="10">
        <v>0</v>
      </c>
      <c r="V40" s="10">
        <v>0</v>
      </c>
      <c r="W40" s="10">
        <v>0</v>
      </c>
      <c r="X40" s="10">
        <v>-4.5999999999999999E-2</v>
      </c>
      <c r="Y40" s="10">
        <v>-1</v>
      </c>
      <c r="Z40" s="10">
        <v>-0.88800000000000001</v>
      </c>
      <c r="AA40" s="10">
        <v>-0.01</v>
      </c>
      <c r="AB40" s="10">
        <v>0</v>
      </c>
    </row>
    <row r="41" spans="1:44" x14ac:dyDescent="0.3">
      <c r="A41" s="10" t="s">
        <v>232</v>
      </c>
      <c r="B41" s="40" t="s">
        <v>70</v>
      </c>
      <c r="C41" s="38">
        <v>7.1566863581129825</v>
      </c>
      <c r="D41" s="38">
        <v>1500</v>
      </c>
      <c r="E41" s="50">
        <v>-14.67</v>
      </c>
      <c r="F41" s="115"/>
      <c r="G41" s="115"/>
      <c r="H41" s="6"/>
      <c r="I41" s="6"/>
      <c r="J41" s="2">
        <f>C41*E41</f>
        <v>-104.98858887351746</v>
      </c>
      <c r="K41" s="10">
        <v>39.1</v>
      </c>
      <c r="L41" s="40" t="s">
        <v>83</v>
      </c>
      <c r="M41" s="38">
        <v>0</v>
      </c>
      <c r="N41" s="10">
        <v>0</v>
      </c>
      <c r="O41" s="10">
        <v>0</v>
      </c>
      <c r="P41" s="10">
        <v>-1</v>
      </c>
      <c r="Q41" s="10">
        <v>0</v>
      </c>
      <c r="R41" s="10">
        <v>0</v>
      </c>
      <c r="S41" s="10">
        <v>0.42899999999999999</v>
      </c>
      <c r="T41" s="10">
        <v>0</v>
      </c>
      <c r="U41" s="10">
        <v>0</v>
      </c>
      <c r="V41" s="10">
        <v>0</v>
      </c>
      <c r="W41" s="10">
        <v>0</v>
      </c>
      <c r="X41" s="10">
        <v>-0.81</v>
      </c>
      <c r="Y41" s="10">
        <v>0</v>
      </c>
      <c r="Z41" s="10">
        <v>0</v>
      </c>
      <c r="AA41" s="10">
        <v>-0.73399999999999999</v>
      </c>
      <c r="AB41" s="10">
        <v>0</v>
      </c>
    </row>
    <row r="42" spans="1:44" x14ac:dyDescent="0.3">
      <c r="A42" s="10" t="s">
        <v>232</v>
      </c>
      <c r="B42" s="40" t="s">
        <v>71</v>
      </c>
      <c r="C42" s="38">
        <v>16.720426386221913</v>
      </c>
      <c r="D42" s="38">
        <v>1500</v>
      </c>
      <c r="E42" s="50">
        <v>-13.44</v>
      </c>
      <c r="F42" s="115"/>
      <c r="G42" s="115"/>
      <c r="H42" s="7"/>
      <c r="I42" s="7"/>
      <c r="J42" s="2">
        <f>C42*E42</f>
        <v>-224.72253063082249</v>
      </c>
      <c r="K42" s="10">
        <v>39.11</v>
      </c>
      <c r="L42" s="40" t="s">
        <v>84</v>
      </c>
      <c r="M42" s="38">
        <v>0</v>
      </c>
      <c r="N42" s="10">
        <v>0</v>
      </c>
      <c r="O42" s="10">
        <v>-1</v>
      </c>
      <c r="P42" s="10">
        <v>0</v>
      </c>
      <c r="Q42" s="10">
        <v>0</v>
      </c>
      <c r="R42" s="10">
        <v>0</v>
      </c>
      <c r="S42" s="10">
        <v>0</v>
      </c>
      <c r="T42" s="10">
        <v>1</v>
      </c>
      <c r="U42" s="10">
        <v>0</v>
      </c>
      <c r="V42" s="10">
        <v>0</v>
      </c>
      <c r="W42" s="10">
        <v>0</v>
      </c>
      <c r="X42" s="10">
        <v>-8.9999999999999993E-3</v>
      </c>
      <c r="Y42" s="10">
        <v>0</v>
      </c>
      <c r="Z42" s="10">
        <v>0</v>
      </c>
      <c r="AA42" s="10">
        <v>-1.7000000000000001E-2</v>
      </c>
      <c r="AB42" s="10">
        <v>0</v>
      </c>
    </row>
    <row r="43" spans="1:44" x14ac:dyDescent="0.3">
      <c r="A43" s="10" t="s">
        <v>233</v>
      </c>
      <c r="B43" s="40" t="s">
        <v>96</v>
      </c>
      <c r="C43" s="38">
        <v>652.01749708540581</v>
      </c>
      <c r="D43" s="38" t="s">
        <v>111</v>
      </c>
      <c r="E43" s="39">
        <v>-4.1829999999999998</v>
      </c>
      <c r="F43" s="115"/>
      <c r="G43" s="115"/>
      <c r="H43" s="8">
        <v>1.31E-3</v>
      </c>
      <c r="I43" s="8">
        <f>C43*H43</f>
        <v>0.85414292118188162</v>
      </c>
      <c r="J43" s="2">
        <f t="shared" ref="J43:J47" si="1">C43*E43</f>
        <v>-2727.3891903082522</v>
      </c>
      <c r="K43" s="10">
        <v>39.119999999999997</v>
      </c>
      <c r="L43" s="40" t="s">
        <v>85</v>
      </c>
      <c r="M43" s="3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-5.5E-2</v>
      </c>
      <c r="Y43" s="10">
        <v>0</v>
      </c>
      <c r="Z43" s="10">
        <v>-0.112</v>
      </c>
      <c r="AA43" s="10">
        <v>-0.24</v>
      </c>
      <c r="AB43" s="10">
        <v>0</v>
      </c>
    </row>
    <row r="44" spans="1:44" x14ac:dyDescent="0.3">
      <c r="A44" s="10" t="s">
        <v>233</v>
      </c>
      <c r="B44" s="40" t="s">
        <v>73</v>
      </c>
      <c r="C44" s="38">
        <v>1164.7300259381325</v>
      </c>
      <c r="D44" s="38" t="s">
        <v>102</v>
      </c>
      <c r="E44" s="39">
        <v>-0.24479999999999999</v>
      </c>
      <c r="F44" s="115"/>
      <c r="G44" s="115"/>
      <c r="H44" s="8">
        <v>1.3010000000000001E-3</v>
      </c>
      <c r="I44" s="8">
        <f>C44*H44</f>
        <v>1.5153137637455105</v>
      </c>
      <c r="J44" s="2">
        <f>C44*E44</f>
        <v>-285.12591034965482</v>
      </c>
      <c r="K44" s="10">
        <v>39.1</v>
      </c>
      <c r="L44" s="40" t="s">
        <v>86</v>
      </c>
      <c r="M44" s="38">
        <v>0</v>
      </c>
      <c r="N44" s="10">
        <v>0</v>
      </c>
      <c r="O44" s="10">
        <v>0</v>
      </c>
      <c r="P44" s="10">
        <v>3.3300000000000003E-2</v>
      </c>
      <c r="Q44" s="10">
        <v>-1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</row>
    <row r="45" spans="1:44" x14ac:dyDescent="0.3">
      <c r="A45" s="10" t="s">
        <v>233</v>
      </c>
      <c r="B45" s="40" t="s">
        <v>74</v>
      </c>
      <c r="C45" s="38">
        <v>6.4043560291525141</v>
      </c>
      <c r="D45" s="38" t="s">
        <v>102</v>
      </c>
      <c r="E45" s="39">
        <v>-4.13</v>
      </c>
      <c r="F45" s="115"/>
      <c r="G45" s="115"/>
      <c r="H45" s="8">
        <v>1.7559999999999999E-2</v>
      </c>
      <c r="I45" s="8">
        <f>C45*H45</f>
        <v>0.11246049187191814</v>
      </c>
      <c r="J45" s="2">
        <f>C45*E45</f>
        <v>-26.449990400399884</v>
      </c>
      <c r="K45" s="10">
        <v>39.200000000000003</v>
      </c>
      <c r="L45" s="40" t="s">
        <v>87</v>
      </c>
      <c r="M45" s="38">
        <v>0</v>
      </c>
      <c r="N45" s="10">
        <v>0</v>
      </c>
      <c r="O45" s="10">
        <v>0</v>
      </c>
      <c r="P45" s="10">
        <v>7.7799999999999994E-2</v>
      </c>
      <c r="Q45" s="10">
        <v>0</v>
      </c>
      <c r="R45" s="10">
        <v>-1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</row>
    <row r="46" spans="1:44" x14ac:dyDescent="0.3">
      <c r="A46" s="10" t="s">
        <v>233</v>
      </c>
      <c r="B46" s="40" t="s">
        <v>75</v>
      </c>
      <c r="C46" s="38">
        <v>9.0766863581129815</v>
      </c>
      <c r="D46" s="38" t="s">
        <v>102</v>
      </c>
      <c r="E46" s="50">
        <v>-16.72</v>
      </c>
      <c r="F46" s="115"/>
      <c r="G46" s="115"/>
      <c r="H46" s="8">
        <v>1.887E-3</v>
      </c>
      <c r="I46" s="8">
        <f t="shared" ref="I46:I47" si="2">C46*H46</f>
        <v>1.7127707157759197E-2</v>
      </c>
      <c r="J46" s="2">
        <f t="shared" si="1"/>
        <v>-151.76219590764904</v>
      </c>
      <c r="K46" s="10">
        <v>39.130000000000003</v>
      </c>
      <c r="L46" s="40" t="s">
        <v>88</v>
      </c>
      <c r="M46" s="38">
        <v>0</v>
      </c>
      <c r="N46" s="10">
        <v>0</v>
      </c>
      <c r="O46" s="10">
        <v>0</v>
      </c>
      <c r="P46" s="10">
        <v>0</v>
      </c>
      <c r="Q46" s="10">
        <v>-1</v>
      </c>
      <c r="R46" s="10">
        <v>0</v>
      </c>
      <c r="S46" s="10">
        <v>0</v>
      </c>
      <c r="T46" s="10">
        <v>0</v>
      </c>
      <c r="U46" s="10">
        <v>0</v>
      </c>
      <c r="V46" s="10">
        <v>1</v>
      </c>
      <c r="W46" s="10">
        <v>0</v>
      </c>
      <c r="X46" s="10">
        <v>-2.4E-2</v>
      </c>
      <c r="Y46" s="10">
        <v>0</v>
      </c>
      <c r="Z46" s="10">
        <v>0</v>
      </c>
      <c r="AA46" s="10">
        <v>0</v>
      </c>
      <c r="AB46" s="10">
        <v>0</v>
      </c>
    </row>
    <row r="47" spans="1:44" x14ac:dyDescent="0.3">
      <c r="A47" s="10" t="s">
        <v>233</v>
      </c>
      <c r="B47" s="40" t="s">
        <v>76</v>
      </c>
      <c r="C47" s="38">
        <v>21.200426386221917</v>
      </c>
      <c r="D47" s="38" t="s">
        <v>102</v>
      </c>
      <c r="E47" s="50">
        <v>-15.47</v>
      </c>
      <c r="F47" s="115"/>
      <c r="G47" s="115"/>
      <c r="H47" s="8">
        <v>1.4270000000000001E-3</v>
      </c>
      <c r="I47" s="8">
        <f t="shared" si="2"/>
        <v>3.0253008453138677E-2</v>
      </c>
      <c r="J47" s="2">
        <f t="shared" si="1"/>
        <v>-327.97059619485304</v>
      </c>
      <c r="K47" s="10">
        <v>39.14</v>
      </c>
      <c r="L47" s="40" t="s">
        <v>89</v>
      </c>
      <c r="M47" s="3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-1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-5.6000000000000001E-2</v>
      </c>
      <c r="Y47" s="10">
        <v>0</v>
      </c>
      <c r="Z47" s="10">
        <v>0</v>
      </c>
      <c r="AA47" s="10">
        <v>0</v>
      </c>
      <c r="AB47" s="10">
        <v>0</v>
      </c>
    </row>
    <row r="48" spans="1:44" x14ac:dyDescent="0.3">
      <c r="A48" s="10" t="s">
        <v>232</v>
      </c>
      <c r="B48" s="40" t="s">
        <v>97</v>
      </c>
      <c r="C48" s="38">
        <v>80</v>
      </c>
      <c r="D48" s="38">
        <v>25</v>
      </c>
      <c r="E48" s="46">
        <v>-1.2</v>
      </c>
      <c r="F48" s="115"/>
      <c r="G48" s="115"/>
      <c r="J48" s="2">
        <f>C48*E48</f>
        <v>-96</v>
      </c>
      <c r="K48" s="10">
        <v>39.15</v>
      </c>
      <c r="L48" s="40" t="s">
        <v>90</v>
      </c>
      <c r="M48" s="38">
        <f>C29</f>
        <v>80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1</v>
      </c>
      <c r="Y48" s="10">
        <v>0</v>
      </c>
      <c r="Z48" s="10">
        <v>0</v>
      </c>
      <c r="AA48" s="10">
        <v>0</v>
      </c>
      <c r="AB48" s="10">
        <v>0</v>
      </c>
    </row>
    <row r="49" spans="1:43" x14ac:dyDescent="0.3">
      <c r="A49" s="10" t="s">
        <v>232</v>
      </c>
      <c r="B49" s="40" t="s">
        <v>98</v>
      </c>
      <c r="C49" s="38">
        <v>0</v>
      </c>
      <c r="D49" s="38">
        <v>960</v>
      </c>
      <c r="E49" s="42">
        <v>1.2390000000000001</v>
      </c>
      <c r="F49" s="115"/>
      <c r="G49" s="115"/>
      <c r="H49" s="7"/>
      <c r="I49" s="7"/>
      <c r="J49" s="2">
        <f>C49*E49</f>
        <v>0</v>
      </c>
      <c r="K49" s="10">
        <v>39.159999999999997</v>
      </c>
      <c r="L49" s="40" t="s">
        <v>91</v>
      </c>
      <c r="M49" s="38">
        <f t="shared" ref="M49:M51" si="3">C30</f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1</v>
      </c>
      <c r="Z49" s="10">
        <v>0</v>
      </c>
      <c r="AA49" s="10">
        <v>0</v>
      </c>
      <c r="AB49" s="10">
        <v>0</v>
      </c>
    </row>
    <row r="50" spans="1:43" x14ac:dyDescent="0.3">
      <c r="A50" s="10" t="s">
        <v>232</v>
      </c>
      <c r="B50" s="40" t="s">
        <v>99</v>
      </c>
      <c r="C50" s="38">
        <v>17.896035974576016</v>
      </c>
      <c r="D50" s="38">
        <v>1200</v>
      </c>
      <c r="E50" s="50">
        <v>-10.81</v>
      </c>
      <c r="F50" s="115"/>
      <c r="G50" s="115"/>
      <c r="H50" s="7"/>
      <c r="I50" s="7"/>
      <c r="J50" s="2">
        <f>C50*E50</f>
        <v>-193.45614888516673</v>
      </c>
      <c r="K50" s="10">
        <v>39.17</v>
      </c>
      <c r="L50" s="40" t="s">
        <v>92</v>
      </c>
      <c r="M50" s="38">
        <f>C31</f>
        <v>17.896035974576016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1</v>
      </c>
      <c r="AA50" s="10">
        <v>0</v>
      </c>
      <c r="AB50" s="10">
        <v>0</v>
      </c>
    </row>
    <row r="51" spans="1:43" x14ac:dyDescent="0.3">
      <c r="A51" s="10" t="s">
        <v>232</v>
      </c>
      <c r="B51" s="40" t="s">
        <v>93</v>
      </c>
      <c r="C51" s="38">
        <v>0</v>
      </c>
      <c r="D51" s="38">
        <v>25</v>
      </c>
      <c r="E51" s="50">
        <v>-4.5199999999999996</v>
      </c>
      <c r="F51" s="115"/>
      <c r="G51" s="115"/>
      <c r="H51" s="7"/>
      <c r="I51" s="7"/>
      <c r="J51" s="2">
        <f>C51*E51</f>
        <v>0</v>
      </c>
      <c r="K51" s="10">
        <v>39.18</v>
      </c>
      <c r="L51" s="40" t="s">
        <v>93</v>
      </c>
      <c r="M51" s="38">
        <f t="shared" si="3"/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1</v>
      </c>
      <c r="AB51" s="10">
        <v>0</v>
      </c>
    </row>
    <row r="52" spans="1:43" x14ac:dyDescent="0.3">
      <c r="A52" s="10" t="s">
        <v>232</v>
      </c>
      <c r="B52" s="40" t="s">
        <v>94</v>
      </c>
      <c r="C52" s="38">
        <v>0</v>
      </c>
      <c r="D52" s="38" t="s">
        <v>102</v>
      </c>
      <c r="E52" s="38" t="s">
        <v>102</v>
      </c>
      <c r="F52" s="115"/>
      <c r="G52" s="115"/>
      <c r="H52" s="7"/>
      <c r="I52" s="7"/>
      <c r="K52" s="10">
        <v>39.19</v>
      </c>
      <c r="L52" s="40" t="s">
        <v>94</v>
      </c>
      <c r="M52" s="3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1</v>
      </c>
    </row>
    <row r="53" spans="1:43" x14ac:dyDescent="0.3">
      <c r="K53" s="10"/>
      <c r="L53" s="10"/>
      <c r="M53" s="10"/>
      <c r="N53" s="10">
        <v>1200</v>
      </c>
      <c r="O53" s="10">
        <v>1200</v>
      </c>
      <c r="P53" s="10">
        <v>1500</v>
      </c>
      <c r="Q53" s="10">
        <v>1500</v>
      </c>
      <c r="R53" s="10">
        <v>1500</v>
      </c>
      <c r="S53" s="10" t="s">
        <v>112</v>
      </c>
      <c r="T53" s="10" t="s">
        <v>112</v>
      </c>
      <c r="U53" s="10" t="s">
        <v>112</v>
      </c>
      <c r="V53" s="10" t="s">
        <v>112</v>
      </c>
      <c r="W53" s="10" t="s">
        <v>112</v>
      </c>
      <c r="X53" s="10">
        <v>25</v>
      </c>
      <c r="Y53" s="10">
        <v>1200</v>
      </c>
      <c r="Z53" s="10">
        <v>1200</v>
      </c>
      <c r="AA53" s="10">
        <v>25</v>
      </c>
      <c r="AB53" s="10"/>
    </row>
    <row r="54" spans="1:43" ht="23.4" customHeight="1" x14ac:dyDescent="0.3">
      <c r="A54" s="107" t="s">
        <v>236</v>
      </c>
      <c r="B54" s="107"/>
      <c r="C54" s="107"/>
      <c r="D54" s="107"/>
      <c r="E54" s="107"/>
      <c r="F54" s="107"/>
      <c r="G54" s="107"/>
    </row>
    <row r="55" spans="1:43" x14ac:dyDescent="0.3">
      <c r="A55" s="10" t="s">
        <v>103</v>
      </c>
      <c r="B55" s="40" t="s">
        <v>109</v>
      </c>
      <c r="C55" s="38">
        <f>C38*1.239+C39*1.339+C40*2.488+C41*-14.67+C42*-13.44+C48*-1.2+C49*1.239+C50*-10.81+C51*-4.52</f>
        <v>1911.1847910838896</v>
      </c>
    </row>
    <row r="56" spans="1:43" x14ac:dyDescent="0.3">
      <c r="A56" s="10" t="s">
        <v>105</v>
      </c>
      <c r="B56" s="40" t="s">
        <v>110</v>
      </c>
      <c r="C56" s="38">
        <f>C55</f>
        <v>1911.1847910838896</v>
      </c>
    </row>
    <row r="57" spans="1:43" x14ac:dyDescent="0.3">
      <c r="A57" s="10"/>
      <c r="B57" s="40"/>
      <c r="C57" s="10"/>
    </row>
    <row r="58" spans="1:43" x14ac:dyDescent="0.3">
      <c r="A58" s="81" t="s">
        <v>107</v>
      </c>
      <c r="B58" s="82" t="s">
        <v>108</v>
      </c>
      <c r="C58" s="83">
        <f>(C56-SUM(J43:J47))/SUM(I43:I47)</f>
        <v>2146.7944485852854</v>
      </c>
      <c r="D58" s="7"/>
    </row>
    <row r="60" spans="1:43" ht="23.4" customHeight="1" x14ac:dyDescent="0.3">
      <c r="A60" s="107" t="s">
        <v>238</v>
      </c>
      <c r="B60" s="107"/>
      <c r="C60" s="107"/>
      <c r="D60" s="107"/>
      <c r="E60" s="107"/>
      <c r="F60" s="107"/>
      <c r="G60" s="107"/>
      <c r="K60" s="114" t="s">
        <v>237</v>
      </c>
      <c r="L60" s="114"/>
      <c r="M60" s="114"/>
      <c r="N60" s="114"/>
      <c r="O60" s="114"/>
      <c r="P60" s="114"/>
      <c r="Q60" s="114"/>
      <c r="R60" s="114"/>
      <c r="S60" s="11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41.4" x14ac:dyDescent="0.3">
      <c r="A61" s="55" t="s">
        <v>231</v>
      </c>
      <c r="B61" s="55" t="s">
        <v>163</v>
      </c>
      <c r="C61" s="56" t="s">
        <v>168</v>
      </c>
      <c r="D61" s="56" t="s">
        <v>101</v>
      </c>
      <c r="E61" s="56" t="s">
        <v>100</v>
      </c>
      <c r="F61" s="55" t="s">
        <v>234</v>
      </c>
      <c r="G61" s="55" t="s">
        <v>235</v>
      </c>
      <c r="H61" s="4"/>
      <c r="I61" s="4"/>
      <c r="J61" s="4"/>
      <c r="K61" s="55" t="s">
        <v>31</v>
      </c>
      <c r="L61" s="55" t="s">
        <v>32</v>
      </c>
      <c r="M61" s="55" t="s">
        <v>66</v>
      </c>
      <c r="N61" s="56" t="s">
        <v>113</v>
      </c>
      <c r="O61" s="56" t="s">
        <v>114</v>
      </c>
      <c r="P61" s="56" t="s">
        <v>115</v>
      </c>
      <c r="Q61" s="56" t="s">
        <v>116</v>
      </c>
      <c r="R61" s="56" t="s">
        <v>117</v>
      </c>
      <c r="S61" s="56" t="s">
        <v>118</v>
      </c>
      <c r="T61" s="56" t="s">
        <v>119</v>
      </c>
      <c r="U61" s="56" t="s">
        <v>120</v>
      </c>
      <c r="V61" s="56" t="s">
        <v>121</v>
      </c>
      <c r="W61" s="56" t="s">
        <v>122</v>
      </c>
      <c r="X61" s="56" t="s">
        <v>123</v>
      </c>
      <c r="Y61" s="56" t="s">
        <v>124</v>
      </c>
      <c r="Z61" s="56" t="s">
        <v>125</v>
      </c>
      <c r="AA61" s="56" t="s">
        <v>126</v>
      </c>
      <c r="AB61" s="56" t="s">
        <v>127</v>
      </c>
      <c r="AC61" s="56" t="s">
        <v>128</v>
      </c>
      <c r="AD61" s="56" t="s">
        <v>129</v>
      </c>
      <c r="AE61" s="56" t="s">
        <v>130</v>
      </c>
      <c r="AF61" s="56" t="s">
        <v>131</v>
      </c>
      <c r="AG61" s="56" t="s">
        <v>132</v>
      </c>
      <c r="AH61" s="56" t="s">
        <v>133</v>
      </c>
      <c r="AI61" s="56" t="s">
        <v>134</v>
      </c>
      <c r="AJ61" s="56" t="s">
        <v>135</v>
      </c>
      <c r="AK61" s="56" t="s">
        <v>136</v>
      </c>
      <c r="AL61" s="56" t="s">
        <v>137</v>
      </c>
      <c r="AM61" s="56" t="s">
        <v>138</v>
      </c>
      <c r="AN61" s="56" t="s">
        <v>139</v>
      </c>
      <c r="AO61" s="56" t="s">
        <v>140</v>
      </c>
      <c r="AP61" s="56" t="s">
        <v>141</v>
      </c>
      <c r="AQ61" s="56" t="s">
        <v>142</v>
      </c>
    </row>
    <row r="62" spans="1:43" x14ac:dyDescent="0.3">
      <c r="A62" s="10" t="s">
        <v>232</v>
      </c>
      <c r="B62" s="40" t="s">
        <v>113</v>
      </c>
      <c r="C62" s="50" cm="1">
        <f t="array" ref="C62:C91">MMULT(MINVERSE(N62:AQ91),M62:M91)</f>
        <v>1430.6151645207435</v>
      </c>
      <c r="D62" s="10">
        <v>25</v>
      </c>
      <c r="E62" s="10">
        <v>-5.1689999999999996</v>
      </c>
      <c r="F62" s="108">
        <f>SUM(C62:C70,C80:C84,C90)</f>
        <v>4394.3670241421487</v>
      </c>
      <c r="G62" s="108">
        <f>SUM(C71:C79,C85:C89,C91)</f>
        <v>4394.3670241421487</v>
      </c>
      <c r="H62" s="2">
        <f>C62*E62</f>
        <v>-7394.8497854077223</v>
      </c>
      <c r="K62" s="10">
        <v>40.799999999999997</v>
      </c>
      <c r="L62" s="40" t="s">
        <v>143</v>
      </c>
      <c r="M62" s="38">
        <f>C10</f>
        <v>614.83856595219368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spans="1:43" x14ac:dyDescent="0.3">
      <c r="A63" s="10" t="s">
        <v>232</v>
      </c>
      <c r="B63" s="40" t="s">
        <v>114</v>
      </c>
      <c r="C63" s="50">
        <v>75.300000000000026</v>
      </c>
      <c r="D63" s="10">
        <v>25</v>
      </c>
      <c r="E63" s="10">
        <v>-15.16</v>
      </c>
      <c r="F63" s="109"/>
      <c r="G63" s="109"/>
      <c r="H63" s="2">
        <f t="shared" ref="H63:H90" si="4">C63*E63</f>
        <v>-1141.5480000000005</v>
      </c>
      <c r="K63" s="10">
        <v>40.9</v>
      </c>
      <c r="L63" s="40" t="s">
        <v>144</v>
      </c>
      <c r="M63" s="38">
        <f>C11</f>
        <v>426.69796477082241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spans="1:43" x14ac:dyDescent="0.3">
      <c r="A64" s="10" t="s">
        <v>232</v>
      </c>
      <c r="B64" s="40" t="s">
        <v>115</v>
      </c>
      <c r="C64" s="50">
        <v>363.05428917592565</v>
      </c>
      <c r="D64" s="10">
        <v>25</v>
      </c>
      <c r="E64" s="10">
        <v>0</v>
      </c>
      <c r="F64" s="109"/>
      <c r="G64" s="109"/>
      <c r="H64" s="2">
        <f t="shared" si="4"/>
        <v>0</v>
      </c>
      <c r="K64" s="10">
        <v>40.1</v>
      </c>
      <c r="L64" s="40" t="s">
        <v>145</v>
      </c>
      <c r="M64" s="38">
        <f>C13</f>
        <v>4.0293522750251745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1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</row>
    <row r="65" spans="1:43" x14ac:dyDescent="0.3">
      <c r="A65" s="10" t="s">
        <v>232</v>
      </c>
      <c r="B65" s="40" t="s">
        <v>116</v>
      </c>
      <c r="C65" s="50">
        <v>12.089707829558325</v>
      </c>
      <c r="D65" s="10">
        <v>25</v>
      </c>
      <c r="E65" s="10">
        <v>-16.43</v>
      </c>
      <c r="F65" s="109"/>
      <c r="G65" s="109"/>
      <c r="H65" s="2">
        <f t="shared" si="4"/>
        <v>-198.63389963964326</v>
      </c>
      <c r="K65" s="10">
        <v>40.11</v>
      </c>
      <c r="L65" s="40" t="s">
        <v>146</v>
      </c>
      <c r="M65" s="38">
        <f>C14</f>
        <v>21.919676376136955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</row>
    <row r="66" spans="1:43" x14ac:dyDescent="0.3">
      <c r="A66" s="10" t="s">
        <v>232</v>
      </c>
      <c r="B66" s="40" t="s">
        <v>117</v>
      </c>
      <c r="C66" s="50">
        <v>28.245623697887005</v>
      </c>
      <c r="D66" s="10">
        <v>25</v>
      </c>
      <c r="E66" s="10">
        <v>-15.16</v>
      </c>
      <c r="F66" s="109"/>
      <c r="G66" s="109"/>
      <c r="H66" s="2">
        <f t="shared" si="4"/>
        <v>-428.20365525996698</v>
      </c>
      <c r="K66" s="10">
        <v>40.119999999999997</v>
      </c>
      <c r="L66" s="40" t="s">
        <v>147</v>
      </c>
      <c r="M66" s="38">
        <f>C12</f>
        <v>1164.7300259381325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1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</row>
    <row r="67" spans="1:43" x14ac:dyDescent="0.3">
      <c r="A67" s="10" t="s">
        <v>232</v>
      </c>
      <c r="B67" s="40" t="s">
        <v>118</v>
      </c>
      <c r="C67" s="50">
        <v>11.327488637100757</v>
      </c>
      <c r="D67" s="10">
        <v>25</v>
      </c>
      <c r="E67" s="10">
        <v>-16.43</v>
      </c>
      <c r="F67" s="109"/>
      <c r="G67" s="109"/>
      <c r="H67" s="2">
        <f t="shared" si="4"/>
        <v>-186.11063830756544</v>
      </c>
      <c r="K67" s="10">
        <v>40.130000000000003</v>
      </c>
      <c r="L67" s="40" t="s">
        <v>148</v>
      </c>
      <c r="M67" s="38">
        <f>C19</f>
        <v>12.089707829558325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1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</row>
    <row r="68" spans="1:43" x14ac:dyDescent="0.3">
      <c r="A68" s="10" t="s">
        <v>232</v>
      </c>
      <c r="B68" s="40" t="s">
        <v>119</v>
      </c>
      <c r="C68" s="50">
        <v>103.92209488278139</v>
      </c>
      <c r="D68" s="10">
        <v>25</v>
      </c>
      <c r="E68" s="10">
        <v>-11.32</v>
      </c>
      <c r="F68" s="109"/>
      <c r="G68" s="109"/>
      <c r="H68" s="2">
        <f t="shared" si="4"/>
        <v>-1176.3981140730855</v>
      </c>
      <c r="K68" s="10">
        <v>40.14</v>
      </c>
      <c r="L68" s="40" t="s">
        <v>149</v>
      </c>
      <c r="M68" s="38">
        <f>C18</f>
        <v>11.327488637100757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1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</row>
    <row r="69" spans="1:43" x14ac:dyDescent="0.3">
      <c r="A69" s="10" t="s">
        <v>232</v>
      </c>
      <c r="B69" s="40" t="s">
        <v>120</v>
      </c>
      <c r="C69" s="50">
        <v>25.33719646665908</v>
      </c>
      <c r="D69" s="10">
        <v>25</v>
      </c>
      <c r="E69" s="10">
        <v>-14.92</v>
      </c>
      <c r="F69" s="109"/>
      <c r="G69" s="109"/>
      <c r="H69" s="2">
        <f t="shared" si="4"/>
        <v>-378.03097128255348</v>
      </c>
      <c r="K69" s="10">
        <v>40.15</v>
      </c>
      <c r="L69" s="40" t="s">
        <v>150</v>
      </c>
      <c r="M69" s="38">
        <f>C5</f>
        <v>363.05428917592565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1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</row>
    <row r="70" spans="1:43" x14ac:dyDescent="0.3">
      <c r="A70" s="10" t="s">
        <v>232</v>
      </c>
      <c r="B70" s="40" t="s">
        <v>121</v>
      </c>
      <c r="C70" s="50">
        <v>9.3002812939521835</v>
      </c>
      <c r="D70" s="10">
        <v>25</v>
      </c>
      <c r="E70" s="10">
        <v>-5.98</v>
      </c>
      <c r="F70" s="109"/>
      <c r="G70" s="109"/>
      <c r="H70" s="2">
        <f t="shared" si="4"/>
        <v>-55.615682137834064</v>
      </c>
      <c r="K70" s="10">
        <v>40.159999999999997</v>
      </c>
      <c r="L70" s="40" t="s">
        <v>151</v>
      </c>
      <c r="M70" s="38">
        <f>C4</f>
        <v>1302.083333333333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1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</row>
    <row r="71" spans="1:43" x14ac:dyDescent="0.3">
      <c r="A71" s="10" t="s">
        <v>233</v>
      </c>
      <c r="B71" s="40" t="s">
        <v>122</v>
      </c>
      <c r="C71" s="50">
        <v>12.089707829558325</v>
      </c>
      <c r="D71" s="10">
        <v>930</v>
      </c>
      <c r="E71" s="10">
        <v>-15.41</v>
      </c>
      <c r="F71" s="109"/>
      <c r="G71" s="109"/>
      <c r="H71" s="2">
        <f t="shared" si="4"/>
        <v>-186.30239765349378</v>
      </c>
      <c r="K71" s="10">
        <v>40.17</v>
      </c>
      <c r="L71" s="40" t="s">
        <v>152</v>
      </c>
      <c r="M71" s="38">
        <f>C21</f>
        <v>103.92209488278139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1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</row>
    <row r="72" spans="1:43" x14ac:dyDescent="0.3">
      <c r="A72" s="10" t="s">
        <v>233</v>
      </c>
      <c r="B72" s="40" t="s">
        <v>123</v>
      </c>
      <c r="C72" s="50">
        <v>11.327488637100757</v>
      </c>
      <c r="D72" s="10">
        <v>930</v>
      </c>
      <c r="E72" s="10">
        <v>-15.41</v>
      </c>
      <c r="F72" s="109"/>
      <c r="G72" s="109"/>
      <c r="H72" s="2">
        <f t="shared" si="4"/>
        <v>-174.55659989772266</v>
      </c>
      <c r="K72" s="10">
        <v>40.18</v>
      </c>
      <c r="L72" s="40" t="s">
        <v>153</v>
      </c>
      <c r="M72" s="38">
        <f>C23</f>
        <v>25.33719646665908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1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</row>
    <row r="73" spans="1:43" x14ac:dyDescent="0.3">
      <c r="A73" s="10" t="s">
        <v>233</v>
      </c>
      <c r="B73" s="40" t="s">
        <v>124</v>
      </c>
      <c r="C73" s="50">
        <v>363.05428917592565</v>
      </c>
      <c r="D73" s="10">
        <v>930</v>
      </c>
      <c r="E73" s="10">
        <v>1.359</v>
      </c>
      <c r="F73" s="109"/>
      <c r="G73" s="109"/>
      <c r="H73" s="2">
        <f t="shared" si="4"/>
        <v>493.39077899008294</v>
      </c>
      <c r="K73" s="10">
        <v>40.19</v>
      </c>
      <c r="L73" s="40" t="s">
        <v>154</v>
      </c>
      <c r="M73" s="38">
        <f>C27</f>
        <v>7.5940281366637974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</row>
    <row r="74" spans="1:43" x14ac:dyDescent="0.3">
      <c r="A74" s="10" t="s">
        <v>233</v>
      </c>
      <c r="B74" s="40" t="s">
        <v>125</v>
      </c>
      <c r="C74" s="50">
        <v>103.92209488278139</v>
      </c>
      <c r="D74" s="10">
        <v>930</v>
      </c>
      <c r="E74" s="10">
        <v>-10.5</v>
      </c>
      <c r="F74" s="109"/>
      <c r="G74" s="109"/>
      <c r="H74" s="2">
        <f t="shared" si="4"/>
        <v>-1091.1819962692045</v>
      </c>
      <c r="K74" s="10">
        <v>40.200000000000003</v>
      </c>
      <c r="L74" s="40" t="s">
        <v>155</v>
      </c>
      <c r="M74" s="38">
        <f>C16</f>
        <v>28.245623697887005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1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</row>
    <row r="75" spans="1:43" x14ac:dyDescent="0.3">
      <c r="A75" s="10" t="s">
        <v>233</v>
      </c>
      <c r="B75" s="40" t="s">
        <v>126</v>
      </c>
      <c r="C75" s="50">
        <v>1302.083333333333</v>
      </c>
      <c r="D75" s="10">
        <v>930</v>
      </c>
      <c r="E75" s="10">
        <v>-3.1520000000000001</v>
      </c>
      <c r="F75" s="109"/>
      <c r="G75" s="109"/>
      <c r="H75" s="2">
        <f t="shared" si="4"/>
        <v>-4104.1666666666661</v>
      </c>
      <c r="K75" s="10">
        <v>40.21</v>
      </c>
      <c r="L75" s="40" t="s">
        <v>156</v>
      </c>
      <c r="M75" s="38">
        <f>C15</f>
        <v>75.300000000000026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</row>
    <row r="76" spans="1:43" x14ac:dyDescent="0.3">
      <c r="A76" s="10" t="s">
        <v>233</v>
      </c>
      <c r="B76" s="40" t="s">
        <v>127</v>
      </c>
      <c r="C76" s="50">
        <v>25.33719646665908</v>
      </c>
      <c r="D76" s="10">
        <v>930</v>
      </c>
      <c r="E76" s="10">
        <v>-13.84</v>
      </c>
      <c r="F76" s="109"/>
      <c r="G76" s="109"/>
      <c r="H76" s="2">
        <f t="shared" si="4"/>
        <v>-350.66679909856168</v>
      </c>
      <c r="K76" s="10">
        <v>40.22</v>
      </c>
      <c r="L76" s="40" t="s">
        <v>157</v>
      </c>
      <c r="M76" s="10">
        <v>0</v>
      </c>
      <c r="N76" s="10">
        <v>0</v>
      </c>
      <c r="O76" s="10">
        <v>0</v>
      </c>
      <c r="P76" s="10">
        <v>0</v>
      </c>
      <c r="Q76" s="10">
        <v>-1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1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</row>
    <row r="77" spans="1:43" x14ac:dyDescent="0.3">
      <c r="A77" s="10" t="s">
        <v>233</v>
      </c>
      <c r="B77" s="40" t="s">
        <v>128</v>
      </c>
      <c r="C77" s="50">
        <v>7.5940281366637974</v>
      </c>
      <c r="D77" s="10">
        <v>930</v>
      </c>
      <c r="E77" s="10">
        <v>-4.7699999999999996</v>
      </c>
      <c r="F77" s="109"/>
      <c r="G77" s="109"/>
      <c r="H77" s="2">
        <f t="shared" si="4"/>
        <v>-36.223514211886311</v>
      </c>
      <c r="K77" s="10">
        <v>40.229999999999997</v>
      </c>
      <c r="L77" s="40" t="s">
        <v>158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-1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</row>
    <row r="78" spans="1:43" x14ac:dyDescent="0.3">
      <c r="A78" s="10" t="s">
        <v>233</v>
      </c>
      <c r="B78" s="40" t="s">
        <v>129</v>
      </c>
      <c r="C78" s="50">
        <v>28.245623697887005</v>
      </c>
      <c r="D78" s="10">
        <v>930</v>
      </c>
      <c r="E78" s="10">
        <v>-14.13</v>
      </c>
      <c r="F78" s="109"/>
      <c r="G78" s="109"/>
      <c r="H78" s="2">
        <f t="shared" si="4"/>
        <v>-399.11066285114339</v>
      </c>
      <c r="K78" s="10">
        <v>40.24</v>
      </c>
      <c r="L78" s="40" t="s">
        <v>38</v>
      </c>
      <c r="M78" s="10">
        <v>0</v>
      </c>
      <c r="N78" s="10">
        <v>0</v>
      </c>
      <c r="O78" s="10">
        <v>0</v>
      </c>
      <c r="P78" s="10">
        <v>-1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1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-0.42899999999999999</v>
      </c>
      <c r="AG78" s="10">
        <v>-0.27300000000000002</v>
      </c>
      <c r="AH78" s="10">
        <v>0</v>
      </c>
      <c r="AI78" s="10">
        <v>0</v>
      </c>
      <c r="AJ78" s="10">
        <v>0</v>
      </c>
      <c r="AK78" s="10">
        <v>0.42899999999999999</v>
      </c>
      <c r="AL78" s="10">
        <v>0.27300000000000002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</row>
    <row r="79" spans="1:43" x14ac:dyDescent="0.3">
      <c r="A79" s="10" t="s">
        <v>233</v>
      </c>
      <c r="B79" s="40" t="s">
        <v>130</v>
      </c>
      <c r="C79" s="50">
        <v>75.300000000000026</v>
      </c>
      <c r="D79" s="10">
        <v>930</v>
      </c>
      <c r="E79" s="10">
        <v>-14.13</v>
      </c>
      <c r="F79" s="109"/>
      <c r="G79" s="109"/>
      <c r="H79" s="2">
        <f t="shared" si="4"/>
        <v>-1063.9890000000005</v>
      </c>
      <c r="K79" s="10">
        <v>40.25</v>
      </c>
      <c r="L79" s="40" t="s">
        <v>48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-1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1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</row>
    <row r="80" spans="1:43" x14ac:dyDescent="0.3">
      <c r="A80" s="10" t="s">
        <v>232</v>
      </c>
      <c r="B80" s="40" t="s">
        <v>131</v>
      </c>
      <c r="C80" s="50">
        <v>614.83856595219368</v>
      </c>
      <c r="D80" s="10">
        <v>930</v>
      </c>
      <c r="E80" s="10">
        <v>-2.9260000000000002</v>
      </c>
      <c r="F80" s="109"/>
      <c r="G80" s="109"/>
      <c r="H80" s="2">
        <f t="shared" si="4"/>
        <v>-1799.0176439761187</v>
      </c>
      <c r="K80" s="10">
        <v>40.26</v>
      </c>
      <c r="L80" s="40" t="s">
        <v>36</v>
      </c>
      <c r="M80" s="10">
        <v>0</v>
      </c>
      <c r="N80" s="10">
        <v>-0.69899999999999995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0.76800000000000002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pans="1:43" x14ac:dyDescent="0.3">
      <c r="A81" s="10" t="s">
        <v>232</v>
      </c>
      <c r="B81" s="40" t="s">
        <v>132</v>
      </c>
      <c r="C81" s="50">
        <v>426.69796477082241</v>
      </c>
      <c r="D81" s="10">
        <v>930</v>
      </c>
      <c r="E81" s="10">
        <v>-7.9260000000000002</v>
      </c>
      <c r="F81" s="109"/>
      <c r="G81" s="109"/>
      <c r="H81" s="2">
        <f t="shared" si="4"/>
        <v>-3382.0080687735385</v>
      </c>
      <c r="K81" s="10">
        <v>40.270000000000003</v>
      </c>
      <c r="L81" s="40" t="s">
        <v>56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-1</v>
      </c>
      <c r="AI81" s="10">
        <v>-0.112</v>
      </c>
      <c r="AJ81" s="10">
        <v>0</v>
      </c>
      <c r="AK81" s="10">
        <v>0</v>
      </c>
      <c r="AL81" s="10">
        <v>0</v>
      </c>
      <c r="AM81" s="10">
        <v>1</v>
      </c>
      <c r="AN81" s="10">
        <v>0.112</v>
      </c>
      <c r="AO81" s="10">
        <v>0</v>
      </c>
      <c r="AP81" s="10">
        <v>0</v>
      </c>
      <c r="AQ81" s="10">
        <v>0</v>
      </c>
    </row>
    <row r="82" spans="1:43" x14ac:dyDescent="0.3">
      <c r="A82" s="10" t="s">
        <v>232</v>
      </c>
      <c r="B82" s="40" t="s">
        <v>133</v>
      </c>
      <c r="C82" s="50">
        <v>4.0293522750251745</v>
      </c>
      <c r="D82" s="10">
        <v>930</v>
      </c>
      <c r="E82" s="10">
        <v>13.35</v>
      </c>
      <c r="F82" s="109"/>
      <c r="G82" s="109"/>
      <c r="H82" s="2">
        <f t="shared" si="4"/>
        <v>53.79185287158608</v>
      </c>
      <c r="K82" s="10">
        <v>40.28</v>
      </c>
      <c r="L82" s="40" t="s">
        <v>50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-1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1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pans="1:43" x14ac:dyDescent="0.3">
      <c r="A83" s="10" t="s">
        <v>232</v>
      </c>
      <c r="B83" s="40" t="s">
        <v>134</v>
      </c>
      <c r="C83" s="50">
        <v>21.919676376136955</v>
      </c>
      <c r="D83" s="10">
        <v>930</v>
      </c>
      <c r="E83" s="10">
        <v>-11.49</v>
      </c>
      <c r="F83" s="109"/>
      <c r="G83" s="109"/>
      <c r="H83" s="2">
        <f t="shared" si="4"/>
        <v>-251.85708156181363</v>
      </c>
      <c r="K83" s="10">
        <v>40.29</v>
      </c>
      <c r="L83" s="40" t="s">
        <v>54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-0.63200000000000001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0.77400000000000002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pans="1:43" x14ac:dyDescent="0.3">
      <c r="A84" s="10" t="s">
        <v>232</v>
      </c>
      <c r="B84" s="40" t="s">
        <v>135</v>
      </c>
      <c r="C84" s="50">
        <v>1164.7300259381325</v>
      </c>
      <c r="D84" s="10">
        <v>930</v>
      </c>
      <c r="E84" s="10">
        <v>1.008</v>
      </c>
      <c r="F84" s="109"/>
      <c r="G84" s="109"/>
      <c r="H84" s="2">
        <f t="shared" si="4"/>
        <v>1174.0478661456375</v>
      </c>
      <c r="K84" s="10">
        <v>40.299999999999997</v>
      </c>
      <c r="L84" s="40" t="s">
        <v>40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-1</v>
      </c>
      <c r="AK84" s="10">
        <v>0</v>
      </c>
      <c r="AL84" s="10">
        <v>0</v>
      </c>
      <c r="AM84" s="10">
        <v>0</v>
      </c>
      <c r="AN84" s="10">
        <v>0</v>
      </c>
      <c r="AO84" s="10">
        <v>1</v>
      </c>
      <c r="AP84" s="10">
        <v>0</v>
      </c>
      <c r="AQ84" s="10">
        <v>0</v>
      </c>
    </row>
    <row r="85" spans="1:43" x14ac:dyDescent="0.3">
      <c r="A85" s="10" t="s">
        <v>233</v>
      </c>
      <c r="B85" s="40" t="s">
        <v>136</v>
      </c>
      <c r="C85" s="50">
        <v>405.97468289134372</v>
      </c>
      <c r="D85" s="10">
        <v>25</v>
      </c>
      <c r="E85" s="10">
        <v>-3.972</v>
      </c>
      <c r="F85" s="109"/>
      <c r="G85" s="109"/>
      <c r="H85" s="2">
        <f t="shared" si="4"/>
        <v>-1612.5314404444173</v>
      </c>
      <c r="I85" s="11">
        <v>1.049E-3</v>
      </c>
      <c r="J85" s="3">
        <f>C85*I85</f>
        <v>0.42586744235301954</v>
      </c>
      <c r="K85" s="10">
        <v>40.31</v>
      </c>
      <c r="L85" s="40" t="s">
        <v>37</v>
      </c>
      <c r="M85" s="10">
        <v>0</v>
      </c>
      <c r="N85" s="10">
        <v>-0.30099999999999999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-0.36799999999999999</v>
      </c>
      <c r="W85" s="10">
        <v>0</v>
      </c>
      <c r="X85" s="10">
        <v>0</v>
      </c>
      <c r="Y85" s="10">
        <v>0</v>
      </c>
      <c r="Z85" s="10">
        <v>0</v>
      </c>
      <c r="AA85" s="10">
        <v>0.23200000000000001</v>
      </c>
      <c r="AB85" s="10">
        <v>0</v>
      </c>
      <c r="AC85" s="10">
        <v>0.22600000000000001</v>
      </c>
      <c r="AD85" s="10">
        <v>0</v>
      </c>
      <c r="AE85" s="10">
        <v>0</v>
      </c>
      <c r="AF85" s="10">
        <v>-0.57099999999999995</v>
      </c>
      <c r="AG85" s="10">
        <v>-0.72699999999999998</v>
      </c>
      <c r="AH85" s="10">
        <v>0</v>
      </c>
      <c r="AI85" s="10">
        <v>-0.88800000000000001</v>
      </c>
      <c r="AJ85" s="10">
        <v>0</v>
      </c>
      <c r="AK85" s="10">
        <v>0.57099999999999995</v>
      </c>
      <c r="AL85" s="10">
        <v>0.72699999999999998</v>
      </c>
      <c r="AM85" s="10">
        <v>0</v>
      </c>
      <c r="AN85" s="10">
        <v>0.88800000000000001</v>
      </c>
      <c r="AO85" s="10">
        <v>0</v>
      </c>
      <c r="AP85" s="10">
        <v>0</v>
      </c>
      <c r="AQ85" s="10">
        <v>0</v>
      </c>
    </row>
    <row r="86" spans="1:43" x14ac:dyDescent="0.3">
      <c r="A86" s="10" t="s">
        <v>233</v>
      </c>
      <c r="B86" s="40" t="s">
        <v>137</v>
      </c>
      <c r="C86" s="50">
        <v>754.91263815215802</v>
      </c>
      <c r="D86" s="10">
        <v>25</v>
      </c>
      <c r="E86" s="10">
        <v>-8.9659999999999993</v>
      </c>
      <c r="F86" s="109"/>
      <c r="G86" s="109"/>
      <c r="H86" s="2">
        <f t="shared" si="4"/>
        <v>-6768.5467136722482</v>
      </c>
      <c r="I86" s="11">
        <v>9.3139999999999998E-4</v>
      </c>
      <c r="J86" s="3">
        <f t="shared" ref="J86:J89" si="5">C86*I86</f>
        <v>0.70312563117492</v>
      </c>
      <c r="K86" s="10">
        <v>40.32</v>
      </c>
      <c r="L86" s="40" t="s">
        <v>159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-1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1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</row>
    <row r="87" spans="1:43" x14ac:dyDescent="0.3">
      <c r="A87" s="10" t="s">
        <v>233</v>
      </c>
      <c r="B87" s="40" t="s">
        <v>138</v>
      </c>
      <c r="C87" s="50">
        <v>2.6561800557550259</v>
      </c>
      <c r="D87" s="10">
        <v>25</v>
      </c>
      <c r="E87" s="10">
        <v>-0.36159999999999998</v>
      </c>
      <c r="F87" s="109"/>
      <c r="G87" s="109"/>
      <c r="H87" s="2">
        <f t="shared" si="4"/>
        <v>-0.96047470816101732</v>
      </c>
      <c r="I87" s="11">
        <v>1.4420000000000001E-2</v>
      </c>
      <c r="J87" s="3">
        <f t="shared" si="5"/>
        <v>3.8302116403987473E-2</v>
      </c>
      <c r="K87" s="10">
        <v>40.33</v>
      </c>
      <c r="L87" s="40" t="s">
        <v>160</v>
      </c>
      <c r="M87" s="10">
        <v>0</v>
      </c>
      <c r="N87" s="10">
        <v>0</v>
      </c>
      <c r="O87" s="10">
        <v>-1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1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</row>
    <row r="88" spans="1:43" x14ac:dyDescent="0.3">
      <c r="A88" s="10" t="s">
        <v>233</v>
      </c>
      <c r="B88" s="40" t="s">
        <v>139</v>
      </c>
      <c r="C88" s="50">
        <v>34.180142619620426</v>
      </c>
      <c r="D88" s="10">
        <v>25</v>
      </c>
      <c r="E88" s="10">
        <v>-13.47</v>
      </c>
      <c r="F88" s="109"/>
      <c r="G88" s="109"/>
      <c r="H88" s="2">
        <f>(C88+C91)*E88</f>
        <v>-1847.2722297071407</v>
      </c>
      <c r="I88" s="11">
        <v>1.902E-3</v>
      </c>
      <c r="J88" s="3">
        <f>(C88+C91)*I88</f>
        <v>0.26083977586510626</v>
      </c>
      <c r="K88" s="10">
        <v>40.340000000000003</v>
      </c>
      <c r="L88" s="40" t="s">
        <v>161</v>
      </c>
      <c r="M88" s="10">
        <v>0</v>
      </c>
      <c r="N88" s="10">
        <v>0</v>
      </c>
      <c r="O88" s="10">
        <v>0</v>
      </c>
      <c r="P88" s="10">
        <v>-1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1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</row>
    <row r="89" spans="1:43" x14ac:dyDescent="0.3">
      <c r="A89" s="10" t="s">
        <v>233</v>
      </c>
      <c r="B89" s="40" t="s">
        <v>140</v>
      </c>
      <c r="C89" s="50">
        <v>1164.7300259381325</v>
      </c>
      <c r="D89" s="10">
        <v>25</v>
      </c>
      <c r="E89" s="10">
        <v>2.6239999999999999E-2</v>
      </c>
      <c r="F89" s="109"/>
      <c r="G89" s="109"/>
      <c r="H89" s="2">
        <f>C89*E89</f>
        <v>30.562515880616594</v>
      </c>
      <c r="I89" s="11">
        <v>1.044E-3</v>
      </c>
      <c r="J89" s="3">
        <f t="shared" si="5"/>
        <v>1.2159781470794104</v>
      </c>
      <c r="K89" s="10">
        <v>25.13</v>
      </c>
      <c r="L89" s="40" t="s">
        <v>162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39">
        <f>-M64/M62*5.7</f>
        <v>-3.7355021691058497E-2</v>
      </c>
      <c r="AH89" s="10">
        <v>0</v>
      </c>
      <c r="AI89" s="10">
        <v>1</v>
      </c>
      <c r="AJ89" s="10">
        <v>0</v>
      </c>
      <c r="AK89" s="10">
        <v>0</v>
      </c>
      <c r="AL89" s="39">
        <f>M64/M62*5.7</f>
        <v>3.7355021691058497E-2</v>
      </c>
      <c r="AM89" s="10">
        <v>0</v>
      </c>
      <c r="AN89" s="10">
        <v>-1</v>
      </c>
      <c r="AO89" s="10">
        <v>0</v>
      </c>
      <c r="AP89" s="10">
        <v>0</v>
      </c>
      <c r="AQ89" s="10">
        <v>0</v>
      </c>
    </row>
    <row r="90" spans="1:43" x14ac:dyDescent="0.3">
      <c r="A90" s="10" t="s">
        <v>232</v>
      </c>
      <c r="B90" s="40" t="s">
        <v>166</v>
      </c>
      <c r="C90" s="50">
        <v>102.95959232523039</v>
      </c>
      <c r="D90" s="10">
        <v>25</v>
      </c>
      <c r="E90" s="10">
        <v>-15.87</v>
      </c>
      <c r="F90" s="109"/>
      <c r="G90" s="109"/>
      <c r="H90" s="2">
        <f t="shared" si="4"/>
        <v>-1633.9687302014063</v>
      </c>
      <c r="K90" s="10">
        <v>41.2</v>
      </c>
      <c r="L90" s="40" t="s">
        <v>141</v>
      </c>
      <c r="M90" s="10">
        <v>0</v>
      </c>
      <c r="N90" s="10">
        <v>0.05</v>
      </c>
      <c r="O90" s="10">
        <v>0.05</v>
      </c>
      <c r="P90" s="10">
        <v>0.05</v>
      </c>
      <c r="Q90" s="10">
        <v>0.05</v>
      </c>
      <c r="R90" s="10">
        <v>0.05</v>
      </c>
      <c r="S90" s="10">
        <v>0.05</v>
      </c>
      <c r="T90" s="10">
        <v>0.05</v>
      </c>
      <c r="U90" s="10">
        <v>0.05</v>
      </c>
      <c r="V90" s="10">
        <v>0.05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-1</v>
      </c>
      <c r="AQ90" s="10">
        <v>0</v>
      </c>
    </row>
    <row r="91" spans="1:43" x14ac:dyDescent="0.3">
      <c r="A91" s="10" t="s">
        <v>233</v>
      </c>
      <c r="B91" s="40" t="s">
        <v>167</v>
      </c>
      <c r="C91" s="50">
        <v>102.95959232523039</v>
      </c>
      <c r="D91" s="10">
        <v>25</v>
      </c>
      <c r="E91" s="10">
        <v>-15.87</v>
      </c>
      <c r="F91" s="110"/>
      <c r="G91" s="110"/>
      <c r="H91" s="2">
        <f>SUM(H85:H89)</f>
        <v>-10198.748342651352</v>
      </c>
      <c r="J91" s="2">
        <f>SUM(J85:J89)</f>
        <v>2.6441131128764437</v>
      </c>
      <c r="K91" s="10">
        <v>41.4</v>
      </c>
      <c r="L91" s="40" t="s">
        <v>142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-1</v>
      </c>
      <c r="AQ91" s="10">
        <v>1</v>
      </c>
    </row>
    <row r="93" spans="1:43" ht="23.4" customHeight="1" x14ac:dyDescent="0.3">
      <c r="A93" s="107" t="s">
        <v>239</v>
      </c>
      <c r="B93" s="107"/>
      <c r="C93" s="107"/>
      <c r="D93" s="107"/>
      <c r="E93" s="107"/>
      <c r="F93" s="107"/>
      <c r="G93" s="107"/>
    </row>
    <row r="94" spans="1:43" ht="14.4" customHeight="1" x14ac:dyDescent="0.3">
      <c r="A94" s="111" t="s">
        <v>228</v>
      </c>
      <c r="B94" s="112"/>
      <c r="C94" s="112"/>
      <c r="D94" s="113"/>
      <c r="H94" s="2">
        <f>(C98-H91)/J91</f>
        <v>88.178016125901735</v>
      </c>
    </row>
    <row r="95" spans="1:43" x14ac:dyDescent="0.3">
      <c r="A95" s="10">
        <v>40.200000000000003</v>
      </c>
      <c r="B95" s="40" t="s">
        <v>104</v>
      </c>
      <c r="C95" s="38">
        <f>SUM(H62:H70,H80:H84,H90)</f>
        <v>-16798.40255160402</v>
      </c>
      <c r="D95" s="10"/>
    </row>
    <row r="96" spans="1:43" x14ac:dyDescent="0.3">
      <c r="A96" s="10">
        <v>40.299999999999997</v>
      </c>
      <c r="B96" s="40" t="s">
        <v>106</v>
      </c>
      <c r="C96" s="38">
        <f>C95-80</f>
        <v>-16878.40255160402</v>
      </c>
      <c r="D96" s="10"/>
    </row>
    <row r="97" spans="1:4" x14ac:dyDescent="0.3">
      <c r="A97" s="111" t="s">
        <v>229</v>
      </c>
      <c r="B97" s="112"/>
      <c r="C97" s="112"/>
      <c r="D97" s="113"/>
    </row>
    <row r="98" spans="1:4" x14ac:dyDescent="0.3">
      <c r="A98" s="10">
        <v>40.5</v>
      </c>
      <c r="B98" s="40" t="s">
        <v>164</v>
      </c>
      <c r="C98" s="38">
        <f>C96-SUM(H71:H79)</f>
        <v>-9965.5956939454245</v>
      </c>
      <c r="D98" s="40"/>
    </row>
    <row r="99" spans="1:4" x14ac:dyDescent="0.3">
      <c r="A99" s="111" t="s">
        <v>230</v>
      </c>
      <c r="B99" s="112"/>
      <c r="C99" s="112"/>
      <c r="D99" s="113"/>
    </row>
    <row r="100" spans="1:4" x14ac:dyDescent="0.3">
      <c r="A100" s="81">
        <v>40.700000000000003</v>
      </c>
      <c r="B100" s="82" t="s">
        <v>165</v>
      </c>
      <c r="C100" s="66">
        <f>(C98-C85*-3.972-C86*-8.966-C87*-0.3616-(C88+C91)*-13.47-C89*-0.02624)/(C85*0.001049+C86*0.0009314+C87*0.01442+(C88+C91)*0.001902+C89*0.001044)</f>
        <v>111.29542039410899</v>
      </c>
      <c r="D100" s="81"/>
    </row>
  </sheetData>
  <mergeCells count="19">
    <mergeCell ref="A93:G93"/>
    <mergeCell ref="A94:D94"/>
    <mergeCell ref="A97:D97"/>
    <mergeCell ref="A99:D99"/>
    <mergeCell ref="F38:F52"/>
    <mergeCell ref="G38:G52"/>
    <mergeCell ref="A54:G54"/>
    <mergeCell ref="A60:G60"/>
    <mergeCell ref="K60:S60"/>
    <mergeCell ref="F62:F91"/>
    <mergeCell ref="G62:G91"/>
    <mergeCell ref="A2:G2"/>
    <mergeCell ref="K2:AQ2"/>
    <mergeCell ref="F4:F33"/>
    <mergeCell ref="G4:G33"/>
    <mergeCell ref="A36:C36"/>
    <mergeCell ref="D36:F36"/>
    <mergeCell ref="K36:M36"/>
    <mergeCell ref="N36:P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67BE-69E8-4D12-BF6F-B4A93D8B880C}">
  <dimension ref="A1:T59"/>
  <sheetViews>
    <sheetView zoomScale="40" zoomScaleNormal="40" workbookViewId="0">
      <selection activeCell="X54" sqref="X54"/>
    </sheetView>
  </sheetViews>
  <sheetFormatPr defaultRowHeight="13.8" x14ac:dyDescent="0.25"/>
  <cols>
    <col min="1" max="1" width="11" style="58" bestFit="1" customWidth="1"/>
    <col min="2" max="2" width="16" style="59" customWidth="1"/>
    <col min="3" max="3" width="14.88671875" style="58" bestFit="1" customWidth="1"/>
    <col min="4" max="4" width="15" style="58" bestFit="1" customWidth="1"/>
    <col min="5" max="5" width="8.88671875" style="58"/>
    <col min="6" max="6" width="13.5546875" style="58" customWidth="1"/>
    <col min="7" max="7" width="29.88671875" style="58" customWidth="1"/>
    <col min="8" max="8" width="9.33203125" style="59" bestFit="1" customWidth="1"/>
    <col min="9" max="9" width="8.88671875" style="58"/>
    <col min="10" max="10" width="3" style="58" bestFit="1" customWidth="1"/>
    <col min="11" max="11" width="15.44140625" style="58" customWidth="1"/>
    <col min="12" max="12" width="11.21875" style="58" bestFit="1" customWidth="1"/>
    <col min="13" max="13" width="21.77734375" style="58" bestFit="1" customWidth="1"/>
    <col min="14" max="14" width="29.88671875" style="58" bestFit="1" customWidth="1"/>
    <col min="15" max="15" width="8.77734375" style="58" customWidth="1"/>
    <col min="16" max="17" width="8.88671875" style="58"/>
    <col min="18" max="18" width="11" style="58" bestFit="1" customWidth="1"/>
    <col min="19" max="19" width="8.88671875" style="58"/>
    <col min="20" max="20" width="14" style="58" bestFit="1" customWidth="1"/>
    <col min="21" max="16384" width="8.88671875" style="58"/>
  </cols>
  <sheetData>
    <row r="1" spans="1:20" x14ac:dyDescent="0.25">
      <c r="A1" s="121" t="s">
        <v>244</v>
      </c>
      <c r="B1" s="121"/>
      <c r="C1" s="121"/>
      <c r="D1" s="121"/>
      <c r="J1" s="122" t="s">
        <v>245</v>
      </c>
      <c r="K1" s="122"/>
      <c r="L1" s="122"/>
      <c r="M1" s="122"/>
      <c r="N1" s="122"/>
      <c r="O1" s="122"/>
    </row>
    <row r="2" spans="1:20" x14ac:dyDescent="0.25">
      <c r="A2" s="41" t="s">
        <v>246</v>
      </c>
      <c r="B2" s="84" t="s">
        <v>247</v>
      </c>
      <c r="C2" s="85"/>
      <c r="D2" s="85"/>
      <c r="F2" s="41" t="s">
        <v>248</v>
      </c>
      <c r="G2" s="41" t="s">
        <v>246</v>
      </c>
      <c r="H2" s="41" t="s">
        <v>249</v>
      </c>
      <c r="J2" s="85"/>
      <c r="K2" s="41" t="s">
        <v>250</v>
      </c>
      <c r="L2" s="41" t="s">
        <v>176</v>
      </c>
      <c r="M2" s="41" t="s">
        <v>251</v>
      </c>
      <c r="N2" s="41" t="s">
        <v>252</v>
      </c>
      <c r="O2" s="41" t="s">
        <v>253</v>
      </c>
      <c r="Q2" s="63" t="s">
        <v>254</v>
      </c>
      <c r="R2" s="63" t="s">
        <v>255</v>
      </c>
      <c r="S2" s="63" t="s">
        <v>256</v>
      </c>
      <c r="T2" s="63" t="s">
        <v>257</v>
      </c>
    </row>
    <row r="3" spans="1:20" ht="16.8" x14ac:dyDescent="0.25">
      <c r="A3" s="85" t="s">
        <v>258</v>
      </c>
      <c r="B3" s="50">
        <v>102</v>
      </c>
      <c r="C3" s="10" t="s">
        <v>259</v>
      </c>
      <c r="D3" s="10" t="s">
        <v>260</v>
      </c>
      <c r="F3" s="123" t="s">
        <v>261</v>
      </c>
      <c r="G3" s="87" t="s">
        <v>262</v>
      </c>
      <c r="H3" s="86">
        <v>-14.67</v>
      </c>
      <c r="J3" s="85">
        <v>1</v>
      </c>
      <c r="K3" s="124" t="s">
        <v>263</v>
      </c>
      <c r="L3" s="124"/>
      <c r="M3" s="124"/>
      <c r="N3" s="124"/>
      <c r="O3" s="124"/>
      <c r="Q3" s="10">
        <v>1</v>
      </c>
      <c r="R3" s="10" t="s">
        <v>264</v>
      </c>
      <c r="S3" s="10" t="s">
        <v>181</v>
      </c>
      <c r="T3" s="10">
        <v>1.0079400000000001</v>
      </c>
    </row>
    <row r="4" spans="1:20" x14ac:dyDescent="0.25">
      <c r="A4" s="85" t="s">
        <v>265</v>
      </c>
      <c r="B4" s="50">
        <v>16</v>
      </c>
      <c r="C4" s="10" t="s">
        <v>266</v>
      </c>
      <c r="D4" s="10" t="s">
        <v>267</v>
      </c>
      <c r="F4" s="123"/>
      <c r="G4" s="87" t="s">
        <v>268</v>
      </c>
      <c r="H4" s="86">
        <v>-13.58</v>
      </c>
      <c r="J4" s="85">
        <v>2</v>
      </c>
      <c r="K4" s="94" t="s">
        <v>269</v>
      </c>
      <c r="L4" s="85"/>
      <c r="M4" s="85"/>
      <c r="N4" s="85" t="s">
        <v>270</v>
      </c>
      <c r="O4" s="85"/>
      <c r="Q4" s="10">
        <v>2</v>
      </c>
      <c r="R4" s="10" t="s">
        <v>271</v>
      </c>
      <c r="S4" s="10" t="s">
        <v>272</v>
      </c>
      <c r="T4" s="10">
        <v>4.0026020000000004</v>
      </c>
    </row>
    <row r="5" spans="1:20" x14ac:dyDescent="0.25">
      <c r="A5" s="85" t="s">
        <v>273</v>
      </c>
      <c r="B5" s="50">
        <v>30.1</v>
      </c>
      <c r="C5" s="10" t="s">
        <v>274</v>
      </c>
      <c r="D5" s="10" t="s">
        <v>275</v>
      </c>
      <c r="F5" s="123"/>
      <c r="G5" s="87" t="s">
        <v>276</v>
      </c>
      <c r="H5" s="86">
        <v>2.488</v>
      </c>
      <c r="J5" s="85">
        <v>3</v>
      </c>
      <c r="K5" s="10" t="s">
        <v>277</v>
      </c>
      <c r="L5" s="10" t="s">
        <v>278</v>
      </c>
      <c r="M5" s="10" t="s">
        <v>279</v>
      </c>
      <c r="N5" s="10" t="s">
        <v>280</v>
      </c>
      <c r="O5" s="10" t="s">
        <v>281</v>
      </c>
      <c r="Q5" s="10">
        <v>3</v>
      </c>
      <c r="R5" s="10" t="s">
        <v>282</v>
      </c>
      <c r="S5" s="10" t="s">
        <v>283</v>
      </c>
      <c r="T5" s="10">
        <v>6.9409999999999998</v>
      </c>
    </row>
    <row r="6" spans="1:20" x14ac:dyDescent="0.25">
      <c r="A6" s="85" t="s">
        <v>284</v>
      </c>
      <c r="B6" s="50">
        <v>44.1</v>
      </c>
      <c r="C6" s="10" t="s">
        <v>285</v>
      </c>
      <c r="D6" s="10" t="s">
        <v>286</v>
      </c>
      <c r="F6" s="123"/>
      <c r="G6" s="87" t="s">
        <v>287</v>
      </c>
      <c r="H6" s="86">
        <v>5</v>
      </c>
      <c r="J6" s="85">
        <v>4</v>
      </c>
      <c r="K6" s="95">
        <v>25</v>
      </c>
      <c r="L6" s="95">
        <v>-110.527</v>
      </c>
      <c r="M6" s="95"/>
      <c r="N6" s="95"/>
      <c r="O6" s="95"/>
      <c r="Q6" s="10">
        <v>4</v>
      </c>
      <c r="R6" s="10" t="s">
        <v>288</v>
      </c>
      <c r="S6" s="10" t="s">
        <v>289</v>
      </c>
      <c r="T6" s="10">
        <v>9.0121819999999992</v>
      </c>
    </row>
    <row r="7" spans="1:20" x14ac:dyDescent="0.25">
      <c r="A7" s="85" t="s">
        <v>290</v>
      </c>
      <c r="B7" s="50">
        <v>58.1</v>
      </c>
      <c r="C7" s="10" t="s">
        <v>291</v>
      </c>
      <c r="D7" s="10" t="s">
        <v>292</v>
      </c>
      <c r="F7" s="123"/>
      <c r="G7" s="87" t="s">
        <v>293</v>
      </c>
      <c r="H7" s="86">
        <v>-9.9250000000000007</v>
      </c>
      <c r="J7" s="85">
        <v>5</v>
      </c>
      <c r="K7" s="95">
        <v>1826.85</v>
      </c>
      <c r="L7" s="95"/>
      <c r="M7" s="95">
        <v>60.375999999999998</v>
      </c>
      <c r="N7" s="95">
        <v>-50.151000000000003</v>
      </c>
      <c r="O7" s="95">
        <v>-1.79</v>
      </c>
      <c r="Q7" s="10">
        <v>5</v>
      </c>
      <c r="R7" s="10" t="s">
        <v>294</v>
      </c>
      <c r="S7" s="10" t="s">
        <v>250</v>
      </c>
      <c r="T7" s="10">
        <v>10.811</v>
      </c>
    </row>
    <row r="8" spans="1:20" x14ac:dyDescent="0.25">
      <c r="A8" s="85" t="s">
        <v>295</v>
      </c>
      <c r="B8" s="50">
        <v>72.099999999999994</v>
      </c>
      <c r="C8" s="10" t="s">
        <v>296</v>
      </c>
      <c r="D8" s="10" t="s">
        <v>297</v>
      </c>
      <c r="F8" s="123"/>
      <c r="G8" s="87" t="s">
        <v>298</v>
      </c>
      <c r="H8" s="86">
        <v>-8.4949999999999992</v>
      </c>
      <c r="J8" s="85">
        <v>6</v>
      </c>
      <c r="K8" s="95">
        <v>1926.85</v>
      </c>
      <c r="L8" s="95"/>
      <c r="M8" s="95">
        <v>64.021000000000001</v>
      </c>
      <c r="N8" s="95">
        <v>-46.506</v>
      </c>
      <c r="O8" s="95">
        <v>-1.66</v>
      </c>
      <c r="Q8" s="10">
        <v>6</v>
      </c>
      <c r="R8" s="10" t="s">
        <v>299</v>
      </c>
      <c r="S8" s="10" t="s">
        <v>176</v>
      </c>
      <c r="T8" s="10">
        <v>12.0107</v>
      </c>
    </row>
    <row r="9" spans="1:20" x14ac:dyDescent="0.25">
      <c r="A9" s="85" t="s">
        <v>300</v>
      </c>
      <c r="B9" s="50">
        <v>86.2</v>
      </c>
      <c r="C9" s="10" t="s">
        <v>301</v>
      </c>
      <c r="D9" s="10" t="s">
        <v>302</v>
      </c>
      <c r="F9" s="123"/>
      <c r="G9" s="87" t="s">
        <v>303</v>
      </c>
      <c r="H9" s="86">
        <v>1.2689999999999999</v>
      </c>
      <c r="J9" s="85">
        <v>7</v>
      </c>
      <c r="K9" s="95">
        <v>2026.85</v>
      </c>
      <c r="L9" s="95"/>
      <c r="M9" s="95">
        <v>67.679000000000002</v>
      </c>
      <c r="N9" s="95">
        <v>-42.847999999999999</v>
      </c>
      <c r="O9" s="95">
        <v>-1.53</v>
      </c>
      <c r="Q9" s="10">
        <v>7</v>
      </c>
      <c r="R9" s="10" t="s">
        <v>304</v>
      </c>
      <c r="S9" s="10" t="s">
        <v>179</v>
      </c>
      <c r="T9" s="10">
        <v>14.0067</v>
      </c>
    </row>
    <row r="10" spans="1:20" x14ac:dyDescent="0.25">
      <c r="A10" s="85" t="s">
        <v>305</v>
      </c>
      <c r="B10" s="50">
        <v>28</v>
      </c>
      <c r="C10" s="10" t="s">
        <v>306</v>
      </c>
      <c r="D10" s="10" t="s">
        <v>307</v>
      </c>
      <c r="F10" s="123"/>
      <c r="G10" s="87" t="s">
        <v>308</v>
      </c>
      <c r="H10" s="86">
        <v>-13.08</v>
      </c>
      <c r="J10" s="85">
        <v>8</v>
      </c>
      <c r="K10" s="95">
        <v>2126.85</v>
      </c>
      <c r="L10" s="95"/>
      <c r="M10" s="95">
        <v>71.347999999999999</v>
      </c>
      <c r="N10" s="95">
        <v>-39.179000000000002</v>
      </c>
      <c r="O10" s="95">
        <v>-1.399</v>
      </c>
      <c r="Q10" s="10">
        <v>8</v>
      </c>
      <c r="R10" s="10" t="s">
        <v>309</v>
      </c>
      <c r="S10" s="10" t="s">
        <v>180</v>
      </c>
      <c r="T10" s="10">
        <v>15.9994</v>
      </c>
    </row>
    <row r="11" spans="1:20" x14ac:dyDescent="0.25">
      <c r="A11" s="85" t="s">
        <v>310</v>
      </c>
      <c r="B11" s="50">
        <v>44</v>
      </c>
      <c r="C11" s="10" t="s">
        <v>311</v>
      </c>
      <c r="D11" s="10" t="s">
        <v>312</v>
      </c>
      <c r="F11" s="123"/>
      <c r="G11" s="87" t="s">
        <v>313</v>
      </c>
      <c r="H11" s="86">
        <v>-11.14</v>
      </c>
      <c r="J11" s="85">
        <v>9</v>
      </c>
      <c r="K11" s="95">
        <v>2226.85</v>
      </c>
      <c r="L11" s="95"/>
      <c r="M11" s="95">
        <v>75.027000000000001</v>
      </c>
      <c r="N11" s="95">
        <v>-35.5</v>
      </c>
      <c r="O11" s="95">
        <v>-1.2669999999999999</v>
      </c>
      <c r="Q11" s="10">
        <v>9</v>
      </c>
      <c r="R11" s="10" t="s">
        <v>314</v>
      </c>
      <c r="S11" s="10" t="s">
        <v>253</v>
      </c>
      <c r="T11" s="10">
        <v>18.998403199999998</v>
      </c>
    </row>
    <row r="12" spans="1:20" x14ac:dyDescent="0.25">
      <c r="A12" s="85" t="s">
        <v>315</v>
      </c>
      <c r="B12" s="50">
        <v>100.1</v>
      </c>
      <c r="C12" s="10" t="s">
        <v>316</v>
      </c>
      <c r="D12" s="10" t="s">
        <v>317</v>
      </c>
      <c r="F12" s="123"/>
      <c r="G12" s="87" t="s">
        <v>318</v>
      </c>
      <c r="H12" s="86">
        <v>1.343</v>
      </c>
      <c r="J12" s="85">
        <v>10</v>
      </c>
      <c r="K12" s="95">
        <v>2326.85</v>
      </c>
      <c r="L12" s="95"/>
      <c r="M12" s="95">
        <v>78.715000000000003</v>
      </c>
      <c r="N12" s="95">
        <v>-31.812000000000001</v>
      </c>
      <c r="O12" s="95">
        <v>-1.1359999999999999</v>
      </c>
      <c r="Q12" s="10">
        <v>10</v>
      </c>
      <c r="R12" s="10" t="s">
        <v>319</v>
      </c>
      <c r="S12" s="10" t="s">
        <v>320</v>
      </c>
      <c r="T12" s="10">
        <v>20.1797</v>
      </c>
    </row>
    <row r="13" spans="1:20" x14ac:dyDescent="0.25">
      <c r="A13" s="85" t="s">
        <v>188</v>
      </c>
      <c r="B13" s="50">
        <v>56.1</v>
      </c>
      <c r="C13" s="10" t="s">
        <v>321</v>
      </c>
      <c r="D13" s="10" t="s">
        <v>322</v>
      </c>
      <c r="F13" s="123"/>
      <c r="G13" s="87" t="s">
        <v>323</v>
      </c>
      <c r="H13" s="86">
        <v>1.27</v>
      </c>
      <c r="J13" s="85">
        <v>11</v>
      </c>
      <c r="K13" s="125" t="s">
        <v>324</v>
      </c>
      <c r="L13" s="125"/>
      <c r="M13" s="125"/>
      <c r="N13" s="125"/>
      <c r="O13" s="125"/>
      <c r="Q13" s="10">
        <v>11</v>
      </c>
      <c r="R13" s="10" t="s">
        <v>325</v>
      </c>
      <c r="S13" s="10" t="s">
        <v>326</v>
      </c>
      <c r="T13" s="10">
        <v>22.989769280000001</v>
      </c>
    </row>
    <row r="14" spans="1:20" ht="14.4" customHeight="1" x14ac:dyDescent="0.25">
      <c r="A14" s="85" t="s">
        <v>327</v>
      </c>
      <c r="B14" s="50">
        <v>116.2</v>
      </c>
      <c r="C14" s="10" t="s">
        <v>328</v>
      </c>
      <c r="D14" s="10" t="s">
        <v>329</v>
      </c>
      <c r="F14" s="123"/>
      <c r="G14" s="87" t="s">
        <v>330</v>
      </c>
      <c r="H14" s="86">
        <v>-4.3</v>
      </c>
      <c r="Q14" s="10">
        <v>12</v>
      </c>
      <c r="R14" s="10" t="s">
        <v>331</v>
      </c>
      <c r="S14" s="10" t="s">
        <v>332</v>
      </c>
      <c r="T14" s="10">
        <v>24.305</v>
      </c>
    </row>
    <row r="15" spans="1:20" x14ac:dyDescent="0.25">
      <c r="A15" s="85" t="s">
        <v>333</v>
      </c>
      <c r="B15" s="50">
        <v>172.3</v>
      </c>
      <c r="C15" s="10" t="s">
        <v>334</v>
      </c>
      <c r="D15" s="10" t="s">
        <v>335</v>
      </c>
      <c r="F15" s="123"/>
      <c r="G15" s="87" t="s">
        <v>336</v>
      </c>
      <c r="H15" s="86">
        <v>-3.53</v>
      </c>
      <c r="J15" s="126" t="s">
        <v>337</v>
      </c>
      <c r="K15" s="126"/>
      <c r="L15" s="126"/>
      <c r="M15" s="126"/>
      <c r="Q15" s="10">
        <v>13</v>
      </c>
      <c r="R15" s="10" t="s">
        <v>338</v>
      </c>
      <c r="S15" s="10" t="s">
        <v>339</v>
      </c>
      <c r="T15" s="10">
        <v>26.9815386</v>
      </c>
    </row>
    <row r="16" spans="1:20" ht="14.4" customHeight="1" x14ac:dyDescent="0.25">
      <c r="A16" s="85" t="s">
        <v>340</v>
      </c>
      <c r="B16" s="50">
        <v>152</v>
      </c>
      <c r="C16" s="10" t="s">
        <v>341</v>
      </c>
      <c r="D16" s="10" t="s">
        <v>342</v>
      </c>
      <c r="F16" s="123"/>
      <c r="G16" s="87" t="s">
        <v>343</v>
      </c>
      <c r="H16" s="86">
        <v>3.1549999999999998</v>
      </c>
      <c r="J16" s="127" t="s">
        <v>344</v>
      </c>
      <c r="K16" s="127"/>
      <c r="L16" s="127"/>
      <c r="M16" s="127"/>
      <c r="N16" s="60"/>
      <c r="O16" s="60"/>
      <c r="Q16" s="10">
        <v>14</v>
      </c>
      <c r="R16" s="10" t="s">
        <v>345</v>
      </c>
      <c r="S16" s="10" t="s">
        <v>175</v>
      </c>
      <c r="T16" s="10">
        <v>28.0855</v>
      </c>
    </row>
    <row r="17" spans="1:20" x14ac:dyDescent="0.25">
      <c r="A17" s="85" t="s">
        <v>346</v>
      </c>
      <c r="B17" s="50">
        <v>68.900000000000006</v>
      </c>
      <c r="C17" s="10" t="s">
        <v>347</v>
      </c>
      <c r="D17" s="10" t="s">
        <v>348</v>
      </c>
      <c r="F17" s="123"/>
      <c r="G17" s="87" t="s">
        <v>349</v>
      </c>
      <c r="H17" s="86">
        <v>-2.15</v>
      </c>
      <c r="J17" s="85"/>
      <c r="K17" s="85" t="s">
        <v>350</v>
      </c>
      <c r="L17" s="85">
        <v>1.237E-3</v>
      </c>
      <c r="M17" s="85" t="s">
        <v>351</v>
      </c>
      <c r="Q17" s="10">
        <v>15</v>
      </c>
      <c r="R17" s="10" t="s">
        <v>352</v>
      </c>
      <c r="S17" s="10" t="s">
        <v>353</v>
      </c>
      <c r="T17" s="10">
        <v>30.973762000000001</v>
      </c>
    </row>
    <row r="18" spans="1:20" x14ac:dyDescent="0.25">
      <c r="A18" s="85" t="s">
        <v>354</v>
      </c>
      <c r="B18" s="50">
        <v>231.6</v>
      </c>
      <c r="C18" s="10" t="s">
        <v>355</v>
      </c>
      <c r="D18" s="10" t="s">
        <v>356</v>
      </c>
      <c r="F18" s="123"/>
      <c r="G18" s="87" t="s">
        <v>357</v>
      </c>
      <c r="H18" s="86">
        <v>-13.44</v>
      </c>
      <c r="J18" s="85"/>
      <c r="K18" s="85" t="s">
        <v>358</v>
      </c>
      <c r="L18" s="85">
        <v>1.137E-3</v>
      </c>
      <c r="M18" s="85" t="s">
        <v>359</v>
      </c>
      <c r="Q18" s="10">
        <v>16</v>
      </c>
      <c r="R18" s="10" t="s">
        <v>360</v>
      </c>
      <c r="S18" s="10" t="s">
        <v>361</v>
      </c>
      <c r="T18" s="10">
        <v>32.064999999999998</v>
      </c>
    </row>
    <row r="19" spans="1:20" x14ac:dyDescent="0.25">
      <c r="A19" s="85" t="s">
        <v>362</v>
      </c>
      <c r="B19" s="50">
        <v>159.69999999999999</v>
      </c>
      <c r="C19" s="10" t="s">
        <v>363</v>
      </c>
      <c r="D19" s="10" t="s">
        <v>364</v>
      </c>
      <c r="F19" s="123"/>
      <c r="G19" s="87" t="s">
        <v>365</v>
      </c>
      <c r="H19" s="86">
        <v>-13.28</v>
      </c>
      <c r="J19" s="85"/>
      <c r="K19" s="85" t="s">
        <v>366</v>
      </c>
      <c r="L19" s="85">
        <v>2.5820000000000001E-3</v>
      </c>
      <c r="M19" s="85" t="s">
        <v>367</v>
      </c>
      <c r="Q19" s="10">
        <v>17</v>
      </c>
      <c r="R19" s="10" t="s">
        <v>368</v>
      </c>
      <c r="S19" s="10" t="s">
        <v>369</v>
      </c>
      <c r="T19" s="10">
        <v>35.453000000000003</v>
      </c>
    </row>
    <row r="20" spans="1:20" x14ac:dyDescent="0.25">
      <c r="A20" s="85" t="s">
        <v>370</v>
      </c>
      <c r="B20" s="50">
        <v>18</v>
      </c>
      <c r="C20" s="10" t="s">
        <v>371</v>
      </c>
      <c r="D20" s="10" t="s">
        <v>372</v>
      </c>
      <c r="F20" s="123"/>
      <c r="G20" s="87" t="s">
        <v>373</v>
      </c>
      <c r="H20" s="86">
        <f>- 10.48</f>
        <v>-10.48</v>
      </c>
      <c r="J20" s="85"/>
      <c r="K20" s="85" t="s">
        <v>276</v>
      </c>
      <c r="L20" s="85">
        <v>1.97E-3</v>
      </c>
      <c r="M20" s="85" t="s">
        <v>374</v>
      </c>
      <c r="Q20" s="10">
        <v>18</v>
      </c>
      <c r="R20" s="10" t="s">
        <v>375</v>
      </c>
      <c r="S20" s="10" t="s">
        <v>376</v>
      </c>
      <c r="T20" s="10">
        <v>39.948</v>
      </c>
    </row>
    <row r="21" spans="1:20" ht="16.2" x14ac:dyDescent="0.35">
      <c r="A21" s="85" t="s">
        <v>377</v>
      </c>
      <c r="B21" s="50">
        <v>84.3</v>
      </c>
      <c r="C21" s="10" t="s">
        <v>378</v>
      </c>
      <c r="D21" s="10" t="s">
        <v>379</v>
      </c>
      <c r="F21" s="123"/>
      <c r="G21" s="87" t="s">
        <v>380</v>
      </c>
      <c r="H21" s="86">
        <v>-9.64</v>
      </c>
      <c r="J21" s="119" t="s">
        <v>381</v>
      </c>
      <c r="K21" s="119"/>
      <c r="L21" s="119"/>
      <c r="M21" s="119"/>
      <c r="N21" s="60"/>
      <c r="O21" s="60"/>
      <c r="Q21" s="10">
        <v>19</v>
      </c>
      <c r="R21" s="10" t="s">
        <v>382</v>
      </c>
      <c r="S21" s="10" t="s">
        <v>383</v>
      </c>
      <c r="T21" s="10">
        <v>39.098300000000002</v>
      </c>
    </row>
    <row r="22" spans="1:20" x14ac:dyDescent="0.25">
      <c r="A22" s="85" t="s">
        <v>187</v>
      </c>
      <c r="B22" s="50">
        <v>40.299999999999997</v>
      </c>
      <c r="C22" s="10" t="s">
        <v>384</v>
      </c>
      <c r="D22" s="10" t="s">
        <v>385</v>
      </c>
      <c r="F22" s="117" t="s">
        <v>386</v>
      </c>
      <c r="G22" s="89" t="s">
        <v>387</v>
      </c>
      <c r="H22" s="88">
        <v>-7.5730000000000004</v>
      </c>
      <c r="J22" s="85"/>
      <c r="K22" s="85" t="s">
        <v>388</v>
      </c>
      <c r="L22" s="85">
        <v>1.887E-3</v>
      </c>
      <c r="M22" s="85" t="s">
        <v>389</v>
      </c>
      <c r="Q22" s="10">
        <v>20</v>
      </c>
      <c r="R22" s="10" t="s">
        <v>390</v>
      </c>
      <c r="S22" s="10" t="s">
        <v>391</v>
      </c>
      <c r="T22" s="10">
        <v>40.078000000000003</v>
      </c>
    </row>
    <row r="23" spans="1:20" x14ac:dyDescent="0.25">
      <c r="A23" s="85" t="s">
        <v>392</v>
      </c>
      <c r="B23" s="50">
        <v>70.900000000000006</v>
      </c>
      <c r="C23" s="10" t="s">
        <v>393</v>
      </c>
      <c r="D23" s="10" t="s">
        <v>394</v>
      </c>
      <c r="F23" s="117"/>
      <c r="G23" s="89" t="s">
        <v>269</v>
      </c>
      <c r="H23" s="88">
        <v>-2.5910000000000002</v>
      </c>
      <c r="J23" s="85"/>
      <c r="K23" s="85" t="s">
        <v>269</v>
      </c>
      <c r="L23" s="85">
        <v>1.31E-3</v>
      </c>
      <c r="M23" s="85" t="s">
        <v>395</v>
      </c>
      <c r="Q23" s="10">
        <v>21</v>
      </c>
      <c r="R23" s="10" t="s">
        <v>396</v>
      </c>
      <c r="S23" s="10" t="s">
        <v>397</v>
      </c>
      <c r="T23" s="10">
        <v>44.955911999999998</v>
      </c>
    </row>
    <row r="24" spans="1:20" x14ac:dyDescent="0.25">
      <c r="A24" s="85" t="s">
        <v>398</v>
      </c>
      <c r="B24" s="50">
        <v>228.8</v>
      </c>
      <c r="C24" s="10" t="s">
        <v>399</v>
      </c>
      <c r="D24" s="10" t="s">
        <v>400</v>
      </c>
      <c r="F24" s="117"/>
      <c r="G24" s="89" t="s">
        <v>366</v>
      </c>
      <c r="H24" s="88">
        <v>-10.81</v>
      </c>
      <c r="J24" s="85"/>
      <c r="K24" s="85" t="s">
        <v>401</v>
      </c>
      <c r="L24" s="85">
        <v>1.7559999999999999E-2</v>
      </c>
      <c r="M24" s="85" t="s">
        <v>402</v>
      </c>
      <c r="Q24" s="10">
        <v>22</v>
      </c>
      <c r="R24" s="10" t="s">
        <v>403</v>
      </c>
      <c r="S24" s="10" t="s">
        <v>404</v>
      </c>
      <c r="T24" s="10">
        <v>47.866999999999997</v>
      </c>
    </row>
    <row r="25" spans="1:20" x14ac:dyDescent="0.25">
      <c r="A25" s="85" t="s">
        <v>405</v>
      </c>
      <c r="B25" s="50">
        <v>86.9</v>
      </c>
      <c r="C25" s="10" t="s">
        <v>406</v>
      </c>
      <c r="D25" s="10" t="s">
        <v>407</v>
      </c>
      <c r="F25" s="117"/>
      <c r="G25" s="89" t="s">
        <v>350</v>
      </c>
      <c r="H25" s="88">
        <v>1.339</v>
      </c>
      <c r="J25" s="85"/>
      <c r="K25" s="85" t="s">
        <v>350</v>
      </c>
      <c r="L25" s="85">
        <v>1.3010000000000001E-3</v>
      </c>
      <c r="M25" s="85" t="s">
        <v>408</v>
      </c>
      <c r="Q25" s="10">
        <v>23</v>
      </c>
      <c r="R25" s="10" t="s">
        <v>409</v>
      </c>
      <c r="S25" s="10" t="s">
        <v>410</v>
      </c>
      <c r="T25" s="10">
        <v>50.941499999999998</v>
      </c>
    </row>
    <row r="26" spans="1:20" x14ac:dyDescent="0.25">
      <c r="A26" s="85" t="s">
        <v>411</v>
      </c>
      <c r="B26" s="50">
        <v>141.9</v>
      </c>
      <c r="C26" s="10" t="s">
        <v>412</v>
      </c>
      <c r="D26" s="10" t="s">
        <v>413</v>
      </c>
      <c r="F26" s="117"/>
      <c r="G26" s="89" t="s">
        <v>358</v>
      </c>
      <c r="H26" s="88">
        <v>1.2390000000000001</v>
      </c>
      <c r="J26" s="85"/>
      <c r="K26" s="85" t="s">
        <v>357</v>
      </c>
      <c r="L26" s="85">
        <v>1.4270000000000001E-3</v>
      </c>
      <c r="M26" s="85" t="s">
        <v>414</v>
      </c>
      <c r="Q26" s="10">
        <v>24</v>
      </c>
      <c r="R26" s="10" t="s">
        <v>415</v>
      </c>
      <c r="S26" s="10" t="s">
        <v>416</v>
      </c>
      <c r="T26" s="10">
        <v>51.996099999999998</v>
      </c>
    </row>
    <row r="27" spans="1:20" ht="14.4" customHeight="1" x14ac:dyDescent="0.25">
      <c r="A27" s="85" t="s">
        <v>417</v>
      </c>
      <c r="B27" s="50">
        <v>64.099999999999994</v>
      </c>
      <c r="C27" s="10" t="s">
        <v>418</v>
      </c>
      <c r="D27" s="10" t="s">
        <v>419</v>
      </c>
      <c r="F27" s="118" t="s">
        <v>420</v>
      </c>
      <c r="G27" s="91" t="s">
        <v>421</v>
      </c>
      <c r="H27" s="90">
        <v>-15.41</v>
      </c>
      <c r="J27" s="119" t="s">
        <v>422</v>
      </c>
      <c r="K27" s="119"/>
      <c r="L27" s="119"/>
      <c r="M27" s="119"/>
      <c r="N27" s="60"/>
      <c r="O27" s="60"/>
      <c r="Q27" s="10">
        <v>25</v>
      </c>
      <c r="R27" s="10" t="s">
        <v>423</v>
      </c>
      <c r="S27" s="10" t="s">
        <v>174</v>
      </c>
      <c r="T27" s="10">
        <v>54.938045000000002</v>
      </c>
    </row>
    <row r="28" spans="1:20" x14ac:dyDescent="0.25">
      <c r="A28" s="85" t="s">
        <v>183</v>
      </c>
      <c r="B28" s="50">
        <v>60.1</v>
      </c>
      <c r="C28" s="10" t="s">
        <v>424</v>
      </c>
      <c r="D28" s="10" t="s">
        <v>425</v>
      </c>
      <c r="F28" s="118"/>
      <c r="G28" s="91" t="s">
        <v>276</v>
      </c>
      <c r="H28" s="90">
        <v>1.359</v>
      </c>
      <c r="J28" s="85"/>
      <c r="K28" s="85" t="s">
        <v>269</v>
      </c>
      <c r="L28" s="85">
        <v>1.049E-3</v>
      </c>
      <c r="M28" s="85" t="s">
        <v>426</v>
      </c>
      <c r="Q28" s="10">
        <v>26</v>
      </c>
      <c r="R28" s="10" t="s">
        <v>427</v>
      </c>
      <c r="S28" s="10" t="s">
        <v>428</v>
      </c>
      <c r="T28" s="10">
        <v>55.844999999999999</v>
      </c>
    </row>
    <row r="29" spans="1:20" x14ac:dyDescent="0.25">
      <c r="A29" s="85" t="s">
        <v>315</v>
      </c>
      <c r="B29" s="50">
        <v>100.1</v>
      </c>
      <c r="C29" s="10" t="s">
        <v>316</v>
      </c>
      <c r="D29" s="10" t="s">
        <v>317</v>
      </c>
      <c r="F29" s="118"/>
      <c r="G29" s="91" t="s">
        <v>269</v>
      </c>
      <c r="H29" s="90">
        <v>-2.9260000000000002</v>
      </c>
      <c r="J29" s="85"/>
      <c r="K29" s="85" t="s">
        <v>387</v>
      </c>
      <c r="L29" s="85">
        <v>9.3139999999999998E-4</v>
      </c>
      <c r="M29" s="85" t="s">
        <v>429</v>
      </c>
      <c r="Q29" s="10">
        <v>27</v>
      </c>
      <c r="R29" s="10" t="s">
        <v>430</v>
      </c>
      <c r="S29" s="10" t="s">
        <v>431</v>
      </c>
      <c r="T29" s="10">
        <v>58.933194999999998</v>
      </c>
    </row>
    <row r="30" spans="1:20" x14ac:dyDescent="0.25">
      <c r="A30" s="85"/>
      <c r="B30" s="50"/>
      <c r="C30" s="10" t="s">
        <v>432</v>
      </c>
      <c r="D30" s="10" t="s">
        <v>433</v>
      </c>
      <c r="F30" s="118"/>
      <c r="G30" s="91" t="s">
        <v>387</v>
      </c>
      <c r="H30" s="90">
        <v>-7.9260000000000002</v>
      </c>
      <c r="J30" s="85"/>
      <c r="K30" s="85" t="s">
        <v>401</v>
      </c>
      <c r="L30" s="85">
        <v>1.4420000000000001E-2</v>
      </c>
      <c r="M30" s="85" t="s">
        <v>434</v>
      </c>
      <c r="Q30" s="10">
        <v>28</v>
      </c>
      <c r="R30" s="10" t="s">
        <v>435</v>
      </c>
      <c r="S30" s="10" t="s">
        <v>436</v>
      </c>
      <c r="T30" s="10">
        <v>58.693399999999997</v>
      </c>
    </row>
    <row r="31" spans="1:20" x14ac:dyDescent="0.25">
      <c r="A31" s="85" t="s">
        <v>437</v>
      </c>
      <c r="B31" s="50">
        <v>84.3</v>
      </c>
      <c r="C31" s="10" t="s">
        <v>378</v>
      </c>
      <c r="D31" s="10" t="s">
        <v>379</v>
      </c>
      <c r="F31" s="118"/>
      <c r="G31" s="91" t="s">
        <v>293</v>
      </c>
      <c r="H31" s="90">
        <v>-10.5</v>
      </c>
      <c r="J31" s="85"/>
      <c r="K31" s="85" t="s">
        <v>438</v>
      </c>
      <c r="L31" s="85">
        <v>1.902E-3</v>
      </c>
      <c r="M31" s="85" t="s">
        <v>439</v>
      </c>
      <c r="Q31" s="10">
        <v>29</v>
      </c>
      <c r="R31" s="10" t="s">
        <v>440</v>
      </c>
      <c r="S31" s="10" t="s">
        <v>441</v>
      </c>
      <c r="T31" s="10">
        <v>63.545999999999999</v>
      </c>
    </row>
    <row r="32" spans="1:20" x14ac:dyDescent="0.25">
      <c r="A32" s="85"/>
      <c r="B32" s="50"/>
      <c r="C32" s="10" t="s">
        <v>442</v>
      </c>
      <c r="D32" s="10" t="s">
        <v>443</v>
      </c>
      <c r="F32" s="118"/>
      <c r="G32" s="91" t="s">
        <v>428</v>
      </c>
      <c r="H32" s="90">
        <v>0.61639999999999995</v>
      </c>
      <c r="J32" s="85"/>
      <c r="K32" s="85" t="s">
        <v>350</v>
      </c>
      <c r="L32" s="85">
        <v>1.044E-3</v>
      </c>
      <c r="M32" s="85" t="s">
        <v>444</v>
      </c>
      <c r="Q32" s="10">
        <v>30</v>
      </c>
      <c r="R32" s="10" t="s">
        <v>445</v>
      </c>
      <c r="S32" s="10" t="s">
        <v>446</v>
      </c>
      <c r="T32" s="10">
        <v>65.409000000000006</v>
      </c>
    </row>
    <row r="33" spans="6:20" x14ac:dyDescent="0.25">
      <c r="F33" s="118"/>
      <c r="G33" s="91" t="s">
        <v>447</v>
      </c>
      <c r="H33" s="90">
        <v>-3.1520000000000001</v>
      </c>
      <c r="Q33" s="10">
        <v>31</v>
      </c>
      <c r="R33" s="10" t="s">
        <v>448</v>
      </c>
      <c r="S33" s="10" t="s">
        <v>449</v>
      </c>
      <c r="T33" s="10">
        <v>69.722999999999999</v>
      </c>
    </row>
    <row r="34" spans="6:20" x14ac:dyDescent="0.25">
      <c r="F34" s="118"/>
      <c r="G34" s="91" t="s">
        <v>401</v>
      </c>
      <c r="H34" s="90">
        <v>13.35</v>
      </c>
      <c r="Q34" s="10">
        <v>32</v>
      </c>
      <c r="R34" s="10" t="s">
        <v>450</v>
      </c>
      <c r="S34" s="10" t="s">
        <v>451</v>
      </c>
      <c r="T34" s="10">
        <v>72.64</v>
      </c>
    </row>
    <row r="35" spans="6:20" x14ac:dyDescent="0.25">
      <c r="F35" s="118"/>
      <c r="G35" s="91" t="s">
        <v>366</v>
      </c>
      <c r="H35" s="90">
        <v>-11.49</v>
      </c>
      <c r="Q35" s="10">
        <v>33</v>
      </c>
      <c r="R35" s="10" t="s">
        <v>452</v>
      </c>
      <c r="S35" s="10" t="s">
        <v>453</v>
      </c>
      <c r="T35" s="10">
        <v>74.921599999999998</v>
      </c>
    </row>
    <row r="36" spans="6:20" x14ac:dyDescent="0.25">
      <c r="F36" s="118"/>
      <c r="G36" s="91" t="s">
        <v>308</v>
      </c>
      <c r="H36" s="90">
        <v>-13.84</v>
      </c>
      <c r="Q36" s="2"/>
    </row>
    <row r="37" spans="6:20" x14ac:dyDescent="0.25">
      <c r="F37" s="118"/>
      <c r="G37" s="91" t="s">
        <v>330</v>
      </c>
      <c r="H37" s="90">
        <v>-4.7699999999999996</v>
      </c>
    </row>
    <row r="38" spans="6:20" x14ac:dyDescent="0.25">
      <c r="F38" s="118"/>
      <c r="G38" s="91" t="s">
        <v>350</v>
      </c>
      <c r="H38" s="90">
        <v>1.008</v>
      </c>
    </row>
    <row r="39" spans="6:20" x14ac:dyDescent="0.25">
      <c r="F39" s="118"/>
      <c r="G39" s="91" t="s">
        <v>357</v>
      </c>
      <c r="H39" s="90">
        <v>-14.13</v>
      </c>
    </row>
    <row r="40" spans="6:20" x14ac:dyDescent="0.25">
      <c r="F40" s="118"/>
      <c r="G40" s="91" t="s">
        <v>373</v>
      </c>
      <c r="H40" s="90">
        <v>-11.03</v>
      </c>
    </row>
    <row r="41" spans="6:20" x14ac:dyDescent="0.25">
      <c r="F41" s="120" t="s">
        <v>454</v>
      </c>
      <c r="G41" s="93" t="s">
        <v>455</v>
      </c>
      <c r="H41" s="92">
        <v>-16.43</v>
      </c>
    </row>
    <row r="42" spans="6:20" x14ac:dyDescent="0.25">
      <c r="F42" s="120"/>
      <c r="G42" s="93" t="s">
        <v>276</v>
      </c>
      <c r="H42" s="92">
        <v>0</v>
      </c>
    </row>
    <row r="43" spans="6:20" x14ac:dyDescent="0.25">
      <c r="F43" s="120"/>
      <c r="G43" s="93" t="s">
        <v>456</v>
      </c>
      <c r="H43" s="92">
        <v>-4.6639999999999997</v>
      </c>
    </row>
    <row r="44" spans="6:20" x14ac:dyDescent="0.25">
      <c r="F44" s="120"/>
      <c r="G44" s="93" t="s">
        <v>269</v>
      </c>
      <c r="H44" s="92">
        <v>-3.9460000000000002</v>
      </c>
    </row>
    <row r="45" spans="6:20" x14ac:dyDescent="0.25">
      <c r="F45" s="120"/>
      <c r="G45" s="93" t="s">
        <v>387</v>
      </c>
      <c r="H45" s="92">
        <v>-8.9420000000000002</v>
      </c>
    </row>
    <row r="46" spans="6:20" x14ac:dyDescent="0.25">
      <c r="F46" s="120"/>
      <c r="G46" s="93" t="s">
        <v>293</v>
      </c>
      <c r="H46" s="92">
        <v>-11.32</v>
      </c>
    </row>
    <row r="47" spans="6:20" x14ac:dyDescent="0.25">
      <c r="F47" s="120"/>
      <c r="G47" s="93" t="s">
        <v>457</v>
      </c>
      <c r="H47" s="92">
        <v>-12.06</v>
      </c>
    </row>
    <row r="48" spans="6:20" x14ac:dyDescent="0.25">
      <c r="F48" s="120"/>
      <c r="G48" s="93" t="s">
        <v>458</v>
      </c>
      <c r="H48" s="92">
        <v>0</v>
      </c>
    </row>
    <row r="49" spans="6:8" x14ac:dyDescent="0.25">
      <c r="F49" s="120"/>
      <c r="G49" s="93" t="s">
        <v>346</v>
      </c>
      <c r="H49" s="92">
        <v>-3.8650000000000002</v>
      </c>
    </row>
    <row r="50" spans="6:8" x14ac:dyDescent="0.25">
      <c r="F50" s="120"/>
      <c r="G50" s="93" t="s">
        <v>459</v>
      </c>
      <c r="H50" s="92">
        <v>-5.1689999999999996</v>
      </c>
    </row>
    <row r="51" spans="6:8" x14ac:dyDescent="0.25">
      <c r="F51" s="120"/>
      <c r="G51" s="93" t="s">
        <v>460</v>
      </c>
      <c r="H51" s="92">
        <v>-4.8410000000000002</v>
      </c>
    </row>
    <row r="52" spans="6:8" x14ac:dyDescent="0.25">
      <c r="F52" s="120"/>
      <c r="G52" s="93" t="s">
        <v>401</v>
      </c>
      <c r="H52" s="92">
        <v>0</v>
      </c>
    </row>
    <row r="53" spans="6:8" x14ac:dyDescent="0.25">
      <c r="F53" s="120"/>
      <c r="G53" s="93" t="s">
        <v>461</v>
      </c>
      <c r="H53" s="92">
        <v>-15.87</v>
      </c>
    </row>
    <row r="54" spans="6:8" x14ac:dyDescent="0.25">
      <c r="F54" s="120"/>
      <c r="G54" s="93" t="s">
        <v>308</v>
      </c>
      <c r="H54" s="92">
        <v>-14.92</v>
      </c>
    </row>
    <row r="55" spans="6:8" x14ac:dyDescent="0.25">
      <c r="F55" s="120"/>
      <c r="G55" s="93" t="s">
        <v>462</v>
      </c>
      <c r="H55" s="92">
        <v>-13.2</v>
      </c>
    </row>
    <row r="56" spans="6:8" x14ac:dyDescent="0.25">
      <c r="F56" s="120"/>
      <c r="G56" s="93" t="s">
        <v>463</v>
      </c>
      <c r="H56" s="92">
        <v>-5.98</v>
      </c>
    </row>
    <row r="57" spans="6:8" x14ac:dyDescent="0.25">
      <c r="F57" s="120"/>
      <c r="G57" s="93" t="s">
        <v>357</v>
      </c>
      <c r="H57" s="92">
        <v>-15.16</v>
      </c>
    </row>
    <row r="58" spans="6:8" x14ac:dyDescent="0.25">
      <c r="F58" s="120"/>
      <c r="G58" s="93" t="s">
        <v>464</v>
      </c>
      <c r="H58" s="92">
        <v>-1.2</v>
      </c>
    </row>
    <row r="59" spans="6:8" x14ac:dyDescent="0.25">
      <c r="F59" s="120"/>
      <c r="G59" s="93" t="s">
        <v>465</v>
      </c>
      <c r="H59" s="92">
        <v>-4.5199999999999996</v>
      </c>
    </row>
  </sheetData>
  <mergeCells count="12">
    <mergeCell ref="F22:F26"/>
    <mergeCell ref="F27:F40"/>
    <mergeCell ref="J27:M27"/>
    <mergeCell ref="F41:F59"/>
    <mergeCell ref="A1:D1"/>
    <mergeCell ref="J1:O1"/>
    <mergeCell ref="F3:F21"/>
    <mergeCell ref="K3:O3"/>
    <mergeCell ref="K13:O13"/>
    <mergeCell ref="J15:M15"/>
    <mergeCell ref="J16:M16"/>
    <mergeCell ref="J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PCI &amp; Oxi Case</vt:lpstr>
      <vt:lpstr>Optimization Condition</vt:lpstr>
      <vt:lpstr>Initial Condition</vt:lpstr>
      <vt:lpstr>Compound and Molecular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Ishamul Ayady Akmal</dc:creator>
  <cp:lastModifiedBy>Ahmad Ishamul Ayady Akmal</cp:lastModifiedBy>
  <dcterms:created xsi:type="dcterms:W3CDTF">2024-12-25T10:16:21Z</dcterms:created>
  <dcterms:modified xsi:type="dcterms:W3CDTF">2024-12-29T12:24:45Z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2024-12-25T10:49:33Z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273d4835-ca37-44b5-92e5-a81ebc900885</vt:lpwstr>
  </property>
  <property fmtid="{D5CDD505-2E9C-101B-9397-08002B2CF9AE}" pid="7" name="MSIP_Label_defa4170-0d19-0005-0004-bc88714345d2_ActionId">
    <vt:lpwstr>abd9c903-d18c-4a14-8cc6-bd1b608e7c30</vt:lpwstr>
  </property>
  <property fmtid="{D5CDD505-2E9C-101B-9397-08002B2CF9AE}" pid="8" name="MSIP_Label_defa4170-0d19-0005-0004-bc88714345d2_ContentBits">
    <vt:lpwstr>0</vt:lpwstr>
  </property>
</Properties>
</file>