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L\Operations\Ops. Data ABL\CTS Performance\"/>
    </mc:Choice>
  </mc:AlternateContent>
  <xr:revisionPtr revIDLastSave="0" documentId="13_ncr:1_{D97B586A-1696-4347-9221-69D1364FC8FC}" xr6:coauthVersionLast="36" xr6:coauthVersionMax="36" xr10:uidLastSave="{00000000-0000-0000-0000-000000000000}"/>
  <bookViews>
    <workbookView xWindow="0" yWindow="0" windowWidth="28776" windowHeight="11940" activeTab="3" xr2:uid="{7810F2BC-0D92-4865-BECD-D2206FF20267}"/>
  </bookViews>
  <sheets>
    <sheet name="Bulk Java" sheetId="2" r:id="rId1"/>
    <sheet name="Bulk Borneo" sheetId="3" r:id="rId2"/>
    <sheet name="Bulk Celebes" sheetId="4" r:id="rId3"/>
    <sheet name="Bulk Sumatr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</externalReferences>
  <definedNames>
    <definedName name="_xlnm._FilterDatabase" localSheetId="1" hidden="1">'Bulk Borneo'!$A$7:$AC$98</definedName>
    <definedName name="_xlnm._FilterDatabase" localSheetId="2" hidden="1">'Bulk Celebes'!$A$7:$AC$141</definedName>
    <definedName name="_xlnm._FilterDatabase" localSheetId="0" hidden="1">'Bulk Java'!$A$1:$AC$1</definedName>
    <definedName name="_xlnm._FilterDatabase" localSheetId="3" hidden="1">'Bulk Sumatra'!$A$1:$AF$356</definedName>
    <definedName name="a">#REF!</definedName>
    <definedName name="cambio">#REF!</definedName>
    <definedName name="DEBUT">'[1]Ship info'!$F$9</definedName>
    <definedName name="FACTC">'[1]Ship info'!#REF!</definedName>
    <definedName name="FACTW">'[1]Ship info'!#REF!</definedName>
    <definedName name="KA">#REF!</definedName>
    <definedName name="KC">#REF!</definedName>
    <definedName name="KF">#REF!</definedName>
    <definedName name="KS">#REF!</definedName>
    <definedName name="NAV">'[1]Ship info'!$F$5</definedName>
    <definedName name="_xlnm.Print_Area" localSheetId="0">'Bulk Java'!$A$1:$AC$6</definedName>
    <definedName name="QA">#REF!</definedName>
    <definedName name="QC">'[2]CRANE (PROVA)'!#REF!</definedName>
    <definedName name="QEST">'[1]Ship info'!#REF!</definedName>
    <definedName name="QF">#REF!</definedName>
    <definedName name="QS">#REF!</definedName>
    <definedName name="TAA">#REF!</definedName>
    <definedName name="TAC">#REF!</definedName>
    <definedName name="TAF">#REF!</definedName>
    <definedName name="TAS">#REF!</definedName>
    <definedName name="TTA">#REF!</definedName>
    <definedName name="TTC">#REF!</definedName>
    <definedName name="TTF">#REF!</definedName>
    <definedName name="TTPA">#REF!</definedName>
    <definedName name="TTPC">#REF!</definedName>
    <definedName name="TTPF">#REF!</definedName>
    <definedName name="TTPS">#REF!</definedName>
    <definedName name="TTS">#REF!</definedName>
    <definedName name="TUA">#REF!</definedName>
    <definedName name="TUC">#REF!</definedName>
    <definedName name="TUF">#REF!</definedName>
    <definedName name="TUS">#REF!</definedName>
    <definedName name="TXC">'[1]Ship info'!#REF!</definedName>
    <definedName name="TXCARBO">'[1]Ship info'!#REF!</definedName>
    <definedName name="TXW">'[1]Ship info'!#REF!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6" i="5" l="1"/>
  <c r="J289" i="5"/>
  <c r="J290" i="5"/>
  <c r="J291" i="5"/>
  <c r="J294" i="5"/>
  <c r="J301" i="5"/>
  <c r="J349" i="5"/>
  <c r="J350" i="5"/>
  <c r="J352" i="5"/>
  <c r="J353" i="5"/>
  <c r="J354" i="5"/>
  <c r="J356" i="5"/>
  <c r="J339" i="5"/>
  <c r="J343" i="5"/>
  <c r="J346" i="5"/>
  <c r="J348" i="5"/>
  <c r="J327" i="5"/>
  <c r="J331" i="5"/>
  <c r="J318" i="5"/>
  <c r="J323" i="5"/>
  <c r="J311" i="5"/>
  <c r="J314" i="5"/>
  <c r="J315" i="5"/>
  <c r="J302" i="5"/>
  <c r="J303" i="5"/>
  <c r="J304" i="5"/>
  <c r="J306" i="5"/>
  <c r="J308" i="5"/>
  <c r="G355" i="5"/>
  <c r="J355" i="5" s="1"/>
  <c r="G351" i="5"/>
  <c r="G347" i="5"/>
  <c r="G345" i="5"/>
  <c r="J345" i="5" s="1"/>
  <c r="G344" i="5"/>
  <c r="J344" i="5" s="1"/>
  <c r="G342" i="5"/>
  <c r="J342" i="5" s="1"/>
  <c r="G341" i="5"/>
  <c r="J341" i="5" s="1"/>
  <c r="G340" i="5"/>
  <c r="J340" i="5" s="1"/>
  <c r="G338" i="5"/>
  <c r="J338" i="5" s="1"/>
  <c r="G337" i="5"/>
  <c r="G336" i="5"/>
  <c r="G335" i="5"/>
  <c r="J335" i="5" s="1"/>
  <c r="G334" i="5"/>
  <c r="J334" i="5" s="1"/>
  <c r="G333" i="5"/>
  <c r="J333" i="5" s="1"/>
  <c r="G332" i="5"/>
  <c r="J332" i="5" s="1"/>
  <c r="G330" i="5"/>
  <c r="J330" i="5" s="1"/>
  <c r="G329" i="5"/>
  <c r="J329" i="5" s="1"/>
  <c r="G328" i="5"/>
  <c r="G326" i="5"/>
  <c r="G325" i="5"/>
  <c r="J325" i="5" s="1"/>
  <c r="G324" i="5"/>
  <c r="J324" i="5" s="1"/>
  <c r="G322" i="5"/>
  <c r="J322" i="5" s="1"/>
  <c r="G321" i="5"/>
  <c r="J321" i="5" s="1"/>
  <c r="G320" i="5"/>
  <c r="J320" i="5" s="1"/>
  <c r="G319" i="5"/>
  <c r="J319" i="5" s="1"/>
  <c r="G317" i="5"/>
  <c r="G316" i="5"/>
  <c r="G313" i="5"/>
  <c r="J313" i="5" s="1"/>
  <c r="G312" i="5"/>
  <c r="J312" i="5" s="1"/>
  <c r="G310" i="5"/>
  <c r="J310" i="5" s="1"/>
  <c r="G309" i="5"/>
  <c r="J309" i="5" s="1"/>
  <c r="G307" i="5"/>
  <c r="J307" i="5" s="1"/>
  <c r="G305" i="5"/>
  <c r="J305" i="5" s="1"/>
  <c r="G300" i="5"/>
  <c r="G299" i="5"/>
  <c r="G298" i="5"/>
  <c r="J298" i="5" s="1"/>
  <c r="G297" i="5"/>
  <c r="J297" i="5" s="1"/>
  <c r="G296" i="5"/>
  <c r="J296" i="5" s="1"/>
  <c r="G295" i="5"/>
  <c r="J295" i="5" s="1"/>
  <c r="G294" i="5"/>
  <c r="G293" i="5"/>
  <c r="J293" i="5" s="1"/>
  <c r="G292" i="5"/>
  <c r="G288" i="5"/>
  <c r="G287" i="5"/>
  <c r="J287" i="5" s="1"/>
  <c r="G286" i="5"/>
  <c r="J266" i="5"/>
  <c r="J268" i="5"/>
  <c r="J272" i="5"/>
  <c r="J273" i="5"/>
  <c r="J274" i="5"/>
  <c r="J275" i="5"/>
  <c r="J278" i="5"/>
  <c r="J280" i="5"/>
  <c r="J257" i="5"/>
  <c r="J258" i="5"/>
  <c r="J260" i="5"/>
  <c r="J263" i="5"/>
  <c r="J264" i="5"/>
  <c r="J252" i="5"/>
  <c r="J253" i="5"/>
  <c r="J254" i="5"/>
  <c r="J247" i="5"/>
  <c r="J248" i="5"/>
  <c r="J240" i="5"/>
  <c r="J241" i="5"/>
  <c r="J243" i="5"/>
  <c r="J244" i="5"/>
  <c r="J229" i="5"/>
  <c r="J231" i="5"/>
  <c r="J237" i="5"/>
  <c r="J238" i="5"/>
  <c r="J222" i="5"/>
  <c r="J225" i="5"/>
  <c r="J218" i="5"/>
  <c r="G284" i="5"/>
  <c r="J284" i="5" s="1"/>
  <c r="G283" i="5"/>
  <c r="J283" i="5" s="1"/>
  <c r="G282" i="5"/>
  <c r="J282" i="5" s="1"/>
  <c r="G281" i="5"/>
  <c r="J281" i="5" s="1"/>
  <c r="G279" i="5"/>
  <c r="G277" i="5"/>
  <c r="J277" i="5" s="1"/>
  <c r="G276" i="5"/>
  <c r="J276" i="5" s="1"/>
  <c r="G271" i="5"/>
  <c r="G270" i="5"/>
  <c r="J270" i="5" s="1"/>
  <c r="G269" i="5"/>
  <c r="J269" i="5" s="1"/>
  <c r="G267" i="5"/>
  <c r="J267" i="5" s="1"/>
  <c r="G265" i="5"/>
  <c r="J265" i="5" s="1"/>
  <c r="G262" i="5"/>
  <c r="J262" i="5" s="1"/>
  <c r="G261" i="5"/>
  <c r="J261" i="5" s="1"/>
  <c r="G259" i="5"/>
  <c r="G256" i="5"/>
  <c r="G255" i="5"/>
  <c r="G251" i="5"/>
  <c r="J251" i="5" s="1"/>
  <c r="G250" i="5"/>
  <c r="J250" i="5" s="1"/>
  <c r="G249" i="5"/>
  <c r="J249" i="5" s="1"/>
  <c r="G246" i="5"/>
  <c r="G245" i="5"/>
  <c r="J245" i="5" s="1"/>
  <c r="G242" i="5"/>
  <c r="G239" i="5"/>
  <c r="G236" i="5"/>
  <c r="J236" i="5" s="1"/>
  <c r="G235" i="5"/>
  <c r="J235" i="5" s="1"/>
  <c r="G234" i="5"/>
  <c r="J234" i="5" s="1"/>
  <c r="G233" i="5"/>
  <c r="G232" i="5"/>
  <c r="G230" i="5"/>
  <c r="G228" i="5"/>
  <c r="G227" i="5"/>
  <c r="G226" i="5"/>
  <c r="G224" i="5"/>
  <c r="J224" i="5" s="1"/>
  <c r="G223" i="5"/>
  <c r="J223" i="5" s="1"/>
  <c r="G221" i="5"/>
  <c r="J221" i="5" s="1"/>
  <c r="G220" i="5"/>
  <c r="J220" i="5" s="1"/>
  <c r="G219" i="5"/>
  <c r="J219" i="5" s="1"/>
  <c r="G217" i="5"/>
  <c r="G216" i="5"/>
  <c r="G215" i="5"/>
  <c r="G214" i="5"/>
  <c r="G213" i="5"/>
  <c r="J213" i="5" s="1"/>
  <c r="G212" i="5"/>
  <c r="J212" i="5" s="1"/>
  <c r="G211" i="5"/>
  <c r="J211" i="5" s="1"/>
  <c r="J200" i="5"/>
  <c r="J204" i="5"/>
  <c r="J198" i="5"/>
  <c r="J182" i="5"/>
  <c r="J185" i="5"/>
  <c r="J187" i="5"/>
  <c r="J188" i="5"/>
  <c r="J189" i="5"/>
  <c r="J191" i="5"/>
  <c r="J181" i="5"/>
  <c r="J159" i="5"/>
  <c r="J160" i="5"/>
  <c r="J161" i="5"/>
  <c r="J162" i="5"/>
  <c r="J163" i="5"/>
  <c r="J166" i="5"/>
  <c r="J153" i="5"/>
  <c r="J154" i="5"/>
  <c r="J157" i="5"/>
  <c r="J158" i="5"/>
  <c r="G210" i="5"/>
  <c r="G209" i="5"/>
  <c r="G208" i="5"/>
  <c r="J208" i="5" s="1"/>
  <c r="G207" i="5"/>
  <c r="J207" i="5" s="1"/>
  <c r="G206" i="5"/>
  <c r="G205" i="5"/>
  <c r="J205" i="5" s="1"/>
  <c r="G203" i="5"/>
  <c r="J203" i="5" s="1"/>
  <c r="G202" i="5"/>
  <c r="G201" i="5"/>
  <c r="G199" i="5"/>
  <c r="J199" i="5" s="1"/>
  <c r="G197" i="5"/>
  <c r="J197" i="5" s="1"/>
  <c r="G196" i="5"/>
  <c r="J196" i="5" s="1"/>
  <c r="G195" i="5"/>
  <c r="G194" i="5"/>
  <c r="J194" i="5" s="1"/>
  <c r="G193" i="5"/>
  <c r="G192" i="5"/>
  <c r="J192" i="5" s="1"/>
  <c r="G190" i="5"/>
  <c r="G186" i="5"/>
  <c r="G184" i="5"/>
  <c r="G183" i="5"/>
  <c r="J183" i="5" s="1"/>
  <c r="G180" i="5"/>
  <c r="G179" i="5"/>
  <c r="J179" i="5" s="1"/>
  <c r="G178" i="5"/>
  <c r="J178" i="5" s="1"/>
  <c r="G177" i="5"/>
  <c r="G176" i="5"/>
  <c r="G175" i="5"/>
  <c r="G174" i="5"/>
  <c r="J174" i="5" s="1"/>
  <c r="G173" i="5"/>
  <c r="G172" i="5"/>
  <c r="J172" i="5" s="1"/>
  <c r="G171" i="5"/>
  <c r="J171" i="5" s="1"/>
  <c r="G170" i="5"/>
  <c r="J170" i="5" s="1"/>
  <c r="G169" i="5"/>
  <c r="G168" i="5"/>
  <c r="G167" i="5"/>
  <c r="G165" i="5"/>
  <c r="G164" i="5"/>
  <c r="J164" i="5" s="1"/>
  <c r="G156" i="5"/>
  <c r="J156" i="5" s="1"/>
  <c r="G155" i="5"/>
  <c r="J155" i="5" s="1"/>
  <c r="G152" i="5"/>
  <c r="J152" i="5" s="1"/>
  <c r="G151" i="5"/>
  <c r="J151" i="5" s="1"/>
  <c r="J145" i="5"/>
  <c r="J148" i="5"/>
  <c r="G149" i="5"/>
  <c r="G147" i="5"/>
  <c r="J147" i="5" s="1"/>
  <c r="G146" i="5"/>
  <c r="J146" i="5" s="1"/>
  <c r="G144" i="5"/>
  <c r="J144" i="5" s="1"/>
  <c r="G143" i="5"/>
  <c r="J143" i="5" s="1"/>
  <c r="G142" i="5"/>
  <c r="G139" i="5"/>
  <c r="J139" i="5" s="1"/>
  <c r="J138" i="5"/>
  <c r="J135" i="5"/>
  <c r="J132" i="5"/>
  <c r="J129" i="5"/>
  <c r="J122" i="5"/>
  <c r="J118" i="5"/>
  <c r="J117" i="5"/>
  <c r="J116" i="5"/>
  <c r="J115" i="5"/>
  <c r="J101" i="5"/>
  <c r="J91" i="5"/>
  <c r="J83" i="5"/>
  <c r="J81" i="5"/>
  <c r="J77" i="5"/>
  <c r="J69" i="5"/>
  <c r="J67" i="5"/>
  <c r="J66" i="5"/>
  <c r="J65" i="5"/>
  <c r="J63" i="5"/>
  <c r="J57" i="5"/>
  <c r="J55" i="5"/>
  <c r="J50" i="5"/>
  <c r="J49" i="5"/>
  <c r="J47" i="5"/>
  <c r="J46" i="5"/>
  <c r="J45" i="5"/>
  <c r="J43" i="5"/>
  <c r="J42" i="5"/>
  <c r="J316" i="5" l="1"/>
  <c r="J300" i="5"/>
  <c r="J337" i="5"/>
  <c r="J288" i="5"/>
  <c r="J336" i="5"/>
  <c r="J328" i="5"/>
  <c r="J326" i="5"/>
  <c r="J292" i="5"/>
  <c r="J351" i="5"/>
  <c r="J299" i="5"/>
  <c r="J347" i="5"/>
  <c r="J317" i="5"/>
  <c r="J227" i="5"/>
  <c r="J279" i="5"/>
  <c r="J217" i="5"/>
  <c r="J271" i="5"/>
  <c r="J215" i="5"/>
  <c r="J233" i="5"/>
  <c r="J246" i="5"/>
  <c r="J256" i="5"/>
  <c r="J239" i="5"/>
  <c r="J214" i="5"/>
  <c r="J232" i="5"/>
  <c r="J255" i="5"/>
  <c r="J228" i="5"/>
  <c r="J216" i="5"/>
  <c r="J226" i="5"/>
  <c r="J242" i="5"/>
  <c r="J259" i="5"/>
  <c r="J230" i="5"/>
  <c r="J177" i="5"/>
  <c r="J169" i="5"/>
  <c r="J186" i="5"/>
  <c r="J195" i="5"/>
  <c r="J206" i="5"/>
  <c r="J176" i="5"/>
  <c r="J168" i="5"/>
  <c r="J175" i="5"/>
  <c r="J167" i="5"/>
  <c r="J184" i="5"/>
  <c r="J193" i="5"/>
  <c r="J173" i="5"/>
  <c r="J190" i="5"/>
  <c r="J210" i="5"/>
  <c r="J202" i="5"/>
  <c r="J165" i="5"/>
  <c r="J180" i="5"/>
  <c r="J209" i="5"/>
  <c r="J201" i="5"/>
  <c r="J149" i="5"/>
  <c r="J142" i="5"/>
  <c r="J41" i="5"/>
  <c r="J40" i="5"/>
  <c r="J37" i="5"/>
  <c r="J17" i="5"/>
  <c r="T188" i="2" l="1"/>
  <c r="S188" i="2"/>
  <c r="T187" i="2"/>
  <c r="S187" i="2"/>
  <c r="G95" i="2"/>
  <c r="G91" i="2"/>
  <c r="T91" i="2" s="1"/>
  <c r="G90" i="2"/>
  <c r="P90" i="2"/>
  <c r="K90" i="2"/>
  <c r="G40" i="2"/>
  <c r="G37" i="2"/>
  <c r="J35" i="2"/>
  <c r="G34" i="2"/>
  <c r="J26" i="2"/>
  <c r="J19" i="2"/>
  <c r="J13" i="2"/>
  <c r="K18" i="2"/>
  <c r="M18" i="2" s="1"/>
  <c r="S91" i="2" l="1"/>
  <c r="M90" i="2"/>
  <c r="J40" i="2"/>
  <c r="J37" i="2"/>
  <c r="R356" i="5"/>
  <c r="L356" i="5"/>
  <c r="N356" i="5" s="1"/>
  <c r="K356" i="5"/>
  <c r="M356" i="5" s="1"/>
  <c r="R355" i="5"/>
  <c r="L355" i="5"/>
  <c r="N355" i="5" s="1"/>
  <c r="K355" i="5"/>
  <c r="M355" i="5" s="1"/>
  <c r="R354" i="5"/>
  <c r="L354" i="5"/>
  <c r="N354" i="5" s="1"/>
  <c r="K354" i="5"/>
  <c r="M354" i="5" s="1"/>
  <c r="R353" i="5"/>
  <c r="L353" i="5"/>
  <c r="N353" i="5" s="1"/>
  <c r="K353" i="5"/>
  <c r="M353" i="5" s="1"/>
  <c r="R352" i="5"/>
  <c r="L352" i="5"/>
  <c r="N352" i="5" s="1"/>
  <c r="K352" i="5"/>
  <c r="M352" i="5" s="1"/>
  <c r="R351" i="5"/>
  <c r="L351" i="5"/>
  <c r="N351" i="5" s="1"/>
  <c r="K351" i="5"/>
  <c r="M351" i="5" s="1"/>
  <c r="R350" i="5"/>
  <c r="L350" i="5"/>
  <c r="N350" i="5" s="1"/>
  <c r="K350" i="5"/>
  <c r="M350" i="5" s="1"/>
  <c r="R349" i="5"/>
  <c r="L349" i="5"/>
  <c r="N349" i="5" s="1"/>
  <c r="K349" i="5"/>
  <c r="M349" i="5" s="1"/>
  <c r="R348" i="5"/>
  <c r="L348" i="5"/>
  <c r="N348" i="5" s="1"/>
  <c r="K348" i="5"/>
  <c r="M348" i="5" s="1"/>
  <c r="R347" i="5"/>
  <c r="L347" i="5"/>
  <c r="N347" i="5" s="1"/>
  <c r="K347" i="5"/>
  <c r="M347" i="5" s="1"/>
  <c r="R346" i="5"/>
  <c r="L346" i="5"/>
  <c r="N346" i="5" s="1"/>
  <c r="K346" i="5"/>
  <c r="M346" i="5" s="1"/>
  <c r="R345" i="5"/>
  <c r="L345" i="5"/>
  <c r="N345" i="5" s="1"/>
  <c r="K345" i="5"/>
  <c r="M345" i="5" s="1"/>
  <c r="R344" i="5"/>
  <c r="L344" i="5"/>
  <c r="N344" i="5" s="1"/>
  <c r="K344" i="5"/>
  <c r="M344" i="5" s="1"/>
  <c r="R343" i="5"/>
  <c r="L343" i="5"/>
  <c r="N343" i="5" s="1"/>
  <c r="K343" i="5"/>
  <c r="M343" i="5" s="1"/>
  <c r="R342" i="5"/>
  <c r="L342" i="5"/>
  <c r="N342" i="5" s="1"/>
  <c r="K342" i="5"/>
  <c r="M342" i="5" s="1"/>
  <c r="R341" i="5"/>
  <c r="L341" i="5"/>
  <c r="N341" i="5" s="1"/>
  <c r="K341" i="5"/>
  <c r="M341" i="5" s="1"/>
  <c r="P340" i="5"/>
  <c r="R340" i="5" s="1"/>
  <c r="L340" i="5"/>
  <c r="N340" i="5" s="1"/>
  <c r="K340" i="5"/>
  <c r="M340" i="5" s="1"/>
  <c r="R339" i="5"/>
  <c r="L339" i="5"/>
  <c r="N339" i="5" s="1"/>
  <c r="K339" i="5"/>
  <c r="M339" i="5" s="1"/>
  <c r="R338" i="5"/>
  <c r="L338" i="5"/>
  <c r="N338" i="5" s="1"/>
  <c r="K338" i="5"/>
  <c r="M338" i="5" s="1"/>
  <c r="R337" i="5"/>
  <c r="L337" i="5"/>
  <c r="N337" i="5" s="1"/>
  <c r="K337" i="5"/>
  <c r="M337" i="5" s="1"/>
  <c r="R336" i="5"/>
  <c r="L336" i="5"/>
  <c r="N336" i="5" s="1"/>
  <c r="K336" i="5"/>
  <c r="M336" i="5" s="1"/>
  <c r="R335" i="5"/>
  <c r="L335" i="5"/>
  <c r="N335" i="5" s="1"/>
  <c r="K335" i="5"/>
  <c r="M335" i="5" s="1"/>
  <c r="P334" i="5"/>
  <c r="R334" i="5" s="1"/>
  <c r="L334" i="5"/>
  <c r="N334" i="5" s="1"/>
  <c r="K334" i="5"/>
  <c r="M334" i="5" s="1"/>
  <c r="R333" i="5"/>
  <c r="L333" i="5"/>
  <c r="N333" i="5" s="1"/>
  <c r="K333" i="5"/>
  <c r="M333" i="5" s="1"/>
  <c r="R332" i="5"/>
  <c r="L332" i="5"/>
  <c r="N332" i="5" s="1"/>
  <c r="K332" i="5"/>
  <c r="M332" i="5" s="1"/>
  <c r="Y332" i="5"/>
  <c r="Y331" i="5"/>
  <c r="R331" i="5"/>
  <c r="L331" i="5"/>
  <c r="N331" i="5" s="1"/>
  <c r="K331" i="5"/>
  <c r="M331" i="5" s="1"/>
  <c r="R330" i="5"/>
  <c r="L330" i="5"/>
  <c r="N330" i="5" s="1"/>
  <c r="K330" i="5"/>
  <c r="M330" i="5" s="1"/>
  <c r="R329" i="5"/>
  <c r="L329" i="5"/>
  <c r="N329" i="5" s="1"/>
  <c r="K329" i="5"/>
  <c r="M329" i="5" s="1"/>
  <c r="Y329" i="5"/>
  <c r="R328" i="5"/>
  <c r="L328" i="5"/>
  <c r="N328" i="5" s="1"/>
  <c r="K328" i="5"/>
  <c r="M328" i="5" s="1"/>
  <c r="Y328" i="5"/>
  <c r="Y327" i="5"/>
  <c r="R327" i="5"/>
  <c r="L327" i="5"/>
  <c r="N327" i="5" s="1"/>
  <c r="K327" i="5"/>
  <c r="M327" i="5" s="1"/>
  <c r="R326" i="5"/>
  <c r="L326" i="5"/>
  <c r="N326" i="5" s="1"/>
  <c r="K326" i="5"/>
  <c r="M326" i="5" s="1"/>
  <c r="Y326" i="5"/>
  <c r="R325" i="5"/>
  <c r="L325" i="5"/>
  <c r="N325" i="5" s="1"/>
  <c r="K325" i="5"/>
  <c r="M325" i="5" s="1"/>
  <c r="Y325" i="5"/>
  <c r="R324" i="5"/>
  <c r="L324" i="5"/>
  <c r="N324" i="5" s="1"/>
  <c r="K324" i="5"/>
  <c r="M324" i="5" s="1"/>
  <c r="Y323" i="5"/>
  <c r="R323" i="5"/>
  <c r="L323" i="5"/>
  <c r="N323" i="5" s="1"/>
  <c r="K323" i="5"/>
  <c r="M323" i="5" s="1"/>
  <c r="R322" i="5"/>
  <c r="L322" i="5"/>
  <c r="N322" i="5" s="1"/>
  <c r="K322" i="5"/>
  <c r="M322" i="5" s="1"/>
  <c r="R321" i="5"/>
  <c r="L321" i="5"/>
  <c r="N321" i="5" s="1"/>
  <c r="K321" i="5"/>
  <c r="M321" i="5" s="1"/>
  <c r="Y321" i="5"/>
  <c r="R320" i="5"/>
  <c r="L320" i="5"/>
  <c r="N320" i="5" s="1"/>
  <c r="K320" i="5"/>
  <c r="M320" i="5" s="1"/>
  <c r="Y320" i="5"/>
  <c r="R319" i="5"/>
  <c r="L319" i="5"/>
  <c r="N319" i="5" s="1"/>
  <c r="K319" i="5"/>
  <c r="M319" i="5" s="1"/>
  <c r="Y318" i="5"/>
  <c r="R318" i="5"/>
  <c r="L318" i="5"/>
  <c r="N318" i="5" s="1"/>
  <c r="K318" i="5"/>
  <c r="M318" i="5" s="1"/>
  <c r="R317" i="5"/>
  <c r="L317" i="5"/>
  <c r="N317" i="5" s="1"/>
  <c r="K317" i="5"/>
  <c r="M317" i="5" s="1"/>
  <c r="Y317" i="5"/>
  <c r="R316" i="5"/>
  <c r="L316" i="5"/>
  <c r="N316" i="5" s="1"/>
  <c r="K316" i="5"/>
  <c r="M316" i="5" s="1"/>
  <c r="Y315" i="5"/>
  <c r="R315" i="5"/>
  <c r="L315" i="5"/>
  <c r="N315" i="5" s="1"/>
  <c r="K315" i="5"/>
  <c r="M315" i="5" s="1"/>
  <c r="Y314" i="5"/>
  <c r="R314" i="5"/>
  <c r="L314" i="5"/>
  <c r="N314" i="5" s="1"/>
  <c r="K314" i="5"/>
  <c r="M314" i="5" s="1"/>
  <c r="R313" i="5"/>
  <c r="L313" i="5"/>
  <c r="N313" i="5" s="1"/>
  <c r="K313" i="5"/>
  <c r="M313" i="5" s="1"/>
  <c r="Y313" i="5"/>
  <c r="R312" i="5"/>
  <c r="L312" i="5"/>
  <c r="N312" i="5" s="1"/>
  <c r="K312" i="5"/>
  <c r="M312" i="5" s="1"/>
  <c r="Y311" i="5"/>
  <c r="R311" i="5"/>
  <c r="L311" i="5"/>
  <c r="N311" i="5" s="1"/>
  <c r="K311" i="5"/>
  <c r="M311" i="5" s="1"/>
  <c r="R310" i="5"/>
  <c r="L310" i="5"/>
  <c r="N310" i="5" s="1"/>
  <c r="K310" i="5"/>
  <c r="M310" i="5" s="1"/>
  <c r="Y310" i="5"/>
  <c r="R309" i="5"/>
  <c r="L309" i="5"/>
  <c r="N309" i="5" s="1"/>
  <c r="K309" i="5"/>
  <c r="M309" i="5" s="1"/>
  <c r="Y308" i="5"/>
  <c r="R308" i="5"/>
  <c r="L308" i="5"/>
  <c r="N308" i="5" s="1"/>
  <c r="K308" i="5"/>
  <c r="M308" i="5" s="1"/>
  <c r="R307" i="5"/>
  <c r="L307" i="5"/>
  <c r="N307" i="5" s="1"/>
  <c r="K307" i="5"/>
  <c r="M307" i="5" s="1"/>
  <c r="Y306" i="5"/>
  <c r="R306" i="5"/>
  <c r="L306" i="5"/>
  <c r="N306" i="5" s="1"/>
  <c r="K306" i="5"/>
  <c r="M306" i="5" s="1"/>
  <c r="R305" i="5"/>
  <c r="L305" i="5"/>
  <c r="N305" i="5" s="1"/>
  <c r="K305" i="5"/>
  <c r="M305" i="5" s="1"/>
  <c r="Y304" i="5"/>
  <c r="R304" i="5"/>
  <c r="L304" i="5"/>
  <c r="N304" i="5" s="1"/>
  <c r="K304" i="5"/>
  <c r="M304" i="5" s="1"/>
  <c r="Y303" i="5"/>
  <c r="R303" i="5"/>
  <c r="L303" i="5"/>
  <c r="N303" i="5" s="1"/>
  <c r="K303" i="5"/>
  <c r="M303" i="5" s="1"/>
  <c r="Y302" i="5"/>
  <c r="R302" i="5"/>
  <c r="L302" i="5"/>
  <c r="N302" i="5" s="1"/>
  <c r="K302" i="5"/>
  <c r="M302" i="5" s="1"/>
  <c r="Y301" i="5"/>
  <c r="R301" i="5"/>
  <c r="L301" i="5"/>
  <c r="N301" i="5" s="1"/>
  <c r="K301" i="5"/>
  <c r="M301" i="5" s="1"/>
  <c r="R300" i="5"/>
  <c r="L300" i="5"/>
  <c r="N300" i="5" s="1"/>
  <c r="K300" i="5"/>
  <c r="M300" i="5" s="1"/>
  <c r="Y300" i="5"/>
  <c r="R299" i="5"/>
  <c r="L299" i="5"/>
  <c r="N299" i="5" s="1"/>
  <c r="K299" i="5"/>
  <c r="M299" i="5" s="1"/>
  <c r="R298" i="5"/>
  <c r="L298" i="5"/>
  <c r="N298" i="5" s="1"/>
  <c r="K298" i="5"/>
  <c r="M298" i="5" s="1"/>
  <c r="Y298" i="5"/>
  <c r="R297" i="5"/>
  <c r="L297" i="5"/>
  <c r="N297" i="5" s="1"/>
  <c r="K297" i="5"/>
  <c r="M297" i="5" s="1"/>
  <c r="R296" i="5"/>
  <c r="L296" i="5"/>
  <c r="N296" i="5" s="1"/>
  <c r="K296" i="5"/>
  <c r="M296" i="5" s="1"/>
  <c r="R295" i="5"/>
  <c r="L295" i="5"/>
  <c r="N295" i="5" s="1"/>
  <c r="K295" i="5"/>
  <c r="M295" i="5" s="1"/>
  <c r="P294" i="5"/>
  <c r="R294" i="5" s="1"/>
  <c r="L294" i="5"/>
  <c r="N294" i="5" s="1"/>
  <c r="K294" i="5"/>
  <c r="M294" i="5" s="1"/>
  <c r="Y294" i="5"/>
  <c r="R293" i="5"/>
  <c r="L293" i="5"/>
  <c r="N293" i="5" s="1"/>
  <c r="K293" i="5"/>
  <c r="M293" i="5" s="1"/>
  <c r="R292" i="5"/>
  <c r="L292" i="5"/>
  <c r="N292" i="5" s="1"/>
  <c r="K292" i="5"/>
  <c r="M292" i="5" s="1"/>
  <c r="Y292" i="5"/>
  <c r="Y291" i="5"/>
  <c r="R291" i="5"/>
  <c r="L291" i="5"/>
  <c r="N291" i="5" s="1"/>
  <c r="K291" i="5"/>
  <c r="M291" i="5" s="1"/>
  <c r="Y290" i="5"/>
  <c r="R290" i="5"/>
  <c r="L290" i="5"/>
  <c r="N290" i="5" s="1"/>
  <c r="K290" i="5"/>
  <c r="M290" i="5" s="1"/>
  <c r="Y289" i="5"/>
  <c r="R289" i="5"/>
  <c r="L289" i="5"/>
  <c r="N289" i="5" s="1"/>
  <c r="K289" i="5"/>
  <c r="M289" i="5" s="1"/>
  <c r="R288" i="5"/>
  <c r="L288" i="5"/>
  <c r="N288" i="5" s="1"/>
  <c r="K288" i="5"/>
  <c r="M288" i="5" s="1"/>
  <c r="R287" i="5"/>
  <c r="L287" i="5"/>
  <c r="N287" i="5" s="1"/>
  <c r="K287" i="5"/>
  <c r="M287" i="5" s="1"/>
  <c r="Y287" i="5"/>
  <c r="R286" i="5"/>
  <c r="L286" i="5"/>
  <c r="N286" i="5" s="1"/>
  <c r="K286" i="5"/>
  <c r="M286" i="5" s="1"/>
  <c r="Y285" i="5"/>
  <c r="R285" i="5"/>
  <c r="L285" i="5"/>
  <c r="N285" i="5" s="1"/>
  <c r="K285" i="5"/>
  <c r="M285" i="5" s="1"/>
  <c r="J285" i="5"/>
  <c r="H887" i="4"/>
  <c r="S885" i="4"/>
  <c r="U885" i="4" s="1"/>
  <c r="N885" i="4"/>
  <c r="M885" i="4"/>
  <c r="O885" i="4" s="1"/>
  <c r="L885" i="4"/>
  <c r="K885" i="4"/>
  <c r="S884" i="4"/>
  <c r="S887" i="4" s="1"/>
  <c r="T887" i="4" s="1"/>
  <c r="N884" i="4"/>
  <c r="N887" i="4" s="1"/>
  <c r="M884" i="4"/>
  <c r="O884" i="4" s="1"/>
  <c r="O887" i="4" s="1"/>
  <c r="L884" i="4"/>
  <c r="K884" i="4"/>
  <c r="H882" i="4"/>
  <c r="U880" i="4"/>
  <c r="S880" i="4"/>
  <c r="T880" i="4" s="1"/>
  <c r="M880" i="4"/>
  <c r="O880" i="4" s="1"/>
  <c r="L880" i="4"/>
  <c r="N880" i="4" s="1"/>
  <c r="K880" i="4"/>
  <c r="Q879" i="4"/>
  <c r="S879" i="4" s="1"/>
  <c r="N879" i="4"/>
  <c r="N882" i="4" s="1"/>
  <c r="M879" i="4"/>
  <c r="O879" i="4" s="1"/>
  <c r="L879" i="4"/>
  <c r="K879" i="4"/>
  <c r="Z877" i="4"/>
  <c r="H877" i="4"/>
  <c r="Q875" i="4"/>
  <c r="S875" i="4" s="1"/>
  <c r="M875" i="4"/>
  <c r="O875" i="4" s="1"/>
  <c r="O877" i="4" s="1"/>
  <c r="L875" i="4"/>
  <c r="N875" i="4" s="1"/>
  <c r="N877" i="4" s="1"/>
  <c r="K875" i="4"/>
  <c r="Z873" i="4"/>
  <c r="H873" i="4"/>
  <c r="U871" i="4"/>
  <c r="T871" i="4"/>
  <c r="S871" i="4"/>
  <c r="N871" i="4"/>
  <c r="M871" i="4"/>
  <c r="O871" i="4" s="1"/>
  <c r="L871" i="4"/>
  <c r="K871" i="4"/>
  <c r="U870" i="4"/>
  <c r="T870" i="4"/>
  <c r="S870" i="4"/>
  <c r="S873" i="4" s="1"/>
  <c r="T873" i="4" s="1"/>
  <c r="Q870" i="4"/>
  <c r="M870" i="4"/>
  <c r="O870" i="4" s="1"/>
  <c r="L870" i="4"/>
  <c r="N870" i="4" s="1"/>
  <c r="N873" i="4" s="1"/>
  <c r="K870" i="4"/>
  <c r="Z868" i="4"/>
  <c r="H868" i="4"/>
  <c r="U866" i="4"/>
  <c r="S866" i="4"/>
  <c r="T866" i="4" s="1"/>
  <c r="M866" i="4"/>
  <c r="O866" i="4" s="1"/>
  <c r="O868" i="4" s="1"/>
  <c r="L866" i="4"/>
  <c r="N866" i="4" s="1"/>
  <c r="N868" i="4" s="1"/>
  <c r="K866" i="4"/>
  <c r="Z864" i="4"/>
  <c r="H864" i="4"/>
  <c r="S862" i="4"/>
  <c r="S864" i="4" s="1"/>
  <c r="T864" i="4" s="1"/>
  <c r="O862" i="4"/>
  <c r="O864" i="4" s="1"/>
  <c r="N862" i="4"/>
  <c r="N864" i="4" s="1"/>
  <c r="M862" i="4"/>
  <c r="L862" i="4"/>
  <c r="K862" i="4"/>
  <c r="Z860" i="4"/>
  <c r="S860" i="4"/>
  <c r="T860" i="4" s="1"/>
  <c r="H860" i="4"/>
  <c r="S858" i="4"/>
  <c r="U858" i="4" s="1"/>
  <c r="N858" i="4"/>
  <c r="M858" i="4"/>
  <c r="O858" i="4" s="1"/>
  <c r="L858" i="4"/>
  <c r="K858" i="4"/>
  <c r="S857" i="4"/>
  <c r="U857" i="4" s="1"/>
  <c r="N857" i="4"/>
  <c r="N860" i="4" s="1"/>
  <c r="M857" i="4"/>
  <c r="O857" i="4" s="1"/>
  <c r="L857" i="4"/>
  <c r="K857" i="4"/>
  <c r="Z855" i="4"/>
  <c r="H855" i="4"/>
  <c r="Q853" i="4"/>
  <c r="S853" i="4" s="1"/>
  <c r="M853" i="4"/>
  <c r="O853" i="4" s="1"/>
  <c r="O855" i="4" s="1"/>
  <c r="L853" i="4"/>
  <c r="N853" i="4" s="1"/>
  <c r="N855" i="4" s="1"/>
  <c r="K853" i="4"/>
  <c r="Z851" i="4"/>
  <c r="S851" i="4"/>
  <c r="T851" i="4" s="1"/>
  <c r="H851" i="4"/>
  <c r="U849" i="4"/>
  <c r="T849" i="4"/>
  <c r="S849" i="4"/>
  <c r="N849" i="4"/>
  <c r="N851" i="4" s="1"/>
  <c r="M849" i="4"/>
  <c r="O849" i="4" s="1"/>
  <c r="O851" i="4" s="1"/>
  <c r="L849" i="4"/>
  <c r="K849" i="4"/>
  <c r="Z847" i="4"/>
  <c r="H847" i="4"/>
  <c r="T845" i="4"/>
  <c r="S845" i="4"/>
  <c r="S847" i="4" s="1"/>
  <c r="T847" i="4" s="1"/>
  <c r="O845" i="4"/>
  <c r="O847" i="4" s="1"/>
  <c r="M845" i="4"/>
  <c r="L845" i="4"/>
  <c r="N845" i="4" s="1"/>
  <c r="N847" i="4" s="1"/>
  <c r="K845" i="4"/>
  <c r="Z843" i="4"/>
  <c r="H843" i="4"/>
  <c r="Q841" i="4"/>
  <c r="S841" i="4" s="1"/>
  <c r="O841" i="4"/>
  <c r="O843" i="4" s="1"/>
  <c r="N841" i="4"/>
  <c r="N843" i="4" s="1"/>
  <c r="M841" i="4"/>
  <c r="L841" i="4"/>
  <c r="K841" i="4"/>
  <c r="Z839" i="4"/>
  <c r="S839" i="4"/>
  <c r="T839" i="4" s="1"/>
  <c r="O839" i="4"/>
  <c r="N839" i="4"/>
  <c r="H839" i="4"/>
  <c r="R467" i="3"/>
  <c r="S467" i="3" s="1"/>
  <c r="G467" i="3"/>
  <c r="T465" i="3"/>
  <c r="S465" i="3"/>
  <c r="R465" i="3"/>
  <c r="M465" i="3"/>
  <c r="M467" i="3" s="1"/>
  <c r="L465" i="3"/>
  <c r="N465" i="3" s="1"/>
  <c r="N467" i="3" s="1"/>
  <c r="K465" i="3"/>
  <c r="J465" i="3"/>
  <c r="R463" i="3"/>
  <c r="S463" i="3" s="1"/>
  <c r="N463" i="3"/>
  <c r="M463" i="3"/>
  <c r="G463" i="3"/>
  <c r="G460" i="3"/>
  <c r="R458" i="3"/>
  <c r="R460" i="3" s="1"/>
  <c r="S460" i="3" s="1"/>
  <c r="N458" i="3"/>
  <c r="N460" i="3" s="1"/>
  <c r="L458" i="3"/>
  <c r="K458" i="3"/>
  <c r="M458" i="3" s="1"/>
  <c r="M460" i="3" s="1"/>
  <c r="J458" i="3"/>
  <c r="G456" i="3"/>
  <c r="R454" i="3"/>
  <c r="T454" i="3" s="1"/>
  <c r="L454" i="3"/>
  <c r="N454" i="3" s="1"/>
  <c r="K454" i="3"/>
  <c r="M454" i="3" s="1"/>
  <c r="M456" i="3" s="1"/>
  <c r="J454" i="3"/>
  <c r="R453" i="3"/>
  <c r="T453" i="3" s="1"/>
  <c r="P453" i="3"/>
  <c r="M453" i="3"/>
  <c r="L453" i="3"/>
  <c r="N453" i="3" s="1"/>
  <c r="K453" i="3"/>
  <c r="J453" i="3"/>
  <c r="R448" i="3"/>
  <c r="G448" i="3"/>
  <c r="M445" i="3"/>
  <c r="G445" i="3"/>
  <c r="R443" i="3"/>
  <c r="T443" i="3" s="1"/>
  <c r="P443" i="3"/>
  <c r="M443" i="3"/>
  <c r="L443" i="3"/>
  <c r="N443" i="3" s="1"/>
  <c r="N445" i="3" s="1"/>
  <c r="K443" i="3"/>
  <c r="J443" i="3"/>
  <c r="G441" i="3"/>
  <c r="P439" i="3"/>
  <c r="R439" i="3" s="1"/>
  <c r="N439" i="3"/>
  <c r="N441" i="3" s="1"/>
  <c r="L439" i="3"/>
  <c r="K439" i="3"/>
  <c r="M439" i="3" s="1"/>
  <c r="M441" i="3" s="1"/>
  <c r="J439" i="3"/>
  <c r="M437" i="3"/>
  <c r="G437" i="3"/>
  <c r="R435" i="3"/>
  <c r="R437" i="3" s="1"/>
  <c r="S437" i="3" s="1"/>
  <c r="P435" i="3"/>
  <c r="M435" i="3"/>
  <c r="L435" i="3"/>
  <c r="N435" i="3" s="1"/>
  <c r="N437" i="3" s="1"/>
  <c r="K435" i="3"/>
  <c r="J435" i="3"/>
  <c r="R433" i="3"/>
  <c r="S433" i="3" s="1"/>
  <c r="G433" i="3"/>
  <c r="T431" i="3"/>
  <c r="R431" i="3"/>
  <c r="S431" i="3" s="1"/>
  <c r="N431" i="3"/>
  <c r="N433" i="3" s="1"/>
  <c r="M431" i="3"/>
  <c r="M433" i="3" s="1"/>
  <c r="K431" i="3"/>
  <c r="J431" i="3"/>
  <c r="G427" i="3"/>
  <c r="P425" i="3"/>
  <c r="R425" i="3" s="1"/>
  <c r="N425" i="3"/>
  <c r="N427" i="3" s="1"/>
  <c r="L425" i="3"/>
  <c r="K425" i="3"/>
  <c r="M425" i="3" s="1"/>
  <c r="M427" i="3" s="1"/>
  <c r="J425" i="3"/>
  <c r="R423" i="3"/>
  <c r="G423" i="3"/>
  <c r="G420" i="3"/>
  <c r="Q417" i="3"/>
  <c r="P417" i="3"/>
  <c r="R417" i="3" s="1"/>
  <c r="L417" i="3"/>
  <c r="N417" i="3" s="1"/>
  <c r="N420" i="3" s="1"/>
  <c r="K417" i="3"/>
  <c r="M417" i="3" s="1"/>
  <c r="M420" i="3" s="1"/>
  <c r="J417" i="3"/>
  <c r="R365" i="2"/>
  <c r="S365" i="2" s="1"/>
  <c r="L365" i="2"/>
  <c r="N365" i="2" s="1"/>
  <c r="K365" i="2"/>
  <c r="M365" i="2" s="1"/>
  <c r="J365" i="2"/>
  <c r="R364" i="2"/>
  <c r="S364" i="2" s="1"/>
  <c r="L364" i="2"/>
  <c r="N364" i="2" s="1"/>
  <c r="K364" i="2"/>
  <c r="M364" i="2" s="1"/>
  <c r="J364" i="2"/>
  <c r="R363" i="2"/>
  <c r="S363" i="2" s="1"/>
  <c r="L363" i="2"/>
  <c r="N363" i="2" s="1"/>
  <c r="K363" i="2"/>
  <c r="M363" i="2" s="1"/>
  <c r="J363" i="2"/>
  <c r="R362" i="2"/>
  <c r="S362" i="2" s="1"/>
  <c r="L362" i="2"/>
  <c r="N362" i="2" s="1"/>
  <c r="K362" i="2"/>
  <c r="M362" i="2" s="1"/>
  <c r="J362" i="2"/>
  <c r="R361" i="2"/>
  <c r="S361" i="2" s="1"/>
  <c r="L361" i="2"/>
  <c r="N361" i="2" s="1"/>
  <c r="K361" i="2"/>
  <c r="M361" i="2" s="1"/>
  <c r="J361" i="2"/>
  <c r="R360" i="2"/>
  <c r="S360" i="2" s="1"/>
  <c r="L360" i="2"/>
  <c r="N360" i="2" s="1"/>
  <c r="K360" i="2"/>
  <c r="M360" i="2" s="1"/>
  <c r="J360" i="2"/>
  <c r="R359" i="2"/>
  <c r="S359" i="2" s="1"/>
  <c r="L359" i="2"/>
  <c r="N359" i="2" s="1"/>
  <c r="K359" i="2"/>
  <c r="M359" i="2" s="1"/>
  <c r="J359" i="2"/>
  <c r="R358" i="2"/>
  <c r="S358" i="2" s="1"/>
  <c r="L358" i="2"/>
  <c r="N358" i="2" s="1"/>
  <c r="K358" i="2"/>
  <c r="M358" i="2" s="1"/>
  <c r="J358" i="2"/>
  <c r="R357" i="2"/>
  <c r="S357" i="2" s="1"/>
  <c r="L357" i="2"/>
  <c r="N357" i="2" s="1"/>
  <c r="K357" i="2"/>
  <c r="M357" i="2" s="1"/>
  <c r="J357" i="2"/>
  <c r="R356" i="2"/>
  <c r="T356" i="2" s="1"/>
  <c r="L356" i="2"/>
  <c r="N356" i="2" s="1"/>
  <c r="K356" i="2"/>
  <c r="M356" i="2" s="1"/>
  <c r="J356" i="2"/>
  <c r="R355" i="2"/>
  <c r="T355" i="2" s="1"/>
  <c r="L355" i="2"/>
  <c r="N355" i="2" s="1"/>
  <c r="K355" i="2"/>
  <c r="M355" i="2" s="1"/>
  <c r="J355" i="2"/>
  <c r="R354" i="2"/>
  <c r="S354" i="2" s="1"/>
  <c r="L354" i="2"/>
  <c r="N354" i="2" s="1"/>
  <c r="K354" i="2"/>
  <c r="M354" i="2" s="1"/>
  <c r="J354" i="2"/>
  <c r="R353" i="2"/>
  <c r="T353" i="2" s="1"/>
  <c r="L353" i="2"/>
  <c r="N353" i="2" s="1"/>
  <c r="K353" i="2"/>
  <c r="M353" i="2" s="1"/>
  <c r="J353" i="2"/>
  <c r="R352" i="2"/>
  <c r="T352" i="2" s="1"/>
  <c r="L352" i="2"/>
  <c r="N352" i="2" s="1"/>
  <c r="K352" i="2"/>
  <c r="M352" i="2" s="1"/>
  <c r="J352" i="2"/>
  <c r="R351" i="2"/>
  <c r="T351" i="2" s="1"/>
  <c r="L351" i="2"/>
  <c r="N351" i="2" s="1"/>
  <c r="K351" i="2"/>
  <c r="M351" i="2" s="1"/>
  <c r="J351" i="2"/>
  <c r="R350" i="2"/>
  <c r="T350" i="2" s="1"/>
  <c r="L350" i="2"/>
  <c r="N350" i="2" s="1"/>
  <c r="K350" i="2"/>
  <c r="M350" i="2" s="1"/>
  <c r="J350" i="2"/>
  <c r="R349" i="2"/>
  <c r="L349" i="2"/>
  <c r="N349" i="2" s="1"/>
  <c r="K349" i="2"/>
  <c r="M349" i="2" s="1"/>
  <c r="J349" i="2"/>
  <c r="R348" i="2"/>
  <c r="T348" i="2" s="1"/>
  <c r="L348" i="2"/>
  <c r="N348" i="2" s="1"/>
  <c r="K348" i="2"/>
  <c r="M348" i="2" s="1"/>
  <c r="J348" i="2"/>
  <c r="R347" i="2"/>
  <c r="T347" i="2" s="1"/>
  <c r="L347" i="2"/>
  <c r="N347" i="2" s="1"/>
  <c r="K347" i="2"/>
  <c r="M347" i="2" s="1"/>
  <c r="J347" i="2"/>
  <c r="R346" i="2"/>
  <c r="S346" i="2" s="1"/>
  <c r="L346" i="2"/>
  <c r="N346" i="2" s="1"/>
  <c r="K346" i="2"/>
  <c r="M346" i="2" s="1"/>
  <c r="J346" i="2"/>
  <c r="R345" i="2"/>
  <c r="T345" i="2" s="1"/>
  <c r="L345" i="2"/>
  <c r="N345" i="2" s="1"/>
  <c r="K345" i="2"/>
  <c r="M345" i="2" s="1"/>
  <c r="J345" i="2"/>
  <c r="R344" i="2"/>
  <c r="T344" i="2" s="1"/>
  <c r="L344" i="2"/>
  <c r="N344" i="2" s="1"/>
  <c r="K344" i="2"/>
  <c r="M344" i="2" s="1"/>
  <c r="J344" i="2"/>
  <c r="R343" i="2"/>
  <c r="T343" i="2" s="1"/>
  <c r="L343" i="2"/>
  <c r="N343" i="2" s="1"/>
  <c r="K343" i="2"/>
  <c r="M343" i="2" s="1"/>
  <c r="J343" i="2"/>
  <c r="R342" i="2"/>
  <c r="S342" i="2" s="1"/>
  <c r="L342" i="2"/>
  <c r="N342" i="2" s="1"/>
  <c r="K342" i="2"/>
  <c r="M342" i="2" s="1"/>
  <c r="J342" i="2"/>
  <c r="R341" i="2"/>
  <c r="T341" i="2" s="1"/>
  <c r="L341" i="2"/>
  <c r="N341" i="2" s="1"/>
  <c r="K341" i="2"/>
  <c r="M341" i="2" s="1"/>
  <c r="J341" i="2"/>
  <c r="R340" i="2"/>
  <c r="T340" i="2" s="1"/>
  <c r="L340" i="2"/>
  <c r="N340" i="2" s="1"/>
  <c r="K340" i="2"/>
  <c r="M340" i="2" s="1"/>
  <c r="J340" i="2"/>
  <c r="R339" i="2"/>
  <c r="L339" i="2"/>
  <c r="N339" i="2" s="1"/>
  <c r="K339" i="2"/>
  <c r="M339" i="2" s="1"/>
  <c r="J339" i="2"/>
  <c r="R338" i="2"/>
  <c r="L338" i="2"/>
  <c r="N338" i="2" s="1"/>
  <c r="K338" i="2"/>
  <c r="M338" i="2" s="1"/>
  <c r="J338" i="2"/>
  <c r="R337" i="2"/>
  <c r="L337" i="2"/>
  <c r="N337" i="2" s="1"/>
  <c r="K337" i="2"/>
  <c r="M337" i="2" s="1"/>
  <c r="J337" i="2"/>
  <c r="R336" i="2"/>
  <c r="L336" i="2"/>
  <c r="N336" i="2" s="1"/>
  <c r="K336" i="2"/>
  <c r="M336" i="2" s="1"/>
  <c r="J336" i="2"/>
  <c r="R335" i="2"/>
  <c r="L335" i="2"/>
  <c r="N335" i="2" s="1"/>
  <c r="K335" i="2"/>
  <c r="M335" i="2" s="1"/>
  <c r="J335" i="2"/>
  <c r="R334" i="2"/>
  <c r="L334" i="2"/>
  <c r="N334" i="2" s="1"/>
  <c r="K334" i="2"/>
  <c r="M334" i="2" s="1"/>
  <c r="J334" i="2"/>
  <c r="R333" i="2"/>
  <c r="L333" i="2"/>
  <c r="N333" i="2" s="1"/>
  <c r="K333" i="2"/>
  <c r="M333" i="2" s="1"/>
  <c r="J333" i="2"/>
  <c r="R332" i="2"/>
  <c r="L332" i="2"/>
  <c r="N332" i="2" s="1"/>
  <c r="K332" i="2"/>
  <c r="M332" i="2" s="1"/>
  <c r="J332" i="2"/>
  <c r="R331" i="2"/>
  <c r="L331" i="2"/>
  <c r="N331" i="2" s="1"/>
  <c r="K331" i="2"/>
  <c r="M331" i="2" s="1"/>
  <c r="J331" i="2"/>
  <c r="R330" i="2"/>
  <c r="L330" i="2"/>
  <c r="N330" i="2" s="1"/>
  <c r="K330" i="2"/>
  <c r="M330" i="2" s="1"/>
  <c r="J330" i="2"/>
  <c r="R329" i="2"/>
  <c r="T329" i="2" s="1"/>
  <c r="L329" i="2"/>
  <c r="N329" i="2" s="1"/>
  <c r="K329" i="2"/>
  <c r="M329" i="2" s="1"/>
  <c r="J329" i="2"/>
  <c r="R328" i="2"/>
  <c r="T328" i="2" s="1"/>
  <c r="L328" i="2"/>
  <c r="N328" i="2" s="1"/>
  <c r="K328" i="2"/>
  <c r="M328" i="2" s="1"/>
  <c r="J328" i="2"/>
  <c r="R327" i="2"/>
  <c r="T327" i="2" s="1"/>
  <c r="L327" i="2"/>
  <c r="N327" i="2" s="1"/>
  <c r="K327" i="2"/>
  <c r="M327" i="2" s="1"/>
  <c r="J327" i="2"/>
  <c r="R326" i="2"/>
  <c r="S326" i="2" s="1"/>
  <c r="L326" i="2"/>
  <c r="N326" i="2" s="1"/>
  <c r="K326" i="2"/>
  <c r="M326" i="2" s="1"/>
  <c r="J326" i="2"/>
  <c r="R325" i="2"/>
  <c r="T325" i="2" s="1"/>
  <c r="L325" i="2"/>
  <c r="N325" i="2" s="1"/>
  <c r="K325" i="2"/>
  <c r="M325" i="2" s="1"/>
  <c r="J325" i="2"/>
  <c r="R324" i="2"/>
  <c r="T324" i="2" s="1"/>
  <c r="L324" i="2"/>
  <c r="N324" i="2" s="1"/>
  <c r="K324" i="2"/>
  <c r="M324" i="2" s="1"/>
  <c r="J324" i="2"/>
  <c r="R323" i="2"/>
  <c r="T323" i="2" s="1"/>
  <c r="L323" i="2"/>
  <c r="N323" i="2" s="1"/>
  <c r="K323" i="2"/>
  <c r="M323" i="2" s="1"/>
  <c r="J323" i="2"/>
  <c r="R322" i="2"/>
  <c r="S322" i="2" s="1"/>
  <c r="L322" i="2"/>
  <c r="N322" i="2" s="1"/>
  <c r="K322" i="2"/>
  <c r="M322" i="2" s="1"/>
  <c r="J322" i="2"/>
  <c r="R321" i="2"/>
  <c r="T321" i="2" s="1"/>
  <c r="L321" i="2"/>
  <c r="N321" i="2" s="1"/>
  <c r="K321" i="2"/>
  <c r="M321" i="2" s="1"/>
  <c r="J321" i="2"/>
  <c r="R320" i="2"/>
  <c r="T320" i="2" s="1"/>
  <c r="L320" i="2"/>
  <c r="N320" i="2" s="1"/>
  <c r="K320" i="2"/>
  <c r="M320" i="2" s="1"/>
  <c r="J320" i="2"/>
  <c r="R319" i="2"/>
  <c r="T319" i="2" s="1"/>
  <c r="L319" i="2"/>
  <c r="N319" i="2" s="1"/>
  <c r="K319" i="2"/>
  <c r="M319" i="2" s="1"/>
  <c r="J319" i="2"/>
  <c r="R318" i="2"/>
  <c r="T318" i="2" s="1"/>
  <c r="L318" i="2"/>
  <c r="N318" i="2" s="1"/>
  <c r="K318" i="2"/>
  <c r="M318" i="2" s="1"/>
  <c r="J318" i="2"/>
  <c r="R317" i="2"/>
  <c r="T317" i="2" s="1"/>
  <c r="L317" i="2"/>
  <c r="N317" i="2" s="1"/>
  <c r="K317" i="2"/>
  <c r="M317" i="2" s="1"/>
  <c r="J317" i="2"/>
  <c r="R316" i="2"/>
  <c r="T316" i="2" s="1"/>
  <c r="L316" i="2"/>
  <c r="N316" i="2" s="1"/>
  <c r="K316" i="2"/>
  <c r="M316" i="2" s="1"/>
  <c r="J316" i="2"/>
  <c r="R315" i="2"/>
  <c r="T315" i="2" s="1"/>
  <c r="L315" i="2"/>
  <c r="N315" i="2" s="1"/>
  <c r="K315" i="2"/>
  <c r="M315" i="2" s="1"/>
  <c r="J315" i="2"/>
  <c r="R314" i="2"/>
  <c r="T314" i="2" s="1"/>
  <c r="L314" i="2"/>
  <c r="N314" i="2" s="1"/>
  <c r="K314" i="2"/>
  <c r="M314" i="2" s="1"/>
  <c r="J314" i="2"/>
  <c r="R313" i="2"/>
  <c r="T313" i="2" s="1"/>
  <c r="L313" i="2"/>
  <c r="N313" i="2" s="1"/>
  <c r="K313" i="2"/>
  <c r="M313" i="2" s="1"/>
  <c r="J313" i="2"/>
  <c r="R312" i="2"/>
  <c r="T312" i="2" s="1"/>
  <c r="L312" i="2"/>
  <c r="N312" i="2" s="1"/>
  <c r="K312" i="2"/>
  <c r="M312" i="2" s="1"/>
  <c r="J312" i="2"/>
  <c r="R311" i="2"/>
  <c r="T311" i="2" s="1"/>
  <c r="L311" i="2"/>
  <c r="N311" i="2" s="1"/>
  <c r="K311" i="2"/>
  <c r="M311" i="2" s="1"/>
  <c r="J311" i="2"/>
  <c r="R310" i="2"/>
  <c r="T310" i="2" s="1"/>
  <c r="L310" i="2"/>
  <c r="N310" i="2" s="1"/>
  <c r="K310" i="2"/>
  <c r="M310" i="2" s="1"/>
  <c r="J310" i="2"/>
  <c r="R309" i="2"/>
  <c r="T309" i="2" s="1"/>
  <c r="L309" i="2"/>
  <c r="N309" i="2" s="1"/>
  <c r="K309" i="2"/>
  <c r="M309" i="2" s="1"/>
  <c r="J309" i="2"/>
  <c r="R308" i="2"/>
  <c r="T308" i="2" s="1"/>
  <c r="L308" i="2"/>
  <c r="N308" i="2" s="1"/>
  <c r="K308" i="2"/>
  <c r="M308" i="2" s="1"/>
  <c r="J308" i="2"/>
  <c r="R307" i="2"/>
  <c r="T307" i="2" s="1"/>
  <c r="L307" i="2"/>
  <c r="N307" i="2" s="1"/>
  <c r="K307" i="2"/>
  <c r="M307" i="2" s="1"/>
  <c r="J307" i="2"/>
  <c r="R306" i="2"/>
  <c r="S306" i="2" s="1"/>
  <c r="L306" i="2"/>
  <c r="N306" i="2" s="1"/>
  <c r="K306" i="2"/>
  <c r="M306" i="2" s="1"/>
  <c r="J306" i="2"/>
  <c r="R305" i="2"/>
  <c r="S305" i="2" s="1"/>
  <c r="L305" i="2"/>
  <c r="N305" i="2" s="1"/>
  <c r="K305" i="2"/>
  <c r="M305" i="2" s="1"/>
  <c r="J305" i="2"/>
  <c r="R304" i="2"/>
  <c r="S304" i="2" s="1"/>
  <c r="L304" i="2"/>
  <c r="N304" i="2" s="1"/>
  <c r="K304" i="2"/>
  <c r="M304" i="2" s="1"/>
  <c r="J304" i="2"/>
  <c r="R303" i="2"/>
  <c r="S303" i="2" s="1"/>
  <c r="L303" i="2"/>
  <c r="N303" i="2" s="1"/>
  <c r="K303" i="2"/>
  <c r="M303" i="2" s="1"/>
  <c r="J303" i="2"/>
  <c r="R302" i="2"/>
  <c r="S302" i="2" s="1"/>
  <c r="L302" i="2"/>
  <c r="N302" i="2" s="1"/>
  <c r="K302" i="2"/>
  <c r="M302" i="2" s="1"/>
  <c r="J302" i="2"/>
  <c r="R301" i="2"/>
  <c r="S301" i="2" s="1"/>
  <c r="L301" i="2"/>
  <c r="N301" i="2" s="1"/>
  <c r="K301" i="2"/>
  <c r="M301" i="2" s="1"/>
  <c r="J301" i="2"/>
  <c r="R300" i="2"/>
  <c r="S300" i="2" s="1"/>
  <c r="L300" i="2"/>
  <c r="N300" i="2" s="1"/>
  <c r="K300" i="2"/>
  <c r="M300" i="2" s="1"/>
  <c r="J300" i="2"/>
  <c r="R299" i="2"/>
  <c r="S299" i="2" s="1"/>
  <c r="L299" i="2"/>
  <c r="N299" i="2" s="1"/>
  <c r="K299" i="2"/>
  <c r="M299" i="2" s="1"/>
  <c r="J299" i="2"/>
  <c r="R298" i="2"/>
  <c r="S298" i="2" s="1"/>
  <c r="L298" i="2"/>
  <c r="N298" i="2" s="1"/>
  <c r="K298" i="2"/>
  <c r="M298" i="2" s="1"/>
  <c r="J298" i="2"/>
  <c r="R297" i="2"/>
  <c r="S297" i="2" s="1"/>
  <c r="L297" i="2"/>
  <c r="N297" i="2" s="1"/>
  <c r="K297" i="2"/>
  <c r="M297" i="2" s="1"/>
  <c r="J297" i="2"/>
  <c r="R296" i="2"/>
  <c r="S296" i="2" s="1"/>
  <c r="L296" i="2"/>
  <c r="N296" i="2" s="1"/>
  <c r="K296" i="2"/>
  <c r="M296" i="2" s="1"/>
  <c r="J296" i="2"/>
  <c r="R295" i="2"/>
  <c r="T295" i="2" s="1"/>
  <c r="L295" i="2"/>
  <c r="N295" i="2" s="1"/>
  <c r="K295" i="2"/>
  <c r="M295" i="2" s="1"/>
  <c r="J295" i="2"/>
  <c r="R294" i="2"/>
  <c r="T294" i="2" s="1"/>
  <c r="L294" i="2"/>
  <c r="N294" i="2" s="1"/>
  <c r="K294" i="2"/>
  <c r="M294" i="2" s="1"/>
  <c r="J294" i="2"/>
  <c r="R293" i="2"/>
  <c r="T293" i="2" s="1"/>
  <c r="L293" i="2"/>
  <c r="N293" i="2" s="1"/>
  <c r="K293" i="2"/>
  <c r="M293" i="2" s="1"/>
  <c r="J293" i="2"/>
  <c r="R292" i="2"/>
  <c r="T292" i="2" s="1"/>
  <c r="L292" i="2"/>
  <c r="N292" i="2" s="1"/>
  <c r="K292" i="2"/>
  <c r="M292" i="2" s="1"/>
  <c r="J292" i="2"/>
  <c r="R291" i="2"/>
  <c r="T291" i="2" s="1"/>
  <c r="L291" i="2"/>
  <c r="N291" i="2" s="1"/>
  <c r="K291" i="2"/>
  <c r="M291" i="2" s="1"/>
  <c r="J291" i="2"/>
  <c r="R290" i="2"/>
  <c r="T290" i="2" s="1"/>
  <c r="L290" i="2"/>
  <c r="N290" i="2" s="1"/>
  <c r="K290" i="2"/>
  <c r="M290" i="2" s="1"/>
  <c r="J290" i="2"/>
  <c r="R289" i="2"/>
  <c r="S289" i="2" s="1"/>
  <c r="L289" i="2"/>
  <c r="N289" i="2" s="1"/>
  <c r="K289" i="2"/>
  <c r="M289" i="2" s="1"/>
  <c r="J289" i="2"/>
  <c r="R288" i="2"/>
  <c r="T288" i="2" s="1"/>
  <c r="L288" i="2"/>
  <c r="N288" i="2" s="1"/>
  <c r="K288" i="2"/>
  <c r="M288" i="2" s="1"/>
  <c r="J288" i="2"/>
  <c r="R287" i="2"/>
  <c r="T287" i="2" s="1"/>
  <c r="L287" i="2"/>
  <c r="N287" i="2" s="1"/>
  <c r="K287" i="2"/>
  <c r="M287" i="2" s="1"/>
  <c r="J287" i="2"/>
  <c r="R286" i="2"/>
  <c r="T286" i="2" s="1"/>
  <c r="L286" i="2"/>
  <c r="N286" i="2" s="1"/>
  <c r="K286" i="2"/>
  <c r="M286" i="2" s="1"/>
  <c r="J286" i="2"/>
  <c r="R285" i="2"/>
  <c r="T285" i="2" s="1"/>
  <c r="L285" i="2"/>
  <c r="N285" i="2" s="1"/>
  <c r="K285" i="2"/>
  <c r="M285" i="2" s="1"/>
  <c r="J285" i="2"/>
  <c r="R284" i="2"/>
  <c r="T284" i="2" s="1"/>
  <c r="L284" i="2"/>
  <c r="N284" i="2" s="1"/>
  <c r="K284" i="2"/>
  <c r="M284" i="2" s="1"/>
  <c r="J284" i="2"/>
  <c r="R283" i="2"/>
  <c r="T283" i="2" s="1"/>
  <c r="L283" i="2"/>
  <c r="N283" i="2" s="1"/>
  <c r="K283" i="2"/>
  <c r="M283" i="2" s="1"/>
  <c r="J283" i="2"/>
  <c r="R282" i="2"/>
  <c r="T282" i="2" s="1"/>
  <c r="L282" i="2"/>
  <c r="N282" i="2" s="1"/>
  <c r="K282" i="2"/>
  <c r="M282" i="2" s="1"/>
  <c r="J282" i="2"/>
  <c r="R281" i="2"/>
  <c r="L281" i="2"/>
  <c r="N281" i="2" s="1"/>
  <c r="K281" i="2"/>
  <c r="M281" i="2" s="1"/>
  <c r="J281" i="2"/>
  <c r="R280" i="2"/>
  <c r="S280" i="2" s="1"/>
  <c r="L280" i="2"/>
  <c r="N280" i="2" s="1"/>
  <c r="K280" i="2"/>
  <c r="M280" i="2" s="1"/>
  <c r="J280" i="2"/>
  <c r="R279" i="2"/>
  <c r="S279" i="2" s="1"/>
  <c r="L279" i="2"/>
  <c r="N279" i="2" s="1"/>
  <c r="K279" i="2"/>
  <c r="M279" i="2" s="1"/>
  <c r="J279" i="2"/>
  <c r="R278" i="2"/>
  <c r="S278" i="2" s="1"/>
  <c r="L278" i="2"/>
  <c r="N278" i="2" s="1"/>
  <c r="K278" i="2"/>
  <c r="M278" i="2" s="1"/>
  <c r="J278" i="2"/>
  <c r="R277" i="2"/>
  <c r="S277" i="2" s="1"/>
  <c r="L277" i="2"/>
  <c r="N277" i="2" s="1"/>
  <c r="K277" i="2"/>
  <c r="M277" i="2" s="1"/>
  <c r="J277" i="2"/>
  <c r="R276" i="2"/>
  <c r="S276" i="2" s="1"/>
  <c r="L276" i="2"/>
  <c r="N276" i="2" s="1"/>
  <c r="K276" i="2"/>
  <c r="M276" i="2" s="1"/>
  <c r="J276" i="2"/>
  <c r="R275" i="2"/>
  <c r="S275" i="2" s="1"/>
  <c r="L275" i="2"/>
  <c r="N275" i="2" s="1"/>
  <c r="K275" i="2"/>
  <c r="M275" i="2" s="1"/>
  <c r="J275" i="2"/>
  <c r="R274" i="2"/>
  <c r="S274" i="2" s="1"/>
  <c r="L274" i="2"/>
  <c r="N274" i="2" s="1"/>
  <c r="K274" i="2"/>
  <c r="M274" i="2" s="1"/>
  <c r="J274" i="2"/>
  <c r="R273" i="2"/>
  <c r="S273" i="2" s="1"/>
  <c r="L273" i="2"/>
  <c r="N273" i="2" s="1"/>
  <c r="K273" i="2"/>
  <c r="M273" i="2" s="1"/>
  <c r="J273" i="2"/>
  <c r="R272" i="2"/>
  <c r="S272" i="2" s="1"/>
  <c r="L272" i="2"/>
  <c r="N272" i="2" s="1"/>
  <c r="K272" i="2"/>
  <c r="M272" i="2" s="1"/>
  <c r="J272" i="2"/>
  <c r="R271" i="2"/>
  <c r="S271" i="2" s="1"/>
  <c r="L271" i="2"/>
  <c r="N271" i="2" s="1"/>
  <c r="K271" i="2"/>
  <c r="M271" i="2" s="1"/>
  <c r="J271" i="2"/>
  <c r="R270" i="2"/>
  <c r="S270" i="2" s="1"/>
  <c r="L270" i="2"/>
  <c r="N270" i="2" s="1"/>
  <c r="K270" i="2"/>
  <c r="M270" i="2" s="1"/>
  <c r="J270" i="2"/>
  <c r="R269" i="2"/>
  <c r="S269" i="2" s="1"/>
  <c r="L269" i="2"/>
  <c r="N269" i="2" s="1"/>
  <c r="K269" i="2"/>
  <c r="M269" i="2" s="1"/>
  <c r="J269" i="2"/>
  <c r="R268" i="2"/>
  <c r="S268" i="2" s="1"/>
  <c r="L268" i="2"/>
  <c r="N268" i="2" s="1"/>
  <c r="K268" i="2"/>
  <c r="M268" i="2" s="1"/>
  <c r="J268" i="2"/>
  <c r="R267" i="2"/>
  <c r="T267" i="2" s="1"/>
  <c r="L267" i="2"/>
  <c r="N267" i="2" s="1"/>
  <c r="K267" i="2"/>
  <c r="M267" i="2" s="1"/>
  <c r="J267" i="2"/>
  <c r="R266" i="2"/>
  <c r="T266" i="2" s="1"/>
  <c r="L266" i="2"/>
  <c r="N266" i="2" s="1"/>
  <c r="K266" i="2"/>
  <c r="M266" i="2" s="1"/>
  <c r="J266" i="2"/>
  <c r="R265" i="2"/>
  <c r="S265" i="2" s="1"/>
  <c r="L265" i="2"/>
  <c r="N265" i="2" s="1"/>
  <c r="K265" i="2"/>
  <c r="M265" i="2" s="1"/>
  <c r="J265" i="2"/>
  <c r="R264" i="2"/>
  <c r="T264" i="2" s="1"/>
  <c r="L264" i="2"/>
  <c r="N264" i="2" s="1"/>
  <c r="K264" i="2"/>
  <c r="M264" i="2" s="1"/>
  <c r="J264" i="2"/>
  <c r="R263" i="2"/>
  <c r="T263" i="2" s="1"/>
  <c r="L263" i="2"/>
  <c r="N263" i="2" s="1"/>
  <c r="K263" i="2"/>
  <c r="M263" i="2" s="1"/>
  <c r="J263" i="2"/>
  <c r="R262" i="2"/>
  <c r="S262" i="2" s="1"/>
  <c r="L262" i="2"/>
  <c r="N262" i="2" s="1"/>
  <c r="K262" i="2"/>
  <c r="M262" i="2" s="1"/>
  <c r="J262" i="2"/>
  <c r="R261" i="2"/>
  <c r="S261" i="2" s="1"/>
  <c r="L261" i="2"/>
  <c r="N261" i="2" s="1"/>
  <c r="K261" i="2"/>
  <c r="M261" i="2" s="1"/>
  <c r="J261" i="2"/>
  <c r="R260" i="2"/>
  <c r="S260" i="2" s="1"/>
  <c r="L260" i="2"/>
  <c r="N260" i="2" s="1"/>
  <c r="K260" i="2"/>
  <c r="M260" i="2" s="1"/>
  <c r="J260" i="2"/>
  <c r="R259" i="2"/>
  <c r="S259" i="2" s="1"/>
  <c r="L259" i="2"/>
  <c r="N259" i="2" s="1"/>
  <c r="K259" i="2"/>
  <c r="M259" i="2" s="1"/>
  <c r="J259" i="2"/>
  <c r="R258" i="2"/>
  <c r="S258" i="2" s="1"/>
  <c r="L258" i="2"/>
  <c r="N258" i="2" s="1"/>
  <c r="K258" i="2"/>
  <c r="M258" i="2" s="1"/>
  <c r="J258" i="2"/>
  <c r="R257" i="2"/>
  <c r="S257" i="2" s="1"/>
  <c r="L257" i="2"/>
  <c r="N257" i="2" s="1"/>
  <c r="K257" i="2"/>
  <c r="M257" i="2" s="1"/>
  <c r="J257" i="2"/>
  <c r="L256" i="2"/>
  <c r="K256" i="2"/>
  <c r="G256" i="2"/>
  <c r="R255" i="2"/>
  <c r="T255" i="2" s="1"/>
  <c r="L255" i="2"/>
  <c r="N255" i="2" s="1"/>
  <c r="K255" i="2"/>
  <c r="M255" i="2" s="1"/>
  <c r="J255" i="2"/>
  <c r="R254" i="2"/>
  <c r="T254" i="2" s="1"/>
  <c r="L254" i="2"/>
  <c r="N254" i="2" s="1"/>
  <c r="K254" i="2"/>
  <c r="M254" i="2" s="1"/>
  <c r="J254" i="2"/>
  <c r="R253" i="2"/>
  <c r="T253" i="2" s="1"/>
  <c r="L253" i="2"/>
  <c r="N253" i="2" s="1"/>
  <c r="K253" i="2"/>
  <c r="M253" i="2" s="1"/>
  <c r="J253" i="2"/>
  <c r="R252" i="2"/>
  <c r="T252" i="2" s="1"/>
  <c r="L252" i="2"/>
  <c r="N252" i="2" s="1"/>
  <c r="K252" i="2"/>
  <c r="M252" i="2" s="1"/>
  <c r="J252" i="2"/>
  <c r="R251" i="2"/>
  <c r="T251" i="2" s="1"/>
  <c r="L251" i="2"/>
  <c r="N251" i="2" s="1"/>
  <c r="K251" i="2"/>
  <c r="M251" i="2" s="1"/>
  <c r="J251" i="2"/>
  <c r="R250" i="2"/>
  <c r="S250" i="2" s="1"/>
  <c r="L250" i="2"/>
  <c r="N250" i="2" s="1"/>
  <c r="K250" i="2"/>
  <c r="M250" i="2" s="1"/>
  <c r="J250" i="2"/>
  <c r="R249" i="2"/>
  <c r="T249" i="2" s="1"/>
  <c r="L249" i="2"/>
  <c r="N249" i="2" s="1"/>
  <c r="K249" i="2"/>
  <c r="M249" i="2" s="1"/>
  <c r="J249" i="2"/>
  <c r="R248" i="2"/>
  <c r="T248" i="2" s="1"/>
  <c r="L248" i="2"/>
  <c r="N248" i="2" s="1"/>
  <c r="K248" i="2"/>
  <c r="M248" i="2" s="1"/>
  <c r="J248" i="2"/>
  <c r="R247" i="2"/>
  <c r="S247" i="2" s="1"/>
  <c r="L247" i="2"/>
  <c r="N247" i="2" s="1"/>
  <c r="K247" i="2"/>
  <c r="M247" i="2" s="1"/>
  <c r="J247" i="2"/>
  <c r="R246" i="2"/>
  <c r="T246" i="2" s="1"/>
  <c r="L246" i="2"/>
  <c r="N246" i="2" s="1"/>
  <c r="K246" i="2"/>
  <c r="M246" i="2" s="1"/>
  <c r="J246" i="2"/>
  <c r="P245" i="2"/>
  <c r="R245" i="2" s="1"/>
  <c r="L245" i="2"/>
  <c r="N245" i="2" s="1"/>
  <c r="K245" i="2"/>
  <c r="M245" i="2" s="1"/>
  <c r="J245" i="2"/>
  <c r="S299" i="5" l="1"/>
  <c r="T299" i="5"/>
  <c r="S323" i="5"/>
  <c r="T323" i="5"/>
  <c r="S347" i="5"/>
  <c r="T347" i="5"/>
  <c r="S288" i="5"/>
  <c r="T288" i="5"/>
  <c r="S297" i="5"/>
  <c r="T297" i="5"/>
  <c r="T308" i="5"/>
  <c r="S308" i="5"/>
  <c r="T334" i="5"/>
  <c r="S334" i="5"/>
  <c r="T306" i="5"/>
  <c r="S306" i="5"/>
  <c r="S321" i="5"/>
  <c r="T321" i="5"/>
  <c r="S345" i="5"/>
  <c r="T345" i="5"/>
  <c r="S353" i="5"/>
  <c r="T353" i="5"/>
  <c r="S289" i="5"/>
  <c r="T289" i="5"/>
  <c r="T291" i="5"/>
  <c r="S291" i="5"/>
  <c r="S293" i="5"/>
  <c r="T293" i="5"/>
  <c r="T300" i="5"/>
  <c r="S300" i="5"/>
  <c r="S311" i="5"/>
  <c r="T311" i="5"/>
  <c r="S313" i="5"/>
  <c r="T313" i="5"/>
  <c r="T324" i="5"/>
  <c r="S324" i="5"/>
  <c r="T326" i="5"/>
  <c r="S326" i="5"/>
  <c r="S328" i="5"/>
  <c r="T328" i="5"/>
  <c r="S335" i="5"/>
  <c r="T335" i="5"/>
  <c r="S343" i="5"/>
  <c r="T343" i="5"/>
  <c r="S351" i="5"/>
  <c r="T351" i="5"/>
  <c r="S329" i="5"/>
  <c r="T329" i="5"/>
  <c r="S339" i="5"/>
  <c r="T339" i="5"/>
  <c r="S355" i="5"/>
  <c r="T355" i="5"/>
  <c r="T350" i="5"/>
  <c r="S350" i="5"/>
  <c r="S319" i="5"/>
  <c r="T319" i="5"/>
  <c r="S337" i="5"/>
  <c r="T337" i="5"/>
  <c r="T315" i="5"/>
  <c r="S315" i="5"/>
  <c r="T356" i="5"/>
  <c r="S356" i="5"/>
  <c r="T298" i="5"/>
  <c r="S298" i="5"/>
  <c r="S309" i="5"/>
  <c r="T309" i="5"/>
  <c r="T322" i="5"/>
  <c r="S322" i="5"/>
  <c r="T338" i="5"/>
  <c r="S338" i="5"/>
  <c r="S346" i="5"/>
  <c r="T346" i="5"/>
  <c r="T354" i="5"/>
  <c r="S354" i="5"/>
  <c r="S312" i="5"/>
  <c r="T312" i="5"/>
  <c r="S325" i="5"/>
  <c r="T325" i="5"/>
  <c r="T342" i="5"/>
  <c r="S342" i="5"/>
  <c r="T286" i="5"/>
  <c r="S286" i="5"/>
  <c r="T302" i="5"/>
  <c r="S302" i="5"/>
  <c r="S304" i="5"/>
  <c r="T304" i="5"/>
  <c r="S317" i="5"/>
  <c r="T317" i="5"/>
  <c r="T332" i="5"/>
  <c r="S332" i="5"/>
  <c r="T348" i="5"/>
  <c r="S348" i="5"/>
  <c r="S285" i="5"/>
  <c r="T285" i="5"/>
  <c r="S287" i="5"/>
  <c r="T287" i="5"/>
  <c r="S296" i="5"/>
  <c r="T296" i="5"/>
  <c r="S307" i="5"/>
  <c r="T307" i="5"/>
  <c r="T318" i="5"/>
  <c r="S318" i="5"/>
  <c r="S320" i="5"/>
  <c r="T320" i="5"/>
  <c r="T331" i="5"/>
  <c r="S331" i="5"/>
  <c r="S333" i="5"/>
  <c r="T333" i="5"/>
  <c r="S341" i="5"/>
  <c r="T341" i="5"/>
  <c r="S349" i="5"/>
  <c r="T349" i="5"/>
  <c r="S290" i="5"/>
  <c r="T290" i="5"/>
  <c r="T294" i="5"/>
  <c r="S294" i="5"/>
  <c r="S292" i="5"/>
  <c r="T292" i="5"/>
  <c r="T310" i="5"/>
  <c r="S310" i="5"/>
  <c r="S295" i="5"/>
  <c r="T295" i="5"/>
  <c r="S330" i="5"/>
  <c r="T330" i="5"/>
  <c r="S340" i="5"/>
  <c r="T340" i="5"/>
  <c r="S301" i="5"/>
  <c r="T301" i="5"/>
  <c r="S303" i="5"/>
  <c r="T303" i="5"/>
  <c r="S305" i="5"/>
  <c r="T305" i="5"/>
  <c r="S314" i="5"/>
  <c r="T314" i="5"/>
  <c r="T316" i="5"/>
  <c r="S316" i="5"/>
  <c r="S327" i="5"/>
  <c r="T327" i="5"/>
  <c r="S336" i="5"/>
  <c r="T336" i="5"/>
  <c r="S344" i="5"/>
  <c r="T344" i="5"/>
  <c r="S352" i="5"/>
  <c r="T352" i="5"/>
  <c r="Y293" i="5"/>
  <c r="Y307" i="5"/>
  <c r="Y322" i="5"/>
  <c r="Y330" i="5"/>
  <c r="Y297" i="5"/>
  <c r="Y295" i="5"/>
  <c r="Y296" i="5"/>
  <c r="S256" i="2"/>
  <c r="T256" i="2"/>
  <c r="T361" i="2"/>
  <c r="S340" i="2"/>
  <c r="S324" i="2"/>
  <c r="T362" i="2"/>
  <c r="T363" i="2"/>
  <c r="T303" i="2"/>
  <c r="T326" i="2"/>
  <c r="T346" i="2"/>
  <c r="T274" i="2"/>
  <c r="T296" i="2"/>
  <c r="T275" i="2"/>
  <c r="S321" i="2"/>
  <c r="S284" i="2"/>
  <c r="T342" i="2"/>
  <c r="T304" i="2"/>
  <c r="T265" i="2"/>
  <c r="T297" i="2"/>
  <c r="T276" i="2"/>
  <c r="S283" i="2"/>
  <c r="S329" i="2"/>
  <c r="S251" i="2"/>
  <c r="S246" i="2"/>
  <c r="T269" i="2"/>
  <c r="S281" i="2"/>
  <c r="T289" i="2"/>
  <c r="S327" i="2"/>
  <c r="S344" i="2"/>
  <c r="S350" i="2"/>
  <c r="S355" i="2"/>
  <c r="T250" i="2"/>
  <c r="T247" i="2"/>
  <c r="T260" i="2"/>
  <c r="S263" i="2"/>
  <c r="T281" i="2"/>
  <c r="T299" i="2"/>
  <c r="T306" i="2"/>
  <c r="S249" i="2"/>
  <c r="S288" i="2"/>
  <c r="S319" i="2"/>
  <c r="T322" i="2"/>
  <c r="S348" i="2"/>
  <c r="T354" i="2"/>
  <c r="T262" i="2"/>
  <c r="S267" i="2"/>
  <c r="T277" i="2"/>
  <c r="S285" i="2"/>
  <c r="T298" i="2"/>
  <c r="T305" i="2"/>
  <c r="S325" i="2"/>
  <c r="T268" i="2"/>
  <c r="S248" i="2"/>
  <c r="T261" i="2"/>
  <c r="S287" i="2"/>
  <c r="S292" i="2"/>
  <c r="S351" i="2"/>
  <c r="Y286" i="5"/>
  <c r="Y288" i="5"/>
  <c r="Y299" i="5"/>
  <c r="Y309" i="5"/>
  <c r="Y312" i="5"/>
  <c r="Y324" i="5"/>
  <c r="Y333" i="5"/>
  <c r="Y305" i="5"/>
  <c r="Y316" i="5"/>
  <c r="Y319" i="5"/>
  <c r="S843" i="4"/>
  <c r="T843" i="4" s="1"/>
  <c r="U841" i="4"/>
  <c r="T841" i="4"/>
  <c r="O873" i="4"/>
  <c r="U879" i="4"/>
  <c r="T879" i="4"/>
  <c r="S882" i="4"/>
  <c r="T882" i="4" s="1"/>
  <c r="U875" i="4"/>
  <c r="T875" i="4"/>
  <c r="S877" i="4"/>
  <c r="T877" i="4" s="1"/>
  <c r="O860" i="4"/>
  <c r="U853" i="4"/>
  <c r="T853" i="4"/>
  <c r="S855" i="4"/>
  <c r="T855" i="4" s="1"/>
  <c r="O882" i="4"/>
  <c r="U845" i="4"/>
  <c r="T862" i="4"/>
  <c r="T884" i="4"/>
  <c r="T885" i="4"/>
  <c r="U862" i="4"/>
  <c r="U884" i="4"/>
  <c r="T857" i="4"/>
  <c r="T858" i="4"/>
  <c r="S868" i="4"/>
  <c r="T868" i="4" s="1"/>
  <c r="T439" i="3"/>
  <c r="S439" i="3"/>
  <c r="R441" i="3"/>
  <c r="S441" i="3" s="1"/>
  <c r="S425" i="3"/>
  <c r="R427" i="3"/>
  <c r="S427" i="3" s="1"/>
  <c r="T425" i="3"/>
  <c r="N456" i="3"/>
  <c r="S417" i="3"/>
  <c r="R420" i="3"/>
  <c r="S420" i="3" s="1"/>
  <c r="T417" i="3"/>
  <c r="S435" i="3"/>
  <c r="T435" i="3"/>
  <c r="R445" i="3"/>
  <c r="S445" i="3" s="1"/>
  <c r="R456" i="3"/>
  <c r="S456" i="3" s="1"/>
  <c r="S458" i="3"/>
  <c r="T458" i="3"/>
  <c r="S443" i="3"/>
  <c r="S453" i="3"/>
  <c r="S454" i="3"/>
  <c r="T245" i="2"/>
  <c r="S245" i="2"/>
  <c r="T257" i="2"/>
  <c r="T271" i="2"/>
  <c r="T279" i="2"/>
  <c r="T301" i="2"/>
  <c r="S323" i="2"/>
  <c r="S349" i="2"/>
  <c r="S353" i="2"/>
  <c r="T358" i="2"/>
  <c r="S252" i="2"/>
  <c r="S343" i="2"/>
  <c r="S347" i="2"/>
  <c r="T349" i="2"/>
  <c r="T259" i="2"/>
  <c r="S266" i="2"/>
  <c r="T273" i="2"/>
  <c r="S291" i="2"/>
  <c r="S352" i="2"/>
  <c r="S356" i="2"/>
  <c r="T360" i="2"/>
  <c r="T270" i="2"/>
  <c r="T278" i="2"/>
  <c r="S282" i="2"/>
  <c r="S286" i="2"/>
  <c r="S290" i="2"/>
  <c r="T300" i="2"/>
  <c r="S320" i="2"/>
  <c r="S328" i="2"/>
  <c r="T357" i="2"/>
  <c r="T365" i="2"/>
  <c r="T258" i="2"/>
  <c r="S264" i="2"/>
  <c r="T272" i="2"/>
  <c r="T280" i="2"/>
  <c r="T302" i="2"/>
  <c r="S318" i="2"/>
  <c r="S341" i="2"/>
  <c r="S345" i="2"/>
  <c r="T359" i="2"/>
  <c r="T364" i="2"/>
  <c r="T331" i="2"/>
  <c r="S331" i="2"/>
  <c r="T333" i="2"/>
  <c r="S333" i="2"/>
  <c r="T335" i="2"/>
  <c r="S335" i="2"/>
  <c r="T337" i="2"/>
  <c r="S337" i="2"/>
  <c r="T339" i="2"/>
  <c r="S339" i="2"/>
  <c r="T330" i="2"/>
  <c r="S330" i="2"/>
  <c r="T332" i="2"/>
  <c r="S332" i="2"/>
  <c r="T334" i="2"/>
  <c r="S334" i="2"/>
  <c r="T336" i="2"/>
  <c r="S336" i="2"/>
  <c r="T338" i="2"/>
  <c r="S338" i="2"/>
  <c r="N256" i="2"/>
  <c r="M256" i="2"/>
  <c r="J256" i="2"/>
  <c r="S307" i="2"/>
  <c r="S308" i="2"/>
  <c r="S309" i="2"/>
  <c r="S310" i="2"/>
  <c r="S311" i="2"/>
  <c r="S312" i="2"/>
  <c r="S313" i="2"/>
  <c r="S314" i="2"/>
  <c r="S315" i="2"/>
  <c r="S316" i="2"/>
  <c r="S317" i="2"/>
  <c r="S253" i="2"/>
  <c r="S254" i="2"/>
  <c r="S255" i="2"/>
  <c r="S293" i="2"/>
  <c r="S294" i="2"/>
  <c r="S295" i="2"/>
  <c r="Q284" i="5" l="1"/>
  <c r="P284" i="5"/>
  <c r="L284" i="5"/>
  <c r="N284" i="5" s="1"/>
  <c r="K284" i="5"/>
  <c r="M284" i="5" s="1"/>
  <c r="Y284" i="5"/>
  <c r="Q283" i="5"/>
  <c r="P283" i="5"/>
  <c r="L283" i="5"/>
  <c r="N283" i="5" s="1"/>
  <c r="K283" i="5"/>
  <c r="M283" i="5" s="1"/>
  <c r="Q282" i="5"/>
  <c r="P282" i="5"/>
  <c r="L282" i="5"/>
  <c r="N282" i="5" s="1"/>
  <c r="K282" i="5"/>
  <c r="M282" i="5" s="1"/>
  <c r="Q281" i="5"/>
  <c r="P281" i="5"/>
  <c r="L281" i="5"/>
  <c r="N281" i="5" s="1"/>
  <c r="K281" i="5"/>
  <c r="M281" i="5" s="1"/>
  <c r="Y280" i="5"/>
  <c r="Q280" i="5"/>
  <c r="P280" i="5"/>
  <c r="L280" i="5"/>
  <c r="N280" i="5" s="1"/>
  <c r="K280" i="5"/>
  <c r="M280" i="5" s="1"/>
  <c r="Q279" i="5"/>
  <c r="P279" i="5"/>
  <c r="L279" i="5"/>
  <c r="N279" i="5" s="1"/>
  <c r="K279" i="5"/>
  <c r="M279" i="5" s="1"/>
  <c r="Y279" i="5"/>
  <c r="Y278" i="5"/>
  <c r="Q278" i="5"/>
  <c r="P278" i="5"/>
  <c r="L278" i="5"/>
  <c r="N278" i="5" s="1"/>
  <c r="K278" i="5"/>
  <c r="M278" i="5" s="1"/>
  <c r="Q277" i="5"/>
  <c r="P277" i="5"/>
  <c r="L277" i="5"/>
  <c r="N277" i="5" s="1"/>
  <c r="K277" i="5"/>
  <c r="M277" i="5" s="1"/>
  <c r="Y277" i="5"/>
  <c r="Q276" i="5"/>
  <c r="P276" i="5"/>
  <c r="L276" i="5"/>
  <c r="N276" i="5" s="1"/>
  <c r="K276" i="5"/>
  <c r="M276" i="5" s="1"/>
  <c r="Y275" i="5"/>
  <c r="Q275" i="5"/>
  <c r="P275" i="5"/>
  <c r="L275" i="5"/>
  <c r="N275" i="5" s="1"/>
  <c r="K275" i="5"/>
  <c r="M275" i="5" s="1"/>
  <c r="Y274" i="5"/>
  <c r="Q274" i="5"/>
  <c r="P274" i="5"/>
  <c r="L274" i="5"/>
  <c r="N274" i="5" s="1"/>
  <c r="K274" i="5"/>
  <c r="M274" i="5" s="1"/>
  <c r="Y273" i="5"/>
  <c r="Q273" i="5"/>
  <c r="P273" i="5"/>
  <c r="L273" i="5"/>
  <c r="N273" i="5" s="1"/>
  <c r="K273" i="5"/>
  <c r="M273" i="5" s="1"/>
  <c r="Y272" i="5"/>
  <c r="Q272" i="5"/>
  <c r="P272" i="5"/>
  <c r="L272" i="5"/>
  <c r="N272" i="5" s="1"/>
  <c r="K272" i="5"/>
  <c r="M272" i="5" s="1"/>
  <c r="Q271" i="5"/>
  <c r="P271" i="5"/>
  <c r="L271" i="5"/>
  <c r="N271" i="5" s="1"/>
  <c r="K271" i="5"/>
  <c r="M271" i="5" s="1"/>
  <c r="Y271" i="5"/>
  <c r="Q270" i="5"/>
  <c r="P270" i="5"/>
  <c r="L270" i="5"/>
  <c r="N270" i="5" s="1"/>
  <c r="K270" i="5"/>
  <c r="M270" i="5" s="1"/>
  <c r="Q269" i="5"/>
  <c r="P269" i="5"/>
  <c r="L269" i="5"/>
  <c r="N269" i="5" s="1"/>
  <c r="K269" i="5"/>
  <c r="M269" i="5" s="1"/>
  <c r="Y268" i="5"/>
  <c r="Q268" i="5"/>
  <c r="P268" i="5"/>
  <c r="L268" i="5"/>
  <c r="N268" i="5" s="1"/>
  <c r="K268" i="5"/>
  <c r="M268" i="5" s="1"/>
  <c r="Q267" i="5"/>
  <c r="P267" i="5"/>
  <c r="L267" i="5"/>
  <c r="N267" i="5" s="1"/>
  <c r="K267" i="5"/>
  <c r="M267" i="5" s="1"/>
  <c r="Y266" i="5"/>
  <c r="Q266" i="5"/>
  <c r="P266" i="5"/>
  <c r="L266" i="5"/>
  <c r="N266" i="5" s="1"/>
  <c r="K266" i="5"/>
  <c r="M266" i="5" s="1"/>
  <c r="Q265" i="5"/>
  <c r="P265" i="5"/>
  <c r="L265" i="5"/>
  <c r="N265" i="5" s="1"/>
  <c r="K265" i="5"/>
  <c r="M265" i="5" s="1"/>
  <c r="Y264" i="5"/>
  <c r="Q264" i="5"/>
  <c r="P264" i="5"/>
  <c r="L264" i="5"/>
  <c r="N264" i="5" s="1"/>
  <c r="K264" i="5"/>
  <c r="M264" i="5" s="1"/>
  <c r="Y263" i="5"/>
  <c r="Q263" i="5"/>
  <c r="P263" i="5"/>
  <c r="L263" i="5"/>
  <c r="N263" i="5" s="1"/>
  <c r="K263" i="5"/>
  <c r="M263" i="5" s="1"/>
  <c r="Q262" i="5"/>
  <c r="P262" i="5"/>
  <c r="L262" i="5"/>
  <c r="N262" i="5" s="1"/>
  <c r="K262" i="5"/>
  <c r="M262" i="5" s="1"/>
  <c r="Q261" i="5"/>
  <c r="P261" i="5"/>
  <c r="L261" i="5"/>
  <c r="N261" i="5" s="1"/>
  <c r="K261" i="5"/>
  <c r="M261" i="5" s="1"/>
  <c r="Y260" i="5"/>
  <c r="Q260" i="5"/>
  <c r="P260" i="5"/>
  <c r="L260" i="5"/>
  <c r="N260" i="5" s="1"/>
  <c r="K260" i="5"/>
  <c r="M260" i="5" s="1"/>
  <c r="Q259" i="5"/>
  <c r="P259" i="5"/>
  <c r="L259" i="5"/>
  <c r="N259" i="5" s="1"/>
  <c r="K259" i="5"/>
  <c r="M259" i="5" s="1"/>
  <c r="Y259" i="5"/>
  <c r="Y258" i="5"/>
  <c r="Q258" i="5"/>
  <c r="P258" i="5"/>
  <c r="L258" i="5"/>
  <c r="N258" i="5" s="1"/>
  <c r="K258" i="5"/>
  <c r="M258" i="5" s="1"/>
  <c r="Y257" i="5"/>
  <c r="Q257" i="5"/>
  <c r="P257" i="5"/>
  <c r="L257" i="5"/>
  <c r="N257" i="5" s="1"/>
  <c r="K257" i="5"/>
  <c r="M257" i="5" s="1"/>
  <c r="Q256" i="5"/>
  <c r="P256" i="5"/>
  <c r="L256" i="5"/>
  <c r="N256" i="5" s="1"/>
  <c r="K256" i="5"/>
  <c r="M256" i="5" s="1"/>
  <c r="Q255" i="5"/>
  <c r="P255" i="5"/>
  <c r="L255" i="5"/>
  <c r="N255" i="5" s="1"/>
  <c r="K255" i="5"/>
  <c r="M255" i="5" s="1"/>
  <c r="Y255" i="5"/>
  <c r="Y254" i="5"/>
  <c r="Q254" i="5"/>
  <c r="P254" i="5"/>
  <c r="L254" i="5"/>
  <c r="N254" i="5" s="1"/>
  <c r="K254" i="5"/>
  <c r="M254" i="5" s="1"/>
  <c r="Y253" i="5"/>
  <c r="Q253" i="5"/>
  <c r="P253" i="5"/>
  <c r="L253" i="5"/>
  <c r="N253" i="5" s="1"/>
  <c r="K253" i="5"/>
  <c r="M253" i="5" s="1"/>
  <c r="Y252" i="5"/>
  <c r="Q252" i="5"/>
  <c r="P252" i="5"/>
  <c r="L252" i="5"/>
  <c r="N252" i="5" s="1"/>
  <c r="K252" i="5"/>
  <c r="M252" i="5" s="1"/>
  <c r="Q251" i="5"/>
  <c r="P251" i="5"/>
  <c r="L251" i="5"/>
  <c r="N251" i="5" s="1"/>
  <c r="K251" i="5"/>
  <c r="M251" i="5" s="1"/>
  <c r="Q250" i="5"/>
  <c r="P250" i="5"/>
  <c r="L250" i="5"/>
  <c r="N250" i="5" s="1"/>
  <c r="K250" i="5"/>
  <c r="M250" i="5" s="1"/>
  <c r="Q249" i="5"/>
  <c r="P249" i="5"/>
  <c r="L249" i="5"/>
  <c r="N249" i="5" s="1"/>
  <c r="K249" i="5"/>
  <c r="M249" i="5" s="1"/>
  <c r="Y248" i="5"/>
  <c r="Q248" i="5"/>
  <c r="P248" i="5"/>
  <c r="L248" i="5"/>
  <c r="N248" i="5" s="1"/>
  <c r="K248" i="5"/>
  <c r="M248" i="5" s="1"/>
  <c r="Y247" i="5"/>
  <c r="Q247" i="5"/>
  <c r="P247" i="5"/>
  <c r="L247" i="5"/>
  <c r="N247" i="5" s="1"/>
  <c r="K247" i="5"/>
  <c r="M247" i="5" s="1"/>
  <c r="Q246" i="5"/>
  <c r="P246" i="5"/>
  <c r="L246" i="5"/>
  <c r="N246" i="5" s="1"/>
  <c r="K246" i="5"/>
  <c r="M246" i="5" s="1"/>
  <c r="Y246" i="5"/>
  <c r="Q245" i="5"/>
  <c r="P245" i="5"/>
  <c r="L245" i="5"/>
  <c r="N245" i="5" s="1"/>
  <c r="K245" i="5"/>
  <c r="M245" i="5" s="1"/>
  <c r="Y245" i="5"/>
  <c r="Y244" i="5"/>
  <c r="Q244" i="5"/>
  <c r="P244" i="5"/>
  <c r="L244" i="5"/>
  <c r="N244" i="5" s="1"/>
  <c r="K244" i="5"/>
  <c r="M244" i="5" s="1"/>
  <c r="Y243" i="5"/>
  <c r="Q243" i="5"/>
  <c r="P243" i="5"/>
  <c r="L243" i="5"/>
  <c r="N243" i="5" s="1"/>
  <c r="K243" i="5"/>
  <c r="M243" i="5" s="1"/>
  <c r="Q242" i="5"/>
  <c r="P242" i="5"/>
  <c r="L242" i="5"/>
  <c r="N242" i="5" s="1"/>
  <c r="K242" i="5"/>
  <c r="M242" i="5" s="1"/>
  <c r="Y242" i="5"/>
  <c r="Y241" i="5"/>
  <c r="Q241" i="5"/>
  <c r="P241" i="5"/>
  <c r="L241" i="5"/>
  <c r="N241" i="5" s="1"/>
  <c r="K241" i="5"/>
  <c r="M241" i="5" s="1"/>
  <c r="Y240" i="5"/>
  <c r="Q240" i="5"/>
  <c r="P240" i="5"/>
  <c r="L240" i="5"/>
  <c r="N240" i="5" s="1"/>
  <c r="K240" i="5"/>
  <c r="M240" i="5" s="1"/>
  <c r="Q239" i="5"/>
  <c r="P239" i="5"/>
  <c r="L239" i="5"/>
  <c r="N239" i="5" s="1"/>
  <c r="K239" i="5"/>
  <c r="M239" i="5" s="1"/>
  <c r="Y238" i="5"/>
  <c r="Q238" i="5"/>
  <c r="P238" i="5"/>
  <c r="L238" i="5"/>
  <c r="N238" i="5" s="1"/>
  <c r="K238" i="5"/>
  <c r="M238" i="5" s="1"/>
  <c r="Y237" i="5"/>
  <c r="Q237" i="5"/>
  <c r="P237" i="5"/>
  <c r="L237" i="5"/>
  <c r="N237" i="5" s="1"/>
  <c r="K237" i="5"/>
  <c r="M237" i="5" s="1"/>
  <c r="Q236" i="5"/>
  <c r="P236" i="5"/>
  <c r="L236" i="5"/>
  <c r="N236" i="5" s="1"/>
  <c r="K236" i="5"/>
  <c r="M236" i="5" s="1"/>
  <c r="Q235" i="5"/>
  <c r="P235" i="5"/>
  <c r="L235" i="5"/>
  <c r="N235" i="5" s="1"/>
  <c r="K235" i="5"/>
  <c r="M235" i="5" s="1"/>
  <c r="Q234" i="5"/>
  <c r="P234" i="5"/>
  <c r="L234" i="5"/>
  <c r="N234" i="5" s="1"/>
  <c r="K234" i="5"/>
  <c r="M234" i="5" s="1"/>
  <c r="Q233" i="5"/>
  <c r="P233" i="5"/>
  <c r="L233" i="5"/>
  <c r="N233" i="5" s="1"/>
  <c r="K233" i="5"/>
  <c r="M233" i="5" s="1"/>
  <c r="Y233" i="5"/>
  <c r="Q232" i="5"/>
  <c r="P232" i="5"/>
  <c r="L232" i="5"/>
  <c r="N232" i="5" s="1"/>
  <c r="K232" i="5"/>
  <c r="M232" i="5" s="1"/>
  <c r="Y232" i="5"/>
  <c r="Y231" i="5"/>
  <c r="Q231" i="5"/>
  <c r="P231" i="5"/>
  <c r="L231" i="5"/>
  <c r="N231" i="5" s="1"/>
  <c r="K231" i="5"/>
  <c r="M231" i="5" s="1"/>
  <c r="Q230" i="5"/>
  <c r="P230" i="5"/>
  <c r="L230" i="5"/>
  <c r="N230" i="5" s="1"/>
  <c r="K230" i="5"/>
  <c r="M230" i="5" s="1"/>
  <c r="Y229" i="5"/>
  <c r="Q229" i="5"/>
  <c r="P229" i="5"/>
  <c r="L229" i="5"/>
  <c r="N229" i="5" s="1"/>
  <c r="K229" i="5"/>
  <c r="M229" i="5" s="1"/>
  <c r="Q228" i="5"/>
  <c r="P228" i="5"/>
  <c r="L228" i="5"/>
  <c r="N228" i="5" s="1"/>
  <c r="K228" i="5"/>
  <c r="M228" i="5" s="1"/>
  <c r="Q227" i="5"/>
  <c r="P227" i="5"/>
  <c r="L227" i="5"/>
  <c r="N227" i="5" s="1"/>
  <c r="K227" i="5"/>
  <c r="M227" i="5" s="1"/>
  <c r="Y227" i="5"/>
  <c r="Q226" i="5"/>
  <c r="P226" i="5"/>
  <c r="L226" i="5"/>
  <c r="N226" i="5" s="1"/>
  <c r="K226" i="5"/>
  <c r="M226" i="5" s="1"/>
  <c r="Y225" i="5"/>
  <c r="Q225" i="5"/>
  <c r="P225" i="5"/>
  <c r="L225" i="5"/>
  <c r="N225" i="5" s="1"/>
  <c r="K225" i="5"/>
  <c r="M225" i="5" s="1"/>
  <c r="Q224" i="5"/>
  <c r="P224" i="5"/>
  <c r="L224" i="5"/>
  <c r="N224" i="5" s="1"/>
  <c r="K224" i="5"/>
  <c r="M224" i="5" s="1"/>
  <c r="Q223" i="5"/>
  <c r="P223" i="5"/>
  <c r="L223" i="5"/>
  <c r="N223" i="5" s="1"/>
  <c r="K223" i="5"/>
  <c r="M223" i="5" s="1"/>
  <c r="Y222" i="5"/>
  <c r="Q222" i="5"/>
  <c r="P222" i="5"/>
  <c r="L222" i="5"/>
  <c r="N222" i="5" s="1"/>
  <c r="K222" i="5"/>
  <c r="M222" i="5" s="1"/>
  <c r="Q221" i="5"/>
  <c r="P221" i="5"/>
  <c r="L221" i="5"/>
  <c r="N221" i="5" s="1"/>
  <c r="K221" i="5"/>
  <c r="M221" i="5" s="1"/>
  <c r="Q220" i="5"/>
  <c r="P220" i="5"/>
  <c r="L220" i="5"/>
  <c r="N220" i="5" s="1"/>
  <c r="K220" i="5"/>
  <c r="M220" i="5" s="1"/>
  <c r="Y220" i="5"/>
  <c r="Q219" i="5"/>
  <c r="P219" i="5"/>
  <c r="L219" i="5"/>
  <c r="N219" i="5" s="1"/>
  <c r="K219" i="5"/>
  <c r="M219" i="5" s="1"/>
  <c r="Y219" i="5"/>
  <c r="Y218" i="5"/>
  <c r="Q218" i="5"/>
  <c r="P218" i="5"/>
  <c r="L218" i="5"/>
  <c r="N218" i="5" s="1"/>
  <c r="K218" i="5"/>
  <c r="M218" i="5" s="1"/>
  <c r="Q217" i="5"/>
  <c r="P217" i="5"/>
  <c r="L217" i="5"/>
  <c r="N217" i="5" s="1"/>
  <c r="K217" i="5"/>
  <c r="M217" i="5" s="1"/>
  <c r="Y217" i="5"/>
  <c r="Q216" i="5"/>
  <c r="P216" i="5"/>
  <c r="L216" i="5"/>
  <c r="N216" i="5" s="1"/>
  <c r="K216" i="5"/>
  <c r="M216" i="5" s="1"/>
  <c r="Q215" i="5"/>
  <c r="P215" i="5"/>
  <c r="L215" i="5"/>
  <c r="N215" i="5" s="1"/>
  <c r="K215" i="5"/>
  <c r="M215" i="5" s="1"/>
  <c r="Q214" i="5"/>
  <c r="P214" i="5"/>
  <c r="L214" i="5"/>
  <c r="N214" i="5" s="1"/>
  <c r="K214" i="5"/>
  <c r="M214" i="5" s="1"/>
  <c r="Y214" i="5"/>
  <c r="Q213" i="5"/>
  <c r="P213" i="5"/>
  <c r="L213" i="5"/>
  <c r="N213" i="5" s="1"/>
  <c r="K213" i="5"/>
  <c r="M213" i="5" s="1"/>
  <c r="Q212" i="5"/>
  <c r="P212" i="5"/>
  <c r="L212" i="5"/>
  <c r="N212" i="5" s="1"/>
  <c r="K212" i="5"/>
  <c r="M212" i="5" s="1"/>
  <c r="Q211" i="5"/>
  <c r="P211" i="5"/>
  <c r="L211" i="5"/>
  <c r="N211" i="5" s="1"/>
  <c r="K211" i="5"/>
  <c r="M211" i="5" s="1"/>
  <c r="T830" i="4"/>
  <c r="S830" i="4"/>
  <c r="H830" i="4"/>
  <c r="S827" i="4"/>
  <c r="T827" i="4" s="1"/>
  <c r="H827" i="4"/>
  <c r="Z821" i="4"/>
  <c r="S820" i="4"/>
  <c r="U820" i="4" s="1"/>
  <c r="R820" i="4"/>
  <c r="Q820" i="4"/>
  <c r="M820" i="4"/>
  <c r="L820" i="4"/>
  <c r="H820" i="4"/>
  <c r="H824" i="4" s="1"/>
  <c r="Z819" i="4"/>
  <c r="S819" i="4"/>
  <c r="U819" i="4" s="1"/>
  <c r="R819" i="4"/>
  <c r="Q819" i="4"/>
  <c r="N819" i="4"/>
  <c r="M819" i="4"/>
  <c r="O819" i="4" s="1"/>
  <c r="L819" i="4"/>
  <c r="K819" i="4"/>
  <c r="Z818" i="4"/>
  <c r="R818" i="4"/>
  <c r="Q818" i="4"/>
  <c r="S818" i="4" s="1"/>
  <c r="M818" i="4"/>
  <c r="O818" i="4" s="1"/>
  <c r="L818" i="4"/>
  <c r="N818" i="4" s="1"/>
  <c r="K818" i="4"/>
  <c r="Z814" i="4"/>
  <c r="S814" i="4"/>
  <c r="U814" i="4" s="1"/>
  <c r="R814" i="4"/>
  <c r="Q814" i="4"/>
  <c r="N814" i="4"/>
  <c r="M814" i="4"/>
  <c r="O814" i="4" s="1"/>
  <c r="L814" i="4"/>
  <c r="K814" i="4"/>
  <c r="Z813" i="4"/>
  <c r="R813" i="4"/>
  <c r="Q813" i="4"/>
  <c r="S813" i="4" s="1"/>
  <c r="M813" i="4"/>
  <c r="O813" i="4" s="1"/>
  <c r="L813" i="4"/>
  <c r="N813" i="4" s="1"/>
  <c r="K813" i="4"/>
  <c r="Z812" i="4"/>
  <c r="R812" i="4"/>
  <c r="Q812" i="4"/>
  <c r="S812" i="4" s="1"/>
  <c r="O812" i="4"/>
  <c r="M812" i="4"/>
  <c r="L812" i="4"/>
  <c r="N812" i="4" s="1"/>
  <c r="K812" i="4"/>
  <c r="Z811" i="4"/>
  <c r="T811" i="4"/>
  <c r="S811" i="4"/>
  <c r="U811" i="4" s="1"/>
  <c r="R811" i="4"/>
  <c r="Q811" i="4"/>
  <c r="O811" i="4"/>
  <c r="N811" i="4"/>
  <c r="M811" i="4"/>
  <c r="L811" i="4"/>
  <c r="K811" i="4"/>
  <c r="Z810" i="4"/>
  <c r="S810" i="4"/>
  <c r="U810" i="4" s="1"/>
  <c r="R810" i="4"/>
  <c r="Q810" i="4"/>
  <c r="N810" i="4"/>
  <c r="M810" i="4"/>
  <c r="O810" i="4" s="1"/>
  <c r="L810" i="4"/>
  <c r="K810" i="4"/>
  <c r="Z809" i="4"/>
  <c r="S808" i="4"/>
  <c r="U808" i="4" s="1"/>
  <c r="R808" i="4"/>
  <c r="Q808" i="4"/>
  <c r="M808" i="4"/>
  <c r="L808" i="4"/>
  <c r="H808" i="4"/>
  <c r="O808" i="4" s="1"/>
  <c r="Z807" i="4"/>
  <c r="T806" i="4"/>
  <c r="S806" i="4"/>
  <c r="U806" i="4" s="1"/>
  <c r="R806" i="4"/>
  <c r="Q806" i="4"/>
  <c r="O806" i="4"/>
  <c r="N806" i="4"/>
  <c r="M806" i="4"/>
  <c r="L806" i="4"/>
  <c r="K806" i="4"/>
  <c r="H806" i="4"/>
  <c r="Z806" i="4" s="1"/>
  <c r="Z805" i="4"/>
  <c r="R804" i="4"/>
  <c r="Q804" i="4"/>
  <c r="S804" i="4" s="1"/>
  <c r="O804" i="4"/>
  <c r="M804" i="4"/>
  <c r="L804" i="4"/>
  <c r="N804" i="4" s="1"/>
  <c r="K804" i="4"/>
  <c r="H804" i="4"/>
  <c r="Z804" i="4" s="1"/>
  <c r="Z803" i="4"/>
  <c r="Z802" i="4"/>
  <c r="R802" i="4"/>
  <c r="Q802" i="4"/>
  <c r="S802" i="4" s="1"/>
  <c r="M802" i="4"/>
  <c r="O802" i="4" s="1"/>
  <c r="O816" i="4" s="1"/>
  <c r="L802" i="4"/>
  <c r="N802" i="4" s="1"/>
  <c r="K802" i="4"/>
  <c r="H802" i="4"/>
  <c r="Z798" i="4"/>
  <c r="T798" i="4"/>
  <c r="S798" i="4"/>
  <c r="U798" i="4" s="1"/>
  <c r="R798" i="4"/>
  <c r="Q798" i="4"/>
  <c r="O798" i="4"/>
  <c r="N798" i="4"/>
  <c r="M798" i="4"/>
  <c r="L798" i="4"/>
  <c r="K798" i="4"/>
  <c r="Z797" i="4"/>
  <c r="S797" i="4"/>
  <c r="U797" i="4" s="1"/>
  <c r="R797" i="4"/>
  <c r="Q797" i="4"/>
  <c r="N797" i="4"/>
  <c r="M797" i="4"/>
  <c r="O797" i="4" s="1"/>
  <c r="L797" i="4"/>
  <c r="K797" i="4"/>
  <c r="Z796" i="4"/>
  <c r="R796" i="4"/>
  <c r="Q796" i="4"/>
  <c r="S796" i="4" s="1"/>
  <c r="M796" i="4"/>
  <c r="O796" i="4" s="1"/>
  <c r="L796" i="4"/>
  <c r="N796" i="4" s="1"/>
  <c r="K796" i="4"/>
  <c r="Z795" i="4"/>
  <c r="Z794" i="4"/>
  <c r="S793" i="4"/>
  <c r="U793" i="4" s="1"/>
  <c r="R793" i="4"/>
  <c r="Q793" i="4"/>
  <c r="M793" i="4"/>
  <c r="L793" i="4"/>
  <c r="H793" i="4"/>
  <c r="N793" i="4" s="1"/>
  <c r="Z792" i="4"/>
  <c r="Z791" i="4"/>
  <c r="R790" i="4"/>
  <c r="Q790" i="4"/>
  <c r="S790" i="4" s="1"/>
  <c r="O790" i="4"/>
  <c r="M790" i="4"/>
  <c r="L790" i="4"/>
  <c r="K790" i="4"/>
  <c r="H790" i="4"/>
  <c r="N790" i="4" s="1"/>
  <c r="Z789" i="4"/>
  <c r="Z788" i="4"/>
  <c r="R788" i="4"/>
  <c r="Q788" i="4"/>
  <c r="S788" i="4" s="1"/>
  <c r="M788" i="4"/>
  <c r="L788" i="4"/>
  <c r="H788" i="4"/>
  <c r="O788" i="4" s="1"/>
  <c r="Z787" i="4"/>
  <c r="R787" i="4"/>
  <c r="Q787" i="4"/>
  <c r="S787" i="4" s="1"/>
  <c r="M787" i="4"/>
  <c r="O787" i="4" s="1"/>
  <c r="L787" i="4"/>
  <c r="N787" i="4" s="1"/>
  <c r="K787" i="4"/>
  <c r="Z786" i="4"/>
  <c r="Z785" i="4"/>
  <c r="R785" i="4"/>
  <c r="Q785" i="4"/>
  <c r="S785" i="4" s="1"/>
  <c r="M785" i="4"/>
  <c r="L785" i="4"/>
  <c r="H785" i="4"/>
  <c r="O785" i="4" s="1"/>
  <c r="Z784" i="4"/>
  <c r="S783" i="4"/>
  <c r="U783" i="4" s="1"/>
  <c r="R783" i="4"/>
  <c r="Q783" i="4"/>
  <c r="M783" i="4"/>
  <c r="L783" i="4"/>
  <c r="H783" i="4"/>
  <c r="N783" i="4" s="1"/>
  <c r="Z782" i="4"/>
  <c r="Z781" i="4"/>
  <c r="Z780" i="4"/>
  <c r="Z779" i="4"/>
  <c r="R779" i="4"/>
  <c r="Q779" i="4"/>
  <c r="S779" i="4" s="1"/>
  <c r="M779" i="4"/>
  <c r="L779" i="4"/>
  <c r="H779" i="4"/>
  <c r="K779" i="4" s="1"/>
  <c r="Z775" i="4"/>
  <c r="R774" i="4"/>
  <c r="Q774" i="4"/>
  <c r="S774" i="4" s="1"/>
  <c r="O774" i="4"/>
  <c r="M774" i="4"/>
  <c r="L774" i="4"/>
  <c r="K774" i="4"/>
  <c r="H774" i="4"/>
  <c r="N774" i="4" s="1"/>
  <c r="Z773" i="4"/>
  <c r="Z772" i="4"/>
  <c r="S771" i="4"/>
  <c r="U771" i="4" s="1"/>
  <c r="R771" i="4"/>
  <c r="Q771" i="4"/>
  <c r="M771" i="4"/>
  <c r="L771" i="4"/>
  <c r="H771" i="4"/>
  <c r="N771" i="4" s="1"/>
  <c r="Z770" i="4"/>
  <c r="Z769" i="4"/>
  <c r="Z768" i="4"/>
  <c r="R768" i="4"/>
  <c r="Q768" i="4"/>
  <c r="S768" i="4" s="1"/>
  <c r="O768" i="4"/>
  <c r="M768" i="4"/>
  <c r="L768" i="4"/>
  <c r="N768" i="4" s="1"/>
  <c r="K768" i="4"/>
  <c r="H768" i="4"/>
  <c r="Z767" i="4"/>
  <c r="Z766" i="4"/>
  <c r="R766" i="4"/>
  <c r="Q766" i="4"/>
  <c r="S766" i="4" s="1"/>
  <c r="M766" i="4"/>
  <c r="L766" i="4"/>
  <c r="H766" i="4"/>
  <c r="O766" i="4" s="1"/>
  <c r="Z765" i="4"/>
  <c r="R765" i="4"/>
  <c r="Q765" i="4"/>
  <c r="S765" i="4" s="1"/>
  <c r="M765" i="4"/>
  <c r="O765" i="4" s="1"/>
  <c r="L765" i="4"/>
  <c r="N765" i="4" s="1"/>
  <c r="K765" i="4"/>
  <c r="Z764" i="4"/>
  <c r="Z763" i="4"/>
  <c r="R763" i="4"/>
  <c r="Q763" i="4"/>
  <c r="S763" i="4" s="1"/>
  <c r="M763" i="4"/>
  <c r="L763" i="4"/>
  <c r="H763" i="4"/>
  <c r="O763" i="4" s="1"/>
  <c r="Z762" i="4"/>
  <c r="S761" i="4"/>
  <c r="U761" i="4" s="1"/>
  <c r="R761" i="4"/>
  <c r="Q761" i="4"/>
  <c r="M761" i="4"/>
  <c r="L761" i="4"/>
  <c r="H761" i="4"/>
  <c r="N761" i="4" s="1"/>
  <c r="Z760" i="4"/>
  <c r="Z759" i="4"/>
  <c r="Z758" i="4"/>
  <c r="R758" i="4"/>
  <c r="Q758" i="4"/>
  <c r="S758" i="4" s="1"/>
  <c r="O758" i="4"/>
  <c r="M758" i="4"/>
  <c r="L758" i="4"/>
  <c r="K758" i="4"/>
  <c r="H758" i="4"/>
  <c r="N758" i="4" s="1"/>
  <c r="Z757" i="4"/>
  <c r="R757" i="4"/>
  <c r="Q757" i="4"/>
  <c r="S757" i="4" s="1"/>
  <c r="O757" i="4"/>
  <c r="M757" i="4"/>
  <c r="L757" i="4"/>
  <c r="N757" i="4" s="1"/>
  <c r="K757" i="4"/>
  <c r="Z753" i="4"/>
  <c r="R753" i="4"/>
  <c r="Q753" i="4"/>
  <c r="S753" i="4" s="1"/>
  <c r="M753" i="4"/>
  <c r="O753" i="4" s="1"/>
  <c r="L753" i="4"/>
  <c r="N753" i="4" s="1"/>
  <c r="K753" i="4"/>
  <c r="Z752" i="4"/>
  <c r="R752" i="4"/>
  <c r="Q752" i="4"/>
  <c r="S752" i="4" s="1"/>
  <c r="O752" i="4"/>
  <c r="M752" i="4"/>
  <c r="L752" i="4"/>
  <c r="N752" i="4" s="1"/>
  <c r="K752" i="4"/>
  <c r="Z751" i="4"/>
  <c r="Z750" i="4"/>
  <c r="Z749" i="4"/>
  <c r="S748" i="4"/>
  <c r="U748" i="4" s="1"/>
  <c r="R748" i="4"/>
  <c r="Q748" i="4"/>
  <c r="M748" i="4"/>
  <c r="L748" i="4"/>
  <c r="H748" i="4"/>
  <c r="O748" i="4" s="1"/>
  <c r="Z747" i="4"/>
  <c r="S747" i="4"/>
  <c r="U747" i="4" s="1"/>
  <c r="R747" i="4"/>
  <c r="Q747" i="4"/>
  <c r="N747" i="4"/>
  <c r="M747" i="4"/>
  <c r="O747" i="4" s="1"/>
  <c r="L747" i="4"/>
  <c r="K747" i="4"/>
  <c r="Z746" i="4"/>
  <c r="S745" i="4"/>
  <c r="U745" i="4" s="1"/>
  <c r="R745" i="4"/>
  <c r="Q745" i="4"/>
  <c r="N745" i="4"/>
  <c r="M745" i="4"/>
  <c r="L745" i="4"/>
  <c r="H745" i="4"/>
  <c r="O745" i="4" s="1"/>
  <c r="Z744" i="4"/>
  <c r="Z743" i="4"/>
  <c r="R742" i="4"/>
  <c r="Q742" i="4"/>
  <c r="S742" i="4" s="1"/>
  <c r="O742" i="4"/>
  <c r="M742" i="4"/>
  <c r="L742" i="4"/>
  <c r="K742" i="4"/>
  <c r="H742" i="4"/>
  <c r="N742" i="4" s="1"/>
  <c r="Z741" i="4"/>
  <c r="R741" i="4"/>
  <c r="Q741" i="4"/>
  <c r="S741" i="4" s="1"/>
  <c r="O741" i="4"/>
  <c r="M741" i="4"/>
  <c r="L741" i="4"/>
  <c r="N741" i="4" s="1"/>
  <c r="K741" i="4"/>
  <c r="Z740" i="4"/>
  <c r="Z739" i="4"/>
  <c r="R739" i="4"/>
  <c r="Q739" i="4"/>
  <c r="S739" i="4" s="1"/>
  <c r="O739" i="4"/>
  <c r="M739" i="4"/>
  <c r="L739" i="4"/>
  <c r="K739" i="4"/>
  <c r="H739" i="4"/>
  <c r="N739" i="4" s="1"/>
  <c r="Z738" i="4"/>
  <c r="Z737" i="4"/>
  <c r="R737" i="4"/>
  <c r="Q737" i="4"/>
  <c r="S737" i="4" s="1"/>
  <c r="M737" i="4"/>
  <c r="L737" i="4"/>
  <c r="H737" i="4"/>
  <c r="K737" i="4" s="1"/>
  <c r="Z736" i="4"/>
  <c r="R736" i="4"/>
  <c r="Q736" i="4"/>
  <c r="S736" i="4" s="1"/>
  <c r="M736" i="4"/>
  <c r="O736" i="4" s="1"/>
  <c r="L736" i="4"/>
  <c r="N736" i="4" s="1"/>
  <c r="K736" i="4"/>
  <c r="Z735" i="4"/>
  <c r="Z734" i="4"/>
  <c r="S733" i="4"/>
  <c r="U733" i="4" s="1"/>
  <c r="R733" i="4"/>
  <c r="Q733" i="4"/>
  <c r="M733" i="4"/>
  <c r="L733" i="4"/>
  <c r="H733" i="4"/>
  <c r="Z733" i="4" s="1"/>
  <c r="Z732" i="4"/>
  <c r="S732" i="4"/>
  <c r="S755" i="4" s="1"/>
  <c r="R732" i="4"/>
  <c r="Q732" i="4"/>
  <c r="N732" i="4"/>
  <c r="M732" i="4"/>
  <c r="O732" i="4" s="1"/>
  <c r="L732" i="4"/>
  <c r="K732" i="4"/>
  <c r="Z728" i="4"/>
  <c r="Z727" i="4"/>
  <c r="T726" i="4"/>
  <c r="S726" i="4"/>
  <c r="U726" i="4" s="1"/>
  <c r="R726" i="4"/>
  <c r="Q726" i="4"/>
  <c r="O726" i="4"/>
  <c r="M726" i="4"/>
  <c r="L726" i="4"/>
  <c r="K726" i="4"/>
  <c r="H726" i="4"/>
  <c r="N726" i="4" s="1"/>
  <c r="Z725" i="4"/>
  <c r="T725" i="4"/>
  <c r="S725" i="4"/>
  <c r="U725" i="4" s="1"/>
  <c r="R725" i="4"/>
  <c r="Q725" i="4"/>
  <c r="O725" i="4"/>
  <c r="N725" i="4"/>
  <c r="M725" i="4"/>
  <c r="L725" i="4"/>
  <c r="K725" i="4"/>
  <c r="Z724" i="4"/>
  <c r="T723" i="4"/>
  <c r="S723" i="4"/>
  <c r="U723" i="4" s="1"/>
  <c r="R723" i="4"/>
  <c r="Q723" i="4"/>
  <c r="O723" i="4"/>
  <c r="M723" i="4"/>
  <c r="L723" i="4"/>
  <c r="K723" i="4"/>
  <c r="H723" i="4"/>
  <c r="N723" i="4" s="1"/>
  <c r="Z722" i="4"/>
  <c r="T722" i="4"/>
  <c r="S722" i="4"/>
  <c r="U722" i="4" s="1"/>
  <c r="R722" i="4"/>
  <c r="Q722" i="4"/>
  <c r="O722" i="4"/>
  <c r="N722" i="4"/>
  <c r="M722" i="4"/>
  <c r="L722" i="4"/>
  <c r="K722" i="4"/>
  <c r="Z721" i="4"/>
  <c r="T720" i="4"/>
  <c r="S720" i="4"/>
  <c r="U720" i="4" s="1"/>
  <c r="R720" i="4"/>
  <c r="Q720" i="4"/>
  <c r="O720" i="4"/>
  <c r="M720" i="4"/>
  <c r="L720" i="4"/>
  <c r="K720" i="4"/>
  <c r="H720" i="4"/>
  <c r="N720" i="4" s="1"/>
  <c r="Z719" i="4"/>
  <c r="T719" i="4"/>
  <c r="S719" i="4"/>
  <c r="U719" i="4" s="1"/>
  <c r="R719" i="4"/>
  <c r="Q719" i="4"/>
  <c r="O719" i="4"/>
  <c r="N719" i="4"/>
  <c r="M719" i="4"/>
  <c r="L719" i="4"/>
  <c r="K719" i="4"/>
  <c r="Z718" i="4"/>
  <c r="Z717" i="4"/>
  <c r="Z716" i="4"/>
  <c r="Z715" i="4"/>
  <c r="R715" i="4"/>
  <c r="Q715" i="4"/>
  <c r="S715" i="4" s="1"/>
  <c r="M715" i="4"/>
  <c r="L715" i="4"/>
  <c r="H715" i="4"/>
  <c r="O715" i="4" s="1"/>
  <c r="Z714" i="4"/>
  <c r="S713" i="4"/>
  <c r="U713" i="4" s="1"/>
  <c r="R713" i="4"/>
  <c r="Q713" i="4"/>
  <c r="M713" i="4"/>
  <c r="L713" i="4"/>
  <c r="H713" i="4"/>
  <c r="Z713" i="4" s="1"/>
  <c r="Z712" i="4"/>
  <c r="S712" i="4"/>
  <c r="U712" i="4" s="1"/>
  <c r="R712" i="4"/>
  <c r="Q712" i="4"/>
  <c r="N712" i="4"/>
  <c r="M712" i="4"/>
  <c r="O712" i="4" s="1"/>
  <c r="L712" i="4"/>
  <c r="K712" i="4"/>
  <c r="Z711" i="4"/>
  <c r="R711" i="4"/>
  <c r="Q711" i="4"/>
  <c r="S711" i="4" s="1"/>
  <c r="M711" i="4"/>
  <c r="O711" i="4" s="1"/>
  <c r="L711" i="4"/>
  <c r="N711" i="4" s="1"/>
  <c r="K711" i="4"/>
  <c r="Z707" i="4"/>
  <c r="T706" i="4"/>
  <c r="S706" i="4"/>
  <c r="U706" i="4" s="1"/>
  <c r="R706" i="4"/>
  <c r="Q706" i="4"/>
  <c r="O706" i="4"/>
  <c r="M706" i="4"/>
  <c r="L706" i="4"/>
  <c r="K706" i="4"/>
  <c r="H706" i="4"/>
  <c r="N706" i="4" s="1"/>
  <c r="Z705" i="4"/>
  <c r="T705" i="4"/>
  <c r="S705" i="4"/>
  <c r="U705" i="4" s="1"/>
  <c r="R705" i="4"/>
  <c r="Q705" i="4"/>
  <c r="O705" i="4"/>
  <c r="N705" i="4"/>
  <c r="M705" i="4"/>
  <c r="L705" i="4"/>
  <c r="K705" i="4"/>
  <c r="Z704" i="4"/>
  <c r="T703" i="4"/>
  <c r="S703" i="4"/>
  <c r="U703" i="4" s="1"/>
  <c r="R703" i="4"/>
  <c r="Q703" i="4"/>
  <c r="O703" i="4"/>
  <c r="M703" i="4"/>
  <c r="L703" i="4"/>
  <c r="K703" i="4"/>
  <c r="H703" i="4"/>
  <c r="N703" i="4" s="1"/>
  <c r="Z702" i="4"/>
  <c r="Z701" i="4"/>
  <c r="Z700" i="4"/>
  <c r="R700" i="4"/>
  <c r="Q700" i="4"/>
  <c r="S700" i="4" s="1"/>
  <c r="M700" i="4"/>
  <c r="O700" i="4" s="1"/>
  <c r="L700" i="4"/>
  <c r="K700" i="4"/>
  <c r="H700" i="4"/>
  <c r="N700" i="4" s="1"/>
  <c r="Z699" i="4"/>
  <c r="R699" i="4"/>
  <c r="Q699" i="4"/>
  <c r="S699" i="4" s="1"/>
  <c r="M699" i="4"/>
  <c r="O699" i="4" s="1"/>
  <c r="L699" i="4"/>
  <c r="N699" i="4" s="1"/>
  <c r="K699" i="4"/>
  <c r="Z698" i="4"/>
  <c r="Z697" i="4"/>
  <c r="S696" i="4"/>
  <c r="U696" i="4" s="1"/>
  <c r="R696" i="4"/>
  <c r="Q696" i="4"/>
  <c r="M696" i="4"/>
  <c r="L696" i="4"/>
  <c r="H696" i="4"/>
  <c r="Z696" i="4" s="1"/>
  <c r="Z695" i="4"/>
  <c r="Z694" i="4"/>
  <c r="R693" i="4"/>
  <c r="Q693" i="4"/>
  <c r="S693" i="4" s="1"/>
  <c r="O693" i="4"/>
  <c r="M693" i="4"/>
  <c r="L693" i="4"/>
  <c r="K693" i="4"/>
  <c r="H693" i="4"/>
  <c r="N693" i="4" s="1"/>
  <c r="Z692" i="4"/>
  <c r="Z691" i="4"/>
  <c r="S690" i="4"/>
  <c r="U690" i="4" s="1"/>
  <c r="R690" i="4"/>
  <c r="Q690" i="4"/>
  <c r="M690" i="4"/>
  <c r="L690" i="4"/>
  <c r="H690" i="4"/>
  <c r="O690" i="4" s="1"/>
  <c r="Z689" i="4"/>
  <c r="T688" i="4"/>
  <c r="S688" i="4"/>
  <c r="U688" i="4" s="1"/>
  <c r="R688" i="4"/>
  <c r="Q688" i="4"/>
  <c r="O688" i="4"/>
  <c r="M688" i="4"/>
  <c r="L688" i="4"/>
  <c r="K688" i="4"/>
  <c r="H688" i="4"/>
  <c r="N688" i="4" s="1"/>
  <c r="Z684" i="4"/>
  <c r="S683" i="4"/>
  <c r="U683" i="4" s="1"/>
  <c r="R683" i="4"/>
  <c r="Q683" i="4"/>
  <c r="N683" i="4"/>
  <c r="M683" i="4"/>
  <c r="L683" i="4"/>
  <c r="H683" i="4"/>
  <c r="O683" i="4" s="1"/>
  <c r="Z682" i="4"/>
  <c r="T681" i="4"/>
  <c r="S681" i="4"/>
  <c r="U681" i="4" s="1"/>
  <c r="R681" i="4"/>
  <c r="Q681" i="4"/>
  <c r="O681" i="4"/>
  <c r="M681" i="4"/>
  <c r="L681" i="4"/>
  <c r="K681" i="4"/>
  <c r="H681" i="4"/>
  <c r="N681" i="4" s="1"/>
  <c r="Z680" i="4"/>
  <c r="R679" i="4"/>
  <c r="Q679" i="4"/>
  <c r="S679" i="4" s="1"/>
  <c r="O679" i="4"/>
  <c r="M679" i="4"/>
  <c r="L679" i="4"/>
  <c r="K679" i="4"/>
  <c r="H679" i="4"/>
  <c r="N679" i="4" s="1"/>
  <c r="Z678" i="4"/>
  <c r="R678" i="4"/>
  <c r="Q678" i="4"/>
  <c r="S678" i="4" s="1"/>
  <c r="O678" i="4"/>
  <c r="M678" i="4"/>
  <c r="L678" i="4"/>
  <c r="N678" i="4" s="1"/>
  <c r="K678" i="4"/>
  <c r="Z677" i="4"/>
  <c r="R676" i="4"/>
  <c r="Q676" i="4"/>
  <c r="S676" i="4" s="1"/>
  <c r="O676" i="4"/>
  <c r="M676" i="4"/>
  <c r="L676" i="4"/>
  <c r="K676" i="4"/>
  <c r="H676" i="4"/>
  <c r="N676" i="4" s="1"/>
  <c r="Z675" i="4"/>
  <c r="Z674" i="4"/>
  <c r="R674" i="4"/>
  <c r="Q674" i="4"/>
  <c r="S674" i="4" s="1"/>
  <c r="M674" i="4"/>
  <c r="L674" i="4"/>
  <c r="H674" i="4"/>
  <c r="O674" i="4" s="1"/>
  <c r="Z673" i="4"/>
  <c r="R673" i="4"/>
  <c r="Q673" i="4"/>
  <c r="S673" i="4" s="1"/>
  <c r="M673" i="4"/>
  <c r="O673" i="4" s="1"/>
  <c r="L673" i="4"/>
  <c r="N673" i="4" s="1"/>
  <c r="K673" i="4"/>
  <c r="Z672" i="4"/>
  <c r="Z671" i="4"/>
  <c r="R671" i="4"/>
  <c r="Q671" i="4"/>
  <c r="S671" i="4" s="1"/>
  <c r="M671" i="4"/>
  <c r="L671" i="4"/>
  <c r="H671" i="4"/>
  <c r="O671" i="4" s="1"/>
  <c r="Z670" i="4"/>
  <c r="Z669" i="4"/>
  <c r="Z668" i="4"/>
  <c r="R667" i="4"/>
  <c r="Q667" i="4"/>
  <c r="S667" i="4" s="1"/>
  <c r="O667" i="4"/>
  <c r="M667" i="4"/>
  <c r="L667" i="4"/>
  <c r="N667" i="4" s="1"/>
  <c r="K667" i="4"/>
  <c r="H667" i="4"/>
  <c r="H686" i="4" s="1"/>
  <c r="Z666" i="4"/>
  <c r="R666" i="4"/>
  <c r="Q666" i="4"/>
  <c r="S666" i="4" s="1"/>
  <c r="O666" i="4"/>
  <c r="M666" i="4"/>
  <c r="L666" i="4"/>
  <c r="N666" i="4" s="1"/>
  <c r="K666" i="4"/>
  <c r="Z661" i="4"/>
  <c r="R660" i="4"/>
  <c r="Q660" i="4"/>
  <c r="S660" i="4" s="1"/>
  <c r="O660" i="4"/>
  <c r="M660" i="4"/>
  <c r="L660" i="4"/>
  <c r="K660" i="4"/>
  <c r="H660" i="4"/>
  <c r="N660" i="4" s="1"/>
  <c r="Z659" i="4"/>
  <c r="R659" i="4"/>
  <c r="Q659" i="4"/>
  <c r="S659" i="4" s="1"/>
  <c r="O659" i="4"/>
  <c r="M659" i="4"/>
  <c r="L659" i="4"/>
  <c r="N659" i="4" s="1"/>
  <c r="K659" i="4"/>
  <c r="Z658" i="4"/>
  <c r="Z657" i="4"/>
  <c r="U657" i="4"/>
  <c r="R657" i="4"/>
  <c r="Q657" i="4"/>
  <c r="S657" i="4" s="1"/>
  <c r="T657" i="4" s="1"/>
  <c r="O657" i="4"/>
  <c r="M657" i="4"/>
  <c r="L657" i="4"/>
  <c r="K657" i="4"/>
  <c r="H657" i="4"/>
  <c r="N657" i="4" s="1"/>
  <c r="Z656" i="4"/>
  <c r="R656" i="4"/>
  <c r="Q656" i="4"/>
  <c r="S656" i="4" s="1"/>
  <c r="O656" i="4"/>
  <c r="M656" i="4"/>
  <c r="L656" i="4"/>
  <c r="N656" i="4" s="1"/>
  <c r="K656" i="4"/>
  <c r="Z655" i="4"/>
  <c r="Z654" i="4"/>
  <c r="Z653" i="4"/>
  <c r="R653" i="4"/>
  <c r="Q653" i="4"/>
  <c r="S653" i="4" s="1"/>
  <c r="M653" i="4"/>
  <c r="L653" i="4"/>
  <c r="H653" i="4"/>
  <c r="O653" i="4" s="1"/>
  <c r="Z652" i="4"/>
  <c r="Z651" i="4"/>
  <c r="T650" i="4"/>
  <c r="S650" i="4"/>
  <c r="U650" i="4" s="1"/>
  <c r="R650" i="4"/>
  <c r="Q650" i="4"/>
  <c r="O650" i="4"/>
  <c r="M650" i="4"/>
  <c r="L650" i="4"/>
  <c r="K650" i="4"/>
  <c r="H650" i="4"/>
  <c r="H662" i="4" s="1"/>
  <c r="Z662" i="4" s="1"/>
  <c r="Z649" i="4"/>
  <c r="Z648" i="4"/>
  <c r="R648" i="4"/>
  <c r="Q648" i="4"/>
  <c r="S648" i="4" s="1"/>
  <c r="T648" i="4" s="1"/>
  <c r="O648" i="4"/>
  <c r="M648" i="4"/>
  <c r="L648" i="4"/>
  <c r="K648" i="4"/>
  <c r="H648" i="4"/>
  <c r="N648" i="4" s="1"/>
  <c r="Z647" i="4"/>
  <c r="R647" i="4"/>
  <c r="Q647" i="4"/>
  <c r="S647" i="4" s="1"/>
  <c r="T647" i="4" s="1"/>
  <c r="O647" i="4"/>
  <c r="M647" i="4"/>
  <c r="L647" i="4"/>
  <c r="N647" i="4" s="1"/>
  <c r="K647" i="4"/>
  <c r="Z646" i="4"/>
  <c r="Z645" i="4"/>
  <c r="Z644" i="4"/>
  <c r="R644" i="4"/>
  <c r="Q644" i="4"/>
  <c r="M644" i="4"/>
  <c r="L644" i="4"/>
  <c r="H644" i="4"/>
  <c r="K644" i="4" s="1"/>
  <c r="Z640" i="4"/>
  <c r="T640" i="4"/>
  <c r="S640" i="4"/>
  <c r="U640" i="4" s="1"/>
  <c r="R640" i="4"/>
  <c r="Q640" i="4"/>
  <c r="O640" i="4"/>
  <c r="N640" i="4"/>
  <c r="M640" i="4"/>
  <c r="L640" i="4"/>
  <c r="K640" i="4"/>
  <c r="Z639" i="4"/>
  <c r="S639" i="4"/>
  <c r="R639" i="4"/>
  <c r="Q639" i="4"/>
  <c r="N639" i="4"/>
  <c r="M639" i="4"/>
  <c r="O639" i="4" s="1"/>
  <c r="L639" i="4"/>
  <c r="K639" i="4"/>
  <c r="Z638" i="4"/>
  <c r="R638" i="4"/>
  <c r="Q638" i="4"/>
  <c r="M638" i="4"/>
  <c r="O638" i="4" s="1"/>
  <c r="L638" i="4"/>
  <c r="N638" i="4" s="1"/>
  <c r="K638" i="4"/>
  <c r="Z637" i="4"/>
  <c r="Z636" i="4"/>
  <c r="S635" i="4"/>
  <c r="R635" i="4"/>
  <c r="Q635" i="4"/>
  <c r="M635" i="4"/>
  <c r="L635" i="4"/>
  <c r="H635" i="4"/>
  <c r="N635" i="4" s="1"/>
  <c r="Z634" i="4"/>
  <c r="T633" i="4"/>
  <c r="S633" i="4"/>
  <c r="U633" i="4" s="1"/>
  <c r="R633" i="4"/>
  <c r="Q633" i="4"/>
  <c r="O633" i="4"/>
  <c r="M633" i="4"/>
  <c r="L633" i="4"/>
  <c r="K633" i="4"/>
  <c r="H633" i="4"/>
  <c r="N633" i="4" s="1"/>
  <c r="Z632" i="4"/>
  <c r="R631" i="4"/>
  <c r="Q631" i="4"/>
  <c r="S631" i="4" s="1"/>
  <c r="T631" i="4" s="1"/>
  <c r="O631" i="4"/>
  <c r="M631" i="4"/>
  <c r="L631" i="4"/>
  <c r="K631" i="4"/>
  <c r="H631" i="4"/>
  <c r="Z630" i="4"/>
  <c r="Z629" i="4"/>
  <c r="S628" i="4"/>
  <c r="R628" i="4"/>
  <c r="Q628" i="4"/>
  <c r="N628" i="4"/>
  <c r="M628" i="4"/>
  <c r="L628" i="4"/>
  <c r="H628" i="4"/>
  <c r="Z627" i="4"/>
  <c r="Z626" i="4"/>
  <c r="Z625" i="4"/>
  <c r="U625" i="4"/>
  <c r="R625" i="4"/>
  <c r="Q625" i="4"/>
  <c r="S625" i="4" s="1"/>
  <c r="T625" i="4" s="1"/>
  <c r="O625" i="4"/>
  <c r="M625" i="4"/>
  <c r="L625" i="4"/>
  <c r="N625" i="4" s="1"/>
  <c r="K625" i="4"/>
  <c r="H625" i="4"/>
  <c r="Z624" i="4"/>
  <c r="Z623" i="4"/>
  <c r="Z622" i="4"/>
  <c r="T621" i="4"/>
  <c r="S621" i="4"/>
  <c r="U621" i="4" s="1"/>
  <c r="R621" i="4"/>
  <c r="Q621" i="4"/>
  <c r="O621" i="4"/>
  <c r="M621" i="4"/>
  <c r="L621" i="4"/>
  <c r="K621" i="4"/>
  <c r="H621" i="4"/>
  <c r="Z620" i="4"/>
  <c r="G411" i="3"/>
  <c r="R409" i="3"/>
  <c r="T409" i="3" s="1"/>
  <c r="Q409" i="3"/>
  <c r="P409" i="3"/>
  <c r="M409" i="3"/>
  <c r="L409" i="3"/>
  <c r="N409" i="3" s="1"/>
  <c r="K409" i="3"/>
  <c r="J409" i="3"/>
  <c r="Q408" i="3"/>
  <c r="P408" i="3"/>
  <c r="R408" i="3" s="1"/>
  <c r="N408" i="3"/>
  <c r="L408" i="3"/>
  <c r="K408" i="3"/>
  <c r="M408" i="3" s="1"/>
  <c r="J408" i="3"/>
  <c r="Q407" i="3"/>
  <c r="R407" i="3" s="1"/>
  <c r="P407" i="3"/>
  <c r="N407" i="3"/>
  <c r="M407" i="3"/>
  <c r="L407" i="3"/>
  <c r="K407" i="3"/>
  <c r="J407" i="3"/>
  <c r="Q406" i="3"/>
  <c r="P406" i="3"/>
  <c r="R406" i="3" s="1"/>
  <c r="L406" i="3"/>
  <c r="N406" i="3" s="1"/>
  <c r="K406" i="3"/>
  <c r="M406" i="3" s="1"/>
  <c r="J406" i="3"/>
  <c r="Q405" i="3"/>
  <c r="R405" i="3" s="1"/>
  <c r="P405" i="3"/>
  <c r="L405" i="3"/>
  <c r="N405" i="3" s="1"/>
  <c r="K405" i="3"/>
  <c r="M405" i="3" s="1"/>
  <c r="J405" i="3"/>
  <c r="Q404" i="3"/>
  <c r="P404" i="3"/>
  <c r="R404" i="3" s="1"/>
  <c r="L404" i="3"/>
  <c r="N404" i="3" s="1"/>
  <c r="N411" i="3" s="1"/>
  <c r="K404" i="3"/>
  <c r="M404" i="3" s="1"/>
  <c r="J404" i="3"/>
  <c r="G402" i="3"/>
  <c r="Q400" i="3"/>
  <c r="P400" i="3"/>
  <c r="R400" i="3" s="1"/>
  <c r="M400" i="3"/>
  <c r="L400" i="3"/>
  <c r="N400" i="3" s="1"/>
  <c r="K400" i="3"/>
  <c r="J400" i="3"/>
  <c r="Q399" i="3"/>
  <c r="P399" i="3"/>
  <c r="R399" i="3" s="1"/>
  <c r="M399" i="3"/>
  <c r="L399" i="3"/>
  <c r="N399" i="3" s="1"/>
  <c r="K399" i="3"/>
  <c r="J399" i="3"/>
  <c r="Q398" i="3"/>
  <c r="R398" i="3" s="1"/>
  <c r="P398" i="3"/>
  <c r="N398" i="3"/>
  <c r="M398" i="3"/>
  <c r="L398" i="3"/>
  <c r="K398" i="3"/>
  <c r="J398" i="3"/>
  <c r="Q397" i="3"/>
  <c r="P397" i="3"/>
  <c r="R397" i="3" s="1"/>
  <c r="L397" i="3"/>
  <c r="N397" i="3" s="1"/>
  <c r="K397" i="3"/>
  <c r="M397" i="3" s="1"/>
  <c r="M402" i="3" s="1"/>
  <c r="J397" i="3"/>
  <c r="G395" i="3"/>
  <c r="Q393" i="3"/>
  <c r="P393" i="3"/>
  <c r="R393" i="3" s="1"/>
  <c r="M393" i="3"/>
  <c r="L393" i="3"/>
  <c r="N393" i="3" s="1"/>
  <c r="K393" i="3"/>
  <c r="J393" i="3"/>
  <c r="Q392" i="3"/>
  <c r="P392" i="3"/>
  <c r="R392" i="3" s="1"/>
  <c r="M392" i="3"/>
  <c r="L392" i="3"/>
  <c r="N392" i="3" s="1"/>
  <c r="K392" i="3"/>
  <c r="J392" i="3"/>
  <c r="Q391" i="3"/>
  <c r="R391" i="3" s="1"/>
  <c r="P391" i="3"/>
  <c r="N391" i="3"/>
  <c r="L391" i="3"/>
  <c r="K391" i="3"/>
  <c r="M391" i="3" s="1"/>
  <c r="M395" i="3" s="1"/>
  <c r="J391" i="3"/>
  <c r="G389" i="3"/>
  <c r="Q387" i="3"/>
  <c r="P387" i="3"/>
  <c r="R387" i="3" s="1"/>
  <c r="M387" i="3"/>
  <c r="L387" i="3"/>
  <c r="N387" i="3" s="1"/>
  <c r="K387" i="3"/>
  <c r="J387" i="3"/>
  <c r="Q386" i="3"/>
  <c r="P386" i="3"/>
  <c r="R386" i="3" s="1"/>
  <c r="N386" i="3"/>
  <c r="N389" i="3" s="1"/>
  <c r="M386" i="3"/>
  <c r="M389" i="3" s="1"/>
  <c r="L386" i="3"/>
  <c r="K386" i="3"/>
  <c r="J386" i="3"/>
  <c r="G384" i="3"/>
  <c r="Q382" i="3"/>
  <c r="P382" i="3"/>
  <c r="R382" i="3" s="1"/>
  <c r="M382" i="3"/>
  <c r="L382" i="3"/>
  <c r="N382" i="3" s="1"/>
  <c r="K382" i="3"/>
  <c r="J382" i="3"/>
  <c r="Q381" i="3"/>
  <c r="P381" i="3"/>
  <c r="R381" i="3" s="1"/>
  <c r="M381" i="3"/>
  <c r="L381" i="3"/>
  <c r="N381" i="3" s="1"/>
  <c r="K381" i="3"/>
  <c r="J381" i="3"/>
  <c r="Q380" i="3"/>
  <c r="R380" i="3" s="1"/>
  <c r="P380" i="3"/>
  <c r="L380" i="3"/>
  <c r="N380" i="3" s="1"/>
  <c r="K380" i="3"/>
  <c r="M380" i="3" s="1"/>
  <c r="J380" i="3"/>
  <c r="Q379" i="3"/>
  <c r="R379" i="3" s="1"/>
  <c r="P379" i="3"/>
  <c r="N379" i="3"/>
  <c r="L379" i="3"/>
  <c r="K379" i="3"/>
  <c r="M379" i="3" s="1"/>
  <c r="J379" i="3"/>
  <c r="Q378" i="3"/>
  <c r="P378" i="3"/>
  <c r="R378" i="3" s="1"/>
  <c r="M378" i="3"/>
  <c r="M384" i="3" s="1"/>
  <c r="L378" i="3"/>
  <c r="N378" i="3" s="1"/>
  <c r="N384" i="3" s="1"/>
  <c r="K378" i="3"/>
  <c r="J378" i="3"/>
  <c r="G376" i="3"/>
  <c r="Q374" i="3"/>
  <c r="P374" i="3"/>
  <c r="R374" i="3" s="1"/>
  <c r="L374" i="3"/>
  <c r="N374" i="3" s="1"/>
  <c r="K374" i="3"/>
  <c r="M374" i="3" s="1"/>
  <c r="J374" i="3"/>
  <c r="Q373" i="3"/>
  <c r="P373" i="3"/>
  <c r="R373" i="3" s="1"/>
  <c r="M373" i="3"/>
  <c r="M376" i="3" s="1"/>
  <c r="L373" i="3"/>
  <c r="N373" i="3" s="1"/>
  <c r="K373" i="3"/>
  <c r="J373" i="3"/>
  <c r="G371" i="3"/>
  <c r="Q369" i="3"/>
  <c r="P369" i="3"/>
  <c r="R369" i="3" s="1"/>
  <c r="M369" i="3"/>
  <c r="L369" i="3"/>
  <c r="N369" i="3" s="1"/>
  <c r="K369" i="3"/>
  <c r="J369" i="3"/>
  <c r="Q368" i="3"/>
  <c r="P368" i="3"/>
  <c r="R368" i="3" s="1"/>
  <c r="N368" i="3"/>
  <c r="M368" i="3"/>
  <c r="L368" i="3"/>
  <c r="K368" i="3"/>
  <c r="J368" i="3"/>
  <c r="Q367" i="3"/>
  <c r="R367" i="3" s="1"/>
  <c r="P367" i="3"/>
  <c r="L367" i="3"/>
  <c r="N367" i="3" s="1"/>
  <c r="K367" i="3"/>
  <c r="M367" i="3" s="1"/>
  <c r="J367" i="3"/>
  <c r="Q366" i="3"/>
  <c r="P366" i="3"/>
  <c r="R366" i="3" s="1"/>
  <c r="L366" i="3"/>
  <c r="N366" i="3" s="1"/>
  <c r="K366" i="3"/>
  <c r="M366" i="3" s="1"/>
  <c r="J366" i="3"/>
  <c r="Q365" i="3"/>
  <c r="P365" i="3"/>
  <c r="R365" i="3" s="1"/>
  <c r="L365" i="3"/>
  <c r="N365" i="3" s="1"/>
  <c r="K365" i="3"/>
  <c r="M365" i="3" s="1"/>
  <c r="J365" i="3"/>
  <c r="G363" i="3"/>
  <c r="Q361" i="3"/>
  <c r="P361" i="3"/>
  <c r="R361" i="3" s="1"/>
  <c r="L361" i="3"/>
  <c r="N361" i="3" s="1"/>
  <c r="K361" i="3"/>
  <c r="M361" i="3" s="1"/>
  <c r="J361" i="3"/>
  <c r="Q360" i="3"/>
  <c r="P360" i="3"/>
  <c r="R360" i="3" s="1"/>
  <c r="N360" i="3"/>
  <c r="M360" i="3"/>
  <c r="L360" i="3"/>
  <c r="K360" i="3"/>
  <c r="J360" i="3"/>
  <c r="Q359" i="3"/>
  <c r="P359" i="3"/>
  <c r="R359" i="3" s="1"/>
  <c r="M359" i="3"/>
  <c r="L359" i="3"/>
  <c r="N359" i="3" s="1"/>
  <c r="K359" i="3"/>
  <c r="J359" i="3"/>
  <c r="Q358" i="3"/>
  <c r="P358" i="3"/>
  <c r="R358" i="3" s="1"/>
  <c r="L358" i="3"/>
  <c r="N358" i="3" s="1"/>
  <c r="K358" i="3"/>
  <c r="M358" i="3" s="1"/>
  <c r="J358" i="3"/>
  <c r="Q357" i="3"/>
  <c r="P357" i="3"/>
  <c r="R357" i="3" s="1"/>
  <c r="L357" i="3"/>
  <c r="N357" i="3" s="1"/>
  <c r="K357" i="3"/>
  <c r="M357" i="3" s="1"/>
  <c r="J357" i="3"/>
  <c r="Q356" i="3"/>
  <c r="R356" i="3" s="1"/>
  <c r="P356" i="3"/>
  <c r="L356" i="3"/>
  <c r="N356" i="3" s="1"/>
  <c r="N363" i="3" s="1"/>
  <c r="K356" i="3"/>
  <c r="M356" i="3" s="1"/>
  <c r="J356" i="3"/>
  <c r="G354" i="3"/>
  <c r="Q352" i="3"/>
  <c r="P352" i="3"/>
  <c r="R352" i="3" s="1"/>
  <c r="M352" i="3"/>
  <c r="L352" i="3"/>
  <c r="N352" i="3" s="1"/>
  <c r="K352" i="3"/>
  <c r="J352" i="3"/>
  <c r="Q351" i="3"/>
  <c r="P351" i="3"/>
  <c r="R351" i="3" s="1"/>
  <c r="N351" i="3"/>
  <c r="M351" i="3"/>
  <c r="L351" i="3"/>
  <c r="K351" i="3"/>
  <c r="J351" i="3"/>
  <c r="Q350" i="3"/>
  <c r="R350" i="3" s="1"/>
  <c r="P350" i="3"/>
  <c r="N350" i="3"/>
  <c r="L350" i="3"/>
  <c r="K350" i="3"/>
  <c r="M350" i="3" s="1"/>
  <c r="J350" i="3"/>
  <c r="Q349" i="3"/>
  <c r="R349" i="3" s="1"/>
  <c r="P349" i="3"/>
  <c r="L349" i="3"/>
  <c r="N349" i="3" s="1"/>
  <c r="K349" i="3"/>
  <c r="M349" i="3" s="1"/>
  <c r="J349" i="3"/>
  <c r="Q348" i="3"/>
  <c r="P348" i="3"/>
  <c r="R348" i="3" s="1"/>
  <c r="L348" i="3"/>
  <c r="N348" i="3" s="1"/>
  <c r="K348" i="3"/>
  <c r="M348" i="3" s="1"/>
  <c r="J348" i="3"/>
  <c r="G346" i="3"/>
  <c r="T344" i="3"/>
  <c r="R344" i="3"/>
  <c r="S344" i="3" s="1"/>
  <c r="Q344" i="3"/>
  <c r="P344" i="3"/>
  <c r="L344" i="3"/>
  <c r="N344" i="3" s="1"/>
  <c r="K344" i="3"/>
  <c r="M344" i="3" s="1"/>
  <c r="J344" i="3"/>
  <c r="Q343" i="3"/>
  <c r="P343" i="3"/>
  <c r="R343" i="3" s="1"/>
  <c r="M343" i="3"/>
  <c r="L343" i="3"/>
  <c r="N343" i="3" s="1"/>
  <c r="K343" i="3"/>
  <c r="J343" i="3"/>
  <c r="Q342" i="3"/>
  <c r="P342" i="3"/>
  <c r="R342" i="3" s="1"/>
  <c r="N342" i="3"/>
  <c r="M342" i="3"/>
  <c r="L342" i="3"/>
  <c r="K342" i="3"/>
  <c r="J342" i="3"/>
  <c r="Q341" i="3"/>
  <c r="P341" i="3"/>
  <c r="R341" i="3" s="1"/>
  <c r="L341" i="3"/>
  <c r="N341" i="3" s="1"/>
  <c r="N346" i="3" s="1"/>
  <c r="K341" i="3"/>
  <c r="M341" i="3" s="1"/>
  <c r="J341" i="3"/>
  <c r="G339" i="3"/>
  <c r="Q337" i="3"/>
  <c r="P337" i="3"/>
  <c r="R337" i="3" s="1"/>
  <c r="L337" i="3"/>
  <c r="N337" i="3" s="1"/>
  <c r="K337" i="3"/>
  <c r="M337" i="3" s="1"/>
  <c r="J337" i="3"/>
  <c r="Q336" i="3"/>
  <c r="P336" i="3"/>
  <c r="R336" i="3" s="1"/>
  <c r="N336" i="3"/>
  <c r="L336" i="3"/>
  <c r="K336" i="3"/>
  <c r="M336" i="3" s="1"/>
  <c r="J336" i="3"/>
  <c r="Q335" i="3"/>
  <c r="R335" i="3" s="1"/>
  <c r="P335" i="3"/>
  <c r="L335" i="3"/>
  <c r="N335" i="3" s="1"/>
  <c r="K335" i="3"/>
  <c r="M335" i="3" s="1"/>
  <c r="J335" i="3"/>
  <c r="G333" i="3"/>
  <c r="Q331" i="3"/>
  <c r="P331" i="3"/>
  <c r="R331" i="3" s="1"/>
  <c r="L331" i="3"/>
  <c r="N331" i="3" s="1"/>
  <c r="K331" i="3"/>
  <c r="M331" i="3" s="1"/>
  <c r="J331" i="3"/>
  <c r="Q330" i="3"/>
  <c r="P330" i="3"/>
  <c r="R330" i="3" s="1"/>
  <c r="N330" i="3"/>
  <c r="M330" i="3"/>
  <c r="L330" i="3"/>
  <c r="K330" i="3"/>
  <c r="J330" i="3"/>
  <c r="Q329" i="3"/>
  <c r="P329" i="3"/>
  <c r="R329" i="3" s="1"/>
  <c r="L329" i="3"/>
  <c r="N329" i="3" s="1"/>
  <c r="K329" i="3"/>
  <c r="M329" i="3" s="1"/>
  <c r="J329" i="3"/>
  <c r="Q328" i="3"/>
  <c r="P328" i="3"/>
  <c r="R328" i="3" s="1"/>
  <c r="M328" i="3"/>
  <c r="M333" i="3" s="1"/>
  <c r="L328" i="3"/>
  <c r="N328" i="3" s="1"/>
  <c r="K328" i="3"/>
  <c r="J328" i="3"/>
  <c r="Z244" i="2"/>
  <c r="Q244" i="2"/>
  <c r="P244" i="2"/>
  <c r="L244" i="2"/>
  <c r="N244" i="2" s="1"/>
  <c r="K244" i="2"/>
  <c r="M244" i="2" s="1"/>
  <c r="J244" i="2"/>
  <c r="Q243" i="2"/>
  <c r="P243" i="2"/>
  <c r="L243" i="2"/>
  <c r="N243" i="2" s="1"/>
  <c r="K243" i="2"/>
  <c r="M243" i="2" s="1"/>
  <c r="J243" i="2"/>
  <c r="Z242" i="2"/>
  <c r="Y242" i="2" s="1"/>
  <c r="Q242" i="2"/>
  <c r="P242" i="2"/>
  <c r="L242" i="2"/>
  <c r="N242" i="2" s="1"/>
  <c r="K242" i="2"/>
  <c r="M242" i="2" s="1"/>
  <c r="J242" i="2"/>
  <c r="Z241" i="2"/>
  <c r="Y241" i="2" s="1"/>
  <c r="Q241" i="2"/>
  <c r="P241" i="2"/>
  <c r="L241" i="2"/>
  <c r="N241" i="2" s="1"/>
  <c r="K241" i="2"/>
  <c r="M241" i="2" s="1"/>
  <c r="J241" i="2"/>
  <c r="Z240" i="2"/>
  <c r="Y240" i="2" s="1"/>
  <c r="Q240" i="2"/>
  <c r="P240" i="2"/>
  <c r="L240" i="2"/>
  <c r="N240" i="2" s="1"/>
  <c r="K240" i="2"/>
  <c r="M240" i="2" s="1"/>
  <c r="J240" i="2"/>
  <c r="Z239" i="2"/>
  <c r="Y239" i="2" s="1"/>
  <c r="Q239" i="2"/>
  <c r="P239" i="2"/>
  <c r="L239" i="2"/>
  <c r="N239" i="2" s="1"/>
  <c r="K239" i="2"/>
  <c r="M239" i="2" s="1"/>
  <c r="J239" i="2"/>
  <c r="Z238" i="2"/>
  <c r="Y238" i="2" s="1"/>
  <c r="Q238" i="2"/>
  <c r="P238" i="2"/>
  <c r="L238" i="2"/>
  <c r="N238" i="2" s="1"/>
  <c r="K238" i="2"/>
  <c r="M238" i="2" s="1"/>
  <c r="J238" i="2"/>
  <c r="Z237" i="2"/>
  <c r="Y237" i="2" s="1"/>
  <c r="Q237" i="2"/>
  <c r="P237" i="2"/>
  <c r="L237" i="2"/>
  <c r="N237" i="2" s="1"/>
  <c r="K237" i="2"/>
  <c r="M237" i="2" s="1"/>
  <c r="J237" i="2"/>
  <c r="Z236" i="2"/>
  <c r="Y236" i="2" s="1"/>
  <c r="Q236" i="2"/>
  <c r="P236" i="2"/>
  <c r="L236" i="2"/>
  <c r="N236" i="2" s="1"/>
  <c r="K236" i="2"/>
  <c r="M236" i="2" s="1"/>
  <c r="J236" i="2"/>
  <c r="Z235" i="2"/>
  <c r="Y235" i="2" s="1"/>
  <c r="Q235" i="2"/>
  <c r="P235" i="2"/>
  <c r="L235" i="2"/>
  <c r="N235" i="2" s="1"/>
  <c r="K235" i="2"/>
  <c r="M235" i="2" s="1"/>
  <c r="J235" i="2"/>
  <c r="Z234" i="2"/>
  <c r="Y234" i="2" s="1"/>
  <c r="Q234" i="2"/>
  <c r="P234" i="2"/>
  <c r="L234" i="2"/>
  <c r="N234" i="2" s="1"/>
  <c r="K234" i="2"/>
  <c r="M234" i="2" s="1"/>
  <c r="J234" i="2"/>
  <c r="Z233" i="2"/>
  <c r="Y233" i="2" s="1"/>
  <c r="Q233" i="2"/>
  <c r="P233" i="2"/>
  <c r="L233" i="2"/>
  <c r="N233" i="2" s="1"/>
  <c r="K233" i="2"/>
  <c r="M233" i="2" s="1"/>
  <c r="J233" i="2"/>
  <c r="Z232" i="2"/>
  <c r="Y232" i="2" s="1"/>
  <c r="Q232" i="2"/>
  <c r="P232" i="2"/>
  <c r="L232" i="2"/>
  <c r="N232" i="2" s="1"/>
  <c r="K232" i="2"/>
  <c r="M232" i="2" s="1"/>
  <c r="J232" i="2"/>
  <c r="Z231" i="2"/>
  <c r="Y231" i="2" s="1"/>
  <c r="Q231" i="2"/>
  <c r="P231" i="2"/>
  <c r="L231" i="2"/>
  <c r="N231" i="2" s="1"/>
  <c r="K231" i="2"/>
  <c r="M231" i="2" s="1"/>
  <c r="J231" i="2"/>
  <c r="Z230" i="2"/>
  <c r="Y230" i="2" s="1"/>
  <c r="Q230" i="2"/>
  <c r="P230" i="2"/>
  <c r="L230" i="2"/>
  <c r="N230" i="2" s="1"/>
  <c r="K230" i="2"/>
  <c r="M230" i="2" s="1"/>
  <c r="J230" i="2"/>
  <c r="Z229" i="2"/>
  <c r="Y229" i="2" s="1"/>
  <c r="Q229" i="2"/>
  <c r="P229" i="2"/>
  <c r="L229" i="2"/>
  <c r="N229" i="2" s="1"/>
  <c r="K229" i="2"/>
  <c r="M229" i="2" s="1"/>
  <c r="J229" i="2"/>
  <c r="Z228" i="2"/>
  <c r="Y228" i="2" s="1"/>
  <c r="Q228" i="2"/>
  <c r="P228" i="2"/>
  <c r="L228" i="2"/>
  <c r="N228" i="2" s="1"/>
  <c r="K228" i="2"/>
  <c r="M228" i="2" s="1"/>
  <c r="J228" i="2"/>
  <c r="Z227" i="2"/>
  <c r="Y227" i="2" s="1"/>
  <c r="Q227" i="2"/>
  <c r="P227" i="2"/>
  <c r="L227" i="2"/>
  <c r="N227" i="2" s="1"/>
  <c r="K227" i="2"/>
  <c r="M227" i="2" s="1"/>
  <c r="J227" i="2"/>
  <c r="Z226" i="2"/>
  <c r="Y226" i="2" s="1"/>
  <c r="Q226" i="2"/>
  <c r="P226" i="2"/>
  <c r="L226" i="2"/>
  <c r="N226" i="2" s="1"/>
  <c r="K226" i="2"/>
  <c r="M226" i="2" s="1"/>
  <c r="J226" i="2"/>
  <c r="Z225" i="2"/>
  <c r="Y225" i="2" s="1"/>
  <c r="Q225" i="2"/>
  <c r="P225" i="2"/>
  <c r="L225" i="2"/>
  <c r="N225" i="2" s="1"/>
  <c r="K225" i="2"/>
  <c r="M225" i="2" s="1"/>
  <c r="J225" i="2"/>
  <c r="Z224" i="2"/>
  <c r="Y224" i="2" s="1"/>
  <c r="Q224" i="2"/>
  <c r="P224" i="2"/>
  <c r="L224" i="2"/>
  <c r="N224" i="2" s="1"/>
  <c r="K224" i="2"/>
  <c r="M224" i="2" s="1"/>
  <c r="J224" i="2"/>
  <c r="Z223" i="2"/>
  <c r="Y223" i="2" s="1"/>
  <c r="Q223" i="2"/>
  <c r="P223" i="2"/>
  <c r="L223" i="2"/>
  <c r="N223" i="2" s="1"/>
  <c r="K223" i="2"/>
  <c r="M223" i="2" s="1"/>
  <c r="J223" i="2"/>
  <c r="Z222" i="2"/>
  <c r="Y222" i="2" s="1"/>
  <c r="Q222" i="2"/>
  <c r="P222" i="2"/>
  <c r="L222" i="2"/>
  <c r="N222" i="2" s="1"/>
  <c r="K222" i="2"/>
  <c r="M222" i="2" s="1"/>
  <c r="J222" i="2"/>
  <c r="Z221" i="2"/>
  <c r="Y221" i="2" s="1"/>
  <c r="Q221" i="2"/>
  <c r="P221" i="2"/>
  <c r="L221" i="2"/>
  <c r="N221" i="2" s="1"/>
  <c r="K221" i="2"/>
  <c r="M221" i="2" s="1"/>
  <c r="J221" i="2"/>
  <c r="Z220" i="2"/>
  <c r="Y220" i="2" s="1"/>
  <c r="Q220" i="2"/>
  <c r="P220" i="2"/>
  <c r="L220" i="2"/>
  <c r="N220" i="2" s="1"/>
  <c r="K220" i="2"/>
  <c r="M220" i="2" s="1"/>
  <c r="J220" i="2"/>
  <c r="Z219" i="2"/>
  <c r="Y219" i="2" s="1"/>
  <c r="Q219" i="2"/>
  <c r="P219" i="2"/>
  <c r="L219" i="2"/>
  <c r="N219" i="2" s="1"/>
  <c r="K219" i="2"/>
  <c r="M219" i="2" s="1"/>
  <c r="J219" i="2"/>
  <c r="Z218" i="2"/>
  <c r="Y218" i="2" s="1"/>
  <c r="Q218" i="2"/>
  <c r="P218" i="2"/>
  <c r="L218" i="2"/>
  <c r="N218" i="2" s="1"/>
  <c r="K218" i="2"/>
  <c r="M218" i="2" s="1"/>
  <c r="J218" i="2"/>
  <c r="Z217" i="2"/>
  <c r="Y217" i="2" s="1"/>
  <c r="Q217" i="2"/>
  <c r="P217" i="2"/>
  <c r="L217" i="2"/>
  <c r="N217" i="2" s="1"/>
  <c r="K217" i="2"/>
  <c r="M217" i="2" s="1"/>
  <c r="J217" i="2"/>
  <c r="Z216" i="2"/>
  <c r="Y216" i="2" s="1"/>
  <c r="Q216" i="2"/>
  <c r="P216" i="2"/>
  <c r="L216" i="2"/>
  <c r="N216" i="2" s="1"/>
  <c r="K216" i="2"/>
  <c r="M216" i="2" s="1"/>
  <c r="J216" i="2"/>
  <c r="Z215" i="2"/>
  <c r="Q215" i="2"/>
  <c r="P215" i="2"/>
  <c r="L215" i="2"/>
  <c r="N215" i="2" s="1"/>
  <c r="K215" i="2"/>
  <c r="M215" i="2" s="1"/>
  <c r="J215" i="2"/>
  <c r="Z214" i="2"/>
  <c r="Y214" i="2" s="1"/>
  <c r="Q214" i="2"/>
  <c r="P214" i="2"/>
  <c r="L214" i="2"/>
  <c r="N214" i="2" s="1"/>
  <c r="K214" i="2"/>
  <c r="M214" i="2" s="1"/>
  <c r="J214" i="2"/>
  <c r="Z213" i="2"/>
  <c r="Y213" i="2" s="1"/>
  <c r="Q213" i="2"/>
  <c r="P213" i="2"/>
  <c r="L213" i="2"/>
  <c r="N213" i="2" s="1"/>
  <c r="K213" i="2"/>
  <c r="M213" i="2" s="1"/>
  <c r="J213" i="2"/>
  <c r="Z212" i="2"/>
  <c r="Y212" i="2" s="1"/>
  <c r="Q212" i="2"/>
  <c r="P212" i="2"/>
  <c r="L212" i="2"/>
  <c r="N212" i="2" s="1"/>
  <c r="K212" i="2"/>
  <c r="M212" i="2" s="1"/>
  <c r="J212" i="2"/>
  <c r="Z211" i="2"/>
  <c r="Y211" i="2" s="1"/>
  <c r="Q211" i="2"/>
  <c r="P211" i="2"/>
  <c r="L211" i="2"/>
  <c r="N211" i="2" s="1"/>
  <c r="K211" i="2"/>
  <c r="M211" i="2" s="1"/>
  <c r="J211" i="2"/>
  <c r="Z210" i="2"/>
  <c r="Y210" i="2" s="1"/>
  <c r="Q210" i="2"/>
  <c r="P210" i="2"/>
  <c r="L210" i="2"/>
  <c r="N210" i="2" s="1"/>
  <c r="K210" i="2"/>
  <c r="M210" i="2" s="1"/>
  <c r="J210" i="2"/>
  <c r="Z209" i="2"/>
  <c r="Y209" i="2" s="1"/>
  <c r="Q209" i="2"/>
  <c r="P209" i="2"/>
  <c r="L209" i="2"/>
  <c r="N209" i="2" s="1"/>
  <c r="K209" i="2"/>
  <c r="M209" i="2" s="1"/>
  <c r="J209" i="2"/>
  <c r="Z208" i="2"/>
  <c r="Y208" i="2" s="1"/>
  <c r="Q208" i="2"/>
  <c r="P208" i="2"/>
  <c r="L208" i="2"/>
  <c r="N208" i="2" s="1"/>
  <c r="K208" i="2"/>
  <c r="M208" i="2" s="1"/>
  <c r="J208" i="2"/>
  <c r="Z207" i="2"/>
  <c r="Y207" i="2" s="1"/>
  <c r="Q207" i="2"/>
  <c r="P207" i="2"/>
  <c r="L207" i="2"/>
  <c r="N207" i="2" s="1"/>
  <c r="K207" i="2"/>
  <c r="M207" i="2" s="1"/>
  <c r="J207" i="2"/>
  <c r="Z206" i="2"/>
  <c r="Y206" i="2" s="1"/>
  <c r="Q206" i="2"/>
  <c r="P206" i="2"/>
  <c r="L206" i="2"/>
  <c r="N206" i="2" s="1"/>
  <c r="K206" i="2"/>
  <c r="M206" i="2" s="1"/>
  <c r="J206" i="2"/>
  <c r="Z205" i="2"/>
  <c r="Y205" i="2" s="1"/>
  <c r="Q205" i="2"/>
  <c r="P205" i="2"/>
  <c r="L205" i="2"/>
  <c r="N205" i="2" s="1"/>
  <c r="K205" i="2"/>
  <c r="M205" i="2" s="1"/>
  <c r="J205" i="2"/>
  <c r="Z204" i="2"/>
  <c r="Q204" i="2"/>
  <c r="P204" i="2"/>
  <c r="L204" i="2"/>
  <c r="N204" i="2" s="1"/>
  <c r="K204" i="2"/>
  <c r="M204" i="2" s="1"/>
  <c r="J204" i="2"/>
  <c r="Z203" i="2"/>
  <c r="Y203" i="2" s="1"/>
  <c r="Q203" i="2"/>
  <c r="P203" i="2"/>
  <c r="L203" i="2"/>
  <c r="N203" i="2" s="1"/>
  <c r="K203" i="2"/>
  <c r="M203" i="2" s="1"/>
  <c r="J203" i="2"/>
  <c r="Z202" i="2"/>
  <c r="Y202" i="2" s="1"/>
  <c r="Q202" i="2"/>
  <c r="P202" i="2"/>
  <c r="L202" i="2"/>
  <c r="N202" i="2" s="1"/>
  <c r="K202" i="2"/>
  <c r="M202" i="2" s="1"/>
  <c r="J202" i="2"/>
  <c r="Z201" i="2"/>
  <c r="Y201" i="2" s="1"/>
  <c r="Q201" i="2"/>
  <c r="P201" i="2"/>
  <c r="L201" i="2"/>
  <c r="N201" i="2" s="1"/>
  <c r="K201" i="2"/>
  <c r="M201" i="2" s="1"/>
  <c r="J201" i="2"/>
  <c r="Z200" i="2"/>
  <c r="Y200" i="2" s="1"/>
  <c r="Q200" i="2"/>
  <c r="P200" i="2"/>
  <c r="L200" i="2"/>
  <c r="N200" i="2" s="1"/>
  <c r="K200" i="2"/>
  <c r="M200" i="2" s="1"/>
  <c r="J200" i="2"/>
  <c r="Z199" i="2"/>
  <c r="Y199" i="2" s="1"/>
  <c r="Q199" i="2"/>
  <c r="P199" i="2"/>
  <c r="L199" i="2"/>
  <c r="N199" i="2" s="1"/>
  <c r="K199" i="2"/>
  <c r="M199" i="2" s="1"/>
  <c r="J199" i="2"/>
  <c r="Z198" i="2"/>
  <c r="Y198" i="2" s="1"/>
  <c r="Q198" i="2"/>
  <c r="P198" i="2"/>
  <c r="L198" i="2"/>
  <c r="N198" i="2" s="1"/>
  <c r="K198" i="2"/>
  <c r="M198" i="2" s="1"/>
  <c r="J198" i="2"/>
  <c r="Z197" i="2"/>
  <c r="Y197" i="2" s="1"/>
  <c r="Q197" i="2"/>
  <c r="P197" i="2"/>
  <c r="L197" i="2"/>
  <c r="N197" i="2" s="1"/>
  <c r="K197" i="2"/>
  <c r="M197" i="2" s="1"/>
  <c r="J197" i="2"/>
  <c r="Z196" i="2"/>
  <c r="Y196" i="2" s="1"/>
  <c r="Q196" i="2"/>
  <c r="P196" i="2"/>
  <c r="L196" i="2"/>
  <c r="N196" i="2" s="1"/>
  <c r="K196" i="2"/>
  <c r="M196" i="2" s="1"/>
  <c r="J196" i="2"/>
  <c r="Z195" i="2"/>
  <c r="Y195" i="2" s="1"/>
  <c r="Q195" i="2"/>
  <c r="P195" i="2"/>
  <c r="L195" i="2"/>
  <c r="N195" i="2" s="1"/>
  <c r="K195" i="2"/>
  <c r="M195" i="2" s="1"/>
  <c r="J195" i="2"/>
  <c r="Z194" i="2"/>
  <c r="Y194" i="2" s="1"/>
  <c r="Q194" i="2"/>
  <c r="P194" i="2"/>
  <c r="L194" i="2"/>
  <c r="N194" i="2" s="1"/>
  <c r="K194" i="2"/>
  <c r="M194" i="2" s="1"/>
  <c r="J194" i="2"/>
  <c r="Z193" i="2"/>
  <c r="Y193" i="2" s="1"/>
  <c r="Q193" i="2"/>
  <c r="P193" i="2"/>
  <c r="L193" i="2"/>
  <c r="N193" i="2" s="1"/>
  <c r="K193" i="2"/>
  <c r="M193" i="2" s="1"/>
  <c r="J193" i="2"/>
  <c r="Z192" i="2"/>
  <c r="Y192" i="2" s="1"/>
  <c r="Q192" i="2"/>
  <c r="P192" i="2"/>
  <c r="L192" i="2"/>
  <c r="N192" i="2" s="1"/>
  <c r="K192" i="2"/>
  <c r="M192" i="2" s="1"/>
  <c r="J192" i="2"/>
  <c r="Z191" i="2"/>
  <c r="Y191" i="2" s="1"/>
  <c r="Q191" i="2"/>
  <c r="P191" i="2"/>
  <c r="L191" i="2"/>
  <c r="N191" i="2" s="1"/>
  <c r="K191" i="2"/>
  <c r="M191" i="2" s="1"/>
  <c r="J191" i="2"/>
  <c r="Z190" i="2"/>
  <c r="Y190" i="2" s="1"/>
  <c r="Q190" i="2"/>
  <c r="P190" i="2"/>
  <c r="L190" i="2"/>
  <c r="N190" i="2" s="1"/>
  <c r="K190" i="2"/>
  <c r="M190" i="2" s="1"/>
  <c r="J190" i="2"/>
  <c r="Z189" i="2"/>
  <c r="Y189" i="2" s="1"/>
  <c r="Q189" i="2"/>
  <c r="P189" i="2"/>
  <c r="L189" i="2"/>
  <c r="N189" i="2" s="1"/>
  <c r="K189" i="2"/>
  <c r="M189" i="2" s="1"/>
  <c r="J189" i="2"/>
  <c r="Z188" i="2"/>
  <c r="Y188" i="2" s="1"/>
  <c r="Q188" i="2"/>
  <c r="P188" i="2"/>
  <c r="L188" i="2"/>
  <c r="N188" i="2" s="1"/>
  <c r="K188" i="2"/>
  <c r="M188" i="2" s="1"/>
  <c r="J188" i="2"/>
  <c r="Z187" i="2"/>
  <c r="Y187" i="2" s="1"/>
  <c r="Q187" i="2"/>
  <c r="P187" i="2"/>
  <c r="L187" i="2"/>
  <c r="N187" i="2" s="1"/>
  <c r="K187" i="2"/>
  <c r="M187" i="2" s="1"/>
  <c r="J187" i="2"/>
  <c r="Z186" i="2"/>
  <c r="Y186" i="2" s="1"/>
  <c r="Q186" i="2"/>
  <c r="P186" i="2"/>
  <c r="L186" i="2"/>
  <c r="N186" i="2" s="1"/>
  <c r="K186" i="2"/>
  <c r="M186" i="2" s="1"/>
  <c r="J186" i="2"/>
  <c r="Z185" i="2"/>
  <c r="Y185" i="2" s="1"/>
  <c r="Q185" i="2"/>
  <c r="P185" i="2"/>
  <c r="L185" i="2"/>
  <c r="N185" i="2" s="1"/>
  <c r="K185" i="2"/>
  <c r="M185" i="2" s="1"/>
  <c r="J185" i="2"/>
  <c r="Z184" i="2"/>
  <c r="Y184" i="2" s="1"/>
  <c r="Q184" i="2"/>
  <c r="P184" i="2"/>
  <c r="L184" i="2"/>
  <c r="N184" i="2" s="1"/>
  <c r="K184" i="2"/>
  <c r="M184" i="2" s="1"/>
  <c r="J184" i="2"/>
  <c r="Z183" i="2"/>
  <c r="Y183" i="2" s="1"/>
  <c r="Q183" i="2"/>
  <c r="P183" i="2"/>
  <c r="L183" i="2"/>
  <c r="N183" i="2" s="1"/>
  <c r="K183" i="2"/>
  <c r="M183" i="2" s="1"/>
  <c r="J183" i="2"/>
  <c r="Z182" i="2"/>
  <c r="Y182" i="2" s="1"/>
  <c r="Q182" i="2"/>
  <c r="P182" i="2"/>
  <c r="L182" i="2"/>
  <c r="N182" i="2" s="1"/>
  <c r="K182" i="2"/>
  <c r="M182" i="2" s="1"/>
  <c r="J182" i="2"/>
  <c r="Z181" i="2"/>
  <c r="Y181" i="2" s="1"/>
  <c r="Q181" i="2"/>
  <c r="P181" i="2"/>
  <c r="L181" i="2"/>
  <c r="N181" i="2" s="1"/>
  <c r="K181" i="2"/>
  <c r="M181" i="2" s="1"/>
  <c r="J181" i="2"/>
  <c r="Z180" i="2"/>
  <c r="Y180" i="2" s="1"/>
  <c r="Q180" i="2"/>
  <c r="P180" i="2"/>
  <c r="L180" i="2"/>
  <c r="N180" i="2" s="1"/>
  <c r="K180" i="2"/>
  <c r="M180" i="2" s="1"/>
  <c r="J180" i="2"/>
  <c r="Z179" i="2"/>
  <c r="Q179" i="2"/>
  <c r="P179" i="2"/>
  <c r="L179" i="2"/>
  <c r="N179" i="2" s="1"/>
  <c r="K179" i="2"/>
  <c r="M179" i="2" s="1"/>
  <c r="J179" i="2"/>
  <c r="Z178" i="2"/>
  <c r="Y178" i="2" s="1"/>
  <c r="Q178" i="2"/>
  <c r="P178" i="2"/>
  <c r="L178" i="2"/>
  <c r="N178" i="2" s="1"/>
  <c r="K178" i="2"/>
  <c r="M178" i="2" s="1"/>
  <c r="J178" i="2"/>
  <c r="Z177" i="2"/>
  <c r="Y177" i="2" s="1"/>
  <c r="Q177" i="2"/>
  <c r="P177" i="2"/>
  <c r="L177" i="2"/>
  <c r="N177" i="2" s="1"/>
  <c r="K177" i="2"/>
  <c r="M177" i="2" s="1"/>
  <c r="J177" i="2"/>
  <c r="Z176" i="2"/>
  <c r="Y176" i="2" s="1"/>
  <c r="Q176" i="2"/>
  <c r="P176" i="2"/>
  <c r="L176" i="2"/>
  <c r="N176" i="2" s="1"/>
  <c r="K176" i="2"/>
  <c r="M176" i="2" s="1"/>
  <c r="J176" i="2"/>
  <c r="Z175" i="2"/>
  <c r="Y175" i="2" s="1"/>
  <c r="Q175" i="2"/>
  <c r="P175" i="2"/>
  <c r="L175" i="2"/>
  <c r="N175" i="2" s="1"/>
  <c r="K175" i="2"/>
  <c r="M175" i="2" s="1"/>
  <c r="J175" i="2"/>
  <c r="Z174" i="2"/>
  <c r="Q174" i="2"/>
  <c r="P174" i="2"/>
  <c r="L174" i="2"/>
  <c r="N174" i="2" s="1"/>
  <c r="K174" i="2"/>
  <c r="M174" i="2" s="1"/>
  <c r="J174" i="2"/>
  <c r="Z173" i="2"/>
  <c r="Y173" i="2" s="1"/>
  <c r="Q173" i="2"/>
  <c r="P173" i="2"/>
  <c r="L173" i="2"/>
  <c r="N173" i="2" s="1"/>
  <c r="K173" i="2"/>
  <c r="M173" i="2" s="1"/>
  <c r="J173" i="2"/>
  <c r="Z172" i="2"/>
  <c r="Y172" i="2" s="1"/>
  <c r="Q172" i="2"/>
  <c r="P172" i="2"/>
  <c r="L172" i="2"/>
  <c r="N172" i="2" s="1"/>
  <c r="K172" i="2"/>
  <c r="M172" i="2" s="1"/>
  <c r="J172" i="2"/>
  <c r="Z171" i="2"/>
  <c r="Y171" i="2" s="1"/>
  <c r="Q171" i="2"/>
  <c r="P171" i="2"/>
  <c r="L171" i="2"/>
  <c r="N171" i="2" s="1"/>
  <c r="K171" i="2"/>
  <c r="M171" i="2" s="1"/>
  <c r="J171" i="2"/>
  <c r="Z170" i="2"/>
  <c r="Y170" i="2" s="1"/>
  <c r="Q170" i="2"/>
  <c r="P170" i="2"/>
  <c r="L170" i="2"/>
  <c r="N170" i="2" s="1"/>
  <c r="K170" i="2"/>
  <c r="M170" i="2" s="1"/>
  <c r="J170" i="2"/>
  <c r="Z169" i="2"/>
  <c r="Y169" i="2" s="1"/>
  <c r="Q169" i="2"/>
  <c r="P169" i="2"/>
  <c r="L169" i="2"/>
  <c r="N169" i="2" s="1"/>
  <c r="K169" i="2"/>
  <c r="M169" i="2" s="1"/>
  <c r="J169" i="2"/>
  <c r="Z168" i="2"/>
  <c r="Y168" i="2" s="1"/>
  <c r="Q168" i="2"/>
  <c r="P168" i="2"/>
  <c r="L168" i="2"/>
  <c r="N168" i="2" s="1"/>
  <c r="K168" i="2"/>
  <c r="M168" i="2" s="1"/>
  <c r="J168" i="2"/>
  <c r="Z167" i="2"/>
  <c r="Y167" i="2" s="1"/>
  <c r="Q167" i="2"/>
  <c r="P167" i="2"/>
  <c r="L167" i="2"/>
  <c r="N167" i="2" s="1"/>
  <c r="K167" i="2"/>
  <c r="M167" i="2" s="1"/>
  <c r="J167" i="2"/>
  <c r="Z166" i="2"/>
  <c r="Q166" i="2"/>
  <c r="P166" i="2"/>
  <c r="L166" i="2"/>
  <c r="N166" i="2" s="1"/>
  <c r="K166" i="2"/>
  <c r="M166" i="2" s="1"/>
  <c r="J166" i="2"/>
  <c r="Z165" i="2"/>
  <c r="Y165" i="2" s="1"/>
  <c r="Q165" i="2"/>
  <c r="P165" i="2"/>
  <c r="L165" i="2"/>
  <c r="N165" i="2" s="1"/>
  <c r="K165" i="2"/>
  <c r="M165" i="2" s="1"/>
  <c r="J165" i="2"/>
  <c r="Z164" i="2"/>
  <c r="Y164" i="2" s="1"/>
  <c r="Q164" i="2"/>
  <c r="P164" i="2"/>
  <c r="L164" i="2"/>
  <c r="N164" i="2" s="1"/>
  <c r="K164" i="2"/>
  <c r="M164" i="2" s="1"/>
  <c r="J164" i="2"/>
  <c r="Z163" i="2"/>
  <c r="Y163" i="2" s="1"/>
  <c r="Q163" i="2"/>
  <c r="P163" i="2"/>
  <c r="L163" i="2"/>
  <c r="N163" i="2" s="1"/>
  <c r="K163" i="2"/>
  <c r="M163" i="2" s="1"/>
  <c r="J163" i="2"/>
  <c r="Z162" i="2"/>
  <c r="Y162" i="2" s="1"/>
  <c r="Q162" i="2"/>
  <c r="P162" i="2"/>
  <c r="L162" i="2"/>
  <c r="N162" i="2" s="1"/>
  <c r="K162" i="2"/>
  <c r="M162" i="2" s="1"/>
  <c r="J162" i="2"/>
  <c r="Z161" i="2"/>
  <c r="Y161" i="2" s="1"/>
  <c r="Q161" i="2"/>
  <c r="P161" i="2"/>
  <c r="L161" i="2"/>
  <c r="N161" i="2" s="1"/>
  <c r="K161" i="2"/>
  <c r="M161" i="2" s="1"/>
  <c r="J161" i="2"/>
  <c r="Z160" i="2"/>
  <c r="Y160" i="2" s="1"/>
  <c r="Q160" i="2"/>
  <c r="P160" i="2"/>
  <c r="L160" i="2"/>
  <c r="N160" i="2" s="1"/>
  <c r="K160" i="2"/>
  <c r="M160" i="2" s="1"/>
  <c r="J160" i="2"/>
  <c r="Z159" i="2"/>
  <c r="Y159" i="2" s="1"/>
  <c r="Q159" i="2"/>
  <c r="P159" i="2"/>
  <c r="L159" i="2"/>
  <c r="N159" i="2" s="1"/>
  <c r="K159" i="2"/>
  <c r="M159" i="2" s="1"/>
  <c r="J159" i="2"/>
  <c r="Z158" i="2"/>
  <c r="Y158" i="2" s="1"/>
  <c r="Q158" i="2"/>
  <c r="P158" i="2"/>
  <c r="L158" i="2"/>
  <c r="N158" i="2" s="1"/>
  <c r="K158" i="2"/>
  <c r="M158" i="2" s="1"/>
  <c r="J158" i="2"/>
  <c r="Z157" i="2"/>
  <c r="Y157" i="2" s="1"/>
  <c r="Q157" i="2"/>
  <c r="P157" i="2"/>
  <c r="L157" i="2"/>
  <c r="N157" i="2" s="1"/>
  <c r="K157" i="2"/>
  <c r="M157" i="2" s="1"/>
  <c r="J157" i="2"/>
  <c r="Z156" i="2"/>
  <c r="Y156" i="2" s="1"/>
  <c r="Q156" i="2"/>
  <c r="P156" i="2"/>
  <c r="L156" i="2"/>
  <c r="N156" i="2" s="1"/>
  <c r="K156" i="2"/>
  <c r="M156" i="2" s="1"/>
  <c r="J156" i="2"/>
  <c r="Z155" i="2"/>
  <c r="Y155" i="2" s="1"/>
  <c r="Q155" i="2"/>
  <c r="P155" i="2"/>
  <c r="L155" i="2"/>
  <c r="N155" i="2" s="1"/>
  <c r="K155" i="2"/>
  <c r="M155" i="2" s="1"/>
  <c r="J155" i="2"/>
  <c r="Z154" i="2"/>
  <c r="Y154" i="2" s="1"/>
  <c r="Q154" i="2"/>
  <c r="P154" i="2"/>
  <c r="L154" i="2"/>
  <c r="N154" i="2" s="1"/>
  <c r="K154" i="2"/>
  <c r="M154" i="2" s="1"/>
  <c r="J154" i="2"/>
  <c r="Z153" i="2"/>
  <c r="Y153" i="2" s="1"/>
  <c r="Q153" i="2"/>
  <c r="P153" i="2"/>
  <c r="L153" i="2"/>
  <c r="N153" i="2" s="1"/>
  <c r="K153" i="2"/>
  <c r="M153" i="2" s="1"/>
  <c r="J153" i="2"/>
  <c r="Z152" i="2"/>
  <c r="Q152" i="2"/>
  <c r="P152" i="2"/>
  <c r="L152" i="2"/>
  <c r="N152" i="2" s="1"/>
  <c r="K152" i="2"/>
  <c r="M152" i="2" s="1"/>
  <c r="J152" i="2"/>
  <c r="Z151" i="2"/>
  <c r="Y151" i="2" s="1"/>
  <c r="Q151" i="2"/>
  <c r="P151" i="2"/>
  <c r="L151" i="2"/>
  <c r="N151" i="2" s="1"/>
  <c r="K151" i="2"/>
  <c r="M151" i="2" s="1"/>
  <c r="J151" i="2"/>
  <c r="Z150" i="2"/>
  <c r="Y150" i="2" s="1"/>
  <c r="Q150" i="2"/>
  <c r="P150" i="2"/>
  <c r="L150" i="2"/>
  <c r="N150" i="2" s="1"/>
  <c r="K150" i="2"/>
  <c r="M150" i="2" s="1"/>
  <c r="J150" i="2"/>
  <c r="Z149" i="2"/>
  <c r="Y149" i="2" s="1"/>
  <c r="Q149" i="2"/>
  <c r="P149" i="2"/>
  <c r="L149" i="2"/>
  <c r="N149" i="2" s="1"/>
  <c r="K149" i="2"/>
  <c r="M149" i="2" s="1"/>
  <c r="J149" i="2"/>
  <c r="Q148" i="2"/>
  <c r="P148" i="2"/>
  <c r="L148" i="2"/>
  <c r="K148" i="2"/>
  <c r="G148" i="2"/>
  <c r="R239" i="5" l="1"/>
  <c r="R251" i="5"/>
  <c r="R216" i="5"/>
  <c r="R246" i="5"/>
  <c r="R249" i="5"/>
  <c r="R261" i="5"/>
  <c r="R274" i="5"/>
  <c r="R231" i="5"/>
  <c r="R271" i="5"/>
  <c r="R238" i="5"/>
  <c r="R260" i="5"/>
  <c r="R214" i="5"/>
  <c r="R215" i="5"/>
  <c r="R225" i="5"/>
  <c r="R234" i="5"/>
  <c r="R235" i="5"/>
  <c r="R276" i="5"/>
  <c r="R229" i="5"/>
  <c r="R253" i="5"/>
  <c r="R218" i="5"/>
  <c r="T218" i="5" s="1"/>
  <c r="R211" i="5"/>
  <c r="R227" i="5"/>
  <c r="R264" i="5"/>
  <c r="R268" i="5"/>
  <c r="R226" i="5"/>
  <c r="R248" i="5"/>
  <c r="R270" i="5"/>
  <c r="R280" i="5"/>
  <c r="R212" i="5"/>
  <c r="R224" i="5"/>
  <c r="R250" i="5"/>
  <c r="R254" i="5"/>
  <c r="R273" i="5"/>
  <c r="R223" i="5"/>
  <c r="R233" i="5"/>
  <c r="R243" i="5"/>
  <c r="R258" i="5"/>
  <c r="R277" i="5"/>
  <c r="Z148" i="2"/>
  <c r="T148" i="2"/>
  <c r="S148" i="2"/>
  <c r="R234" i="2"/>
  <c r="T234" i="2" s="1"/>
  <c r="R231" i="2"/>
  <c r="T231" i="2" s="1"/>
  <c r="R150" i="2"/>
  <c r="T150" i="2" s="1"/>
  <c r="R154" i="2"/>
  <c r="T154" i="2" s="1"/>
  <c r="R184" i="2"/>
  <c r="T184" i="2" s="1"/>
  <c r="R244" i="2"/>
  <c r="T244" i="2" s="1"/>
  <c r="R181" i="2"/>
  <c r="T181" i="2" s="1"/>
  <c r="R185" i="2"/>
  <c r="T185" i="2" s="1"/>
  <c r="R218" i="2"/>
  <c r="T218" i="2" s="1"/>
  <c r="R225" i="2"/>
  <c r="T225" i="2" s="1"/>
  <c r="R179" i="2"/>
  <c r="T179" i="2" s="1"/>
  <c r="R176" i="2"/>
  <c r="T176" i="2" s="1"/>
  <c r="R182" i="2"/>
  <c r="S182" i="2" s="1"/>
  <c r="R153" i="2"/>
  <c r="T153" i="2" s="1"/>
  <c r="R157" i="2"/>
  <c r="T157" i="2" s="1"/>
  <c r="R205" i="2"/>
  <c r="T205" i="2" s="1"/>
  <c r="R230" i="2"/>
  <c r="S230" i="2" s="1"/>
  <c r="R235" i="2"/>
  <c r="S235" i="2" s="1"/>
  <c r="R239" i="2"/>
  <c r="T239" i="2" s="1"/>
  <c r="R243" i="2"/>
  <c r="T243" i="2" s="1"/>
  <c r="R165" i="2"/>
  <c r="S165" i="2" s="1"/>
  <c r="R190" i="2"/>
  <c r="T190" i="2" s="1"/>
  <c r="R195" i="2"/>
  <c r="T195" i="2" s="1"/>
  <c r="R203" i="2"/>
  <c r="T203" i="2" s="1"/>
  <c r="R216" i="2"/>
  <c r="S216" i="2" s="1"/>
  <c r="R220" i="2"/>
  <c r="T220" i="2" s="1"/>
  <c r="R151" i="2"/>
  <c r="T151" i="2" s="1"/>
  <c r="R189" i="2"/>
  <c r="T189" i="2" s="1"/>
  <c r="R232" i="2"/>
  <c r="T232" i="2" s="1"/>
  <c r="R226" i="2"/>
  <c r="T226" i="2" s="1"/>
  <c r="R149" i="2"/>
  <c r="T149" i="2" s="1"/>
  <c r="R163" i="2"/>
  <c r="T163" i="2" s="1"/>
  <c r="R180" i="2"/>
  <c r="T180" i="2" s="1"/>
  <c r="R202" i="2"/>
  <c r="T202" i="2" s="1"/>
  <c r="R224" i="2"/>
  <c r="S224" i="2" s="1"/>
  <c r="R168" i="2"/>
  <c r="S168" i="2" s="1"/>
  <c r="R173" i="2"/>
  <c r="S173" i="2" s="1"/>
  <c r="R197" i="2"/>
  <c r="T197" i="2" s="1"/>
  <c r="R201" i="2"/>
  <c r="S201" i="2" s="1"/>
  <c r="R210" i="2"/>
  <c r="S210" i="2" s="1"/>
  <c r="R223" i="2"/>
  <c r="T223" i="2" s="1"/>
  <c r="R156" i="2"/>
  <c r="S156" i="2" s="1"/>
  <c r="R191" i="2"/>
  <c r="T191" i="2" s="1"/>
  <c r="R237" i="2"/>
  <c r="T237" i="2" s="1"/>
  <c r="R177" i="2"/>
  <c r="T177" i="2" s="1"/>
  <c r="R200" i="2"/>
  <c r="T200" i="2" s="1"/>
  <c r="R222" i="2"/>
  <c r="T222" i="2" s="1"/>
  <c r="R228" i="2"/>
  <c r="R241" i="2"/>
  <c r="S241" i="2" s="1"/>
  <c r="R240" i="2"/>
  <c r="S240" i="2" s="1"/>
  <c r="R164" i="2"/>
  <c r="T164" i="2" s="1"/>
  <c r="R209" i="2"/>
  <c r="T209" i="2" s="1"/>
  <c r="R238" i="2"/>
  <c r="T238" i="2" s="1"/>
  <c r="R160" i="2"/>
  <c r="T160" i="2" s="1"/>
  <c r="R162" i="2"/>
  <c r="T162" i="2" s="1"/>
  <c r="R170" i="2"/>
  <c r="S170" i="2" s="1"/>
  <c r="R183" i="2"/>
  <c r="R193" i="2"/>
  <c r="T193" i="2" s="1"/>
  <c r="R199" i="2"/>
  <c r="S199" i="2" s="1"/>
  <c r="R208" i="2"/>
  <c r="T208" i="2" s="1"/>
  <c r="R213" i="2"/>
  <c r="T213" i="2" s="1"/>
  <c r="R211" i="2"/>
  <c r="S211" i="2" s="1"/>
  <c r="R171" i="2"/>
  <c r="S171" i="2" s="1"/>
  <c r="R152" i="2"/>
  <c r="R175" i="2"/>
  <c r="T175" i="2" s="1"/>
  <c r="R198" i="2"/>
  <c r="T198" i="2" s="1"/>
  <c r="R207" i="2"/>
  <c r="T207" i="2" s="1"/>
  <c r="R212" i="2"/>
  <c r="S212" i="2" s="1"/>
  <c r="R236" i="2"/>
  <c r="T236" i="2" s="1"/>
  <c r="J148" i="2"/>
  <c r="R158" i="2"/>
  <c r="T158" i="2" s="1"/>
  <c r="R172" i="2"/>
  <c r="T172" i="2" s="1"/>
  <c r="R194" i="2"/>
  <c r="S194" i="2" s="1"/>
  <c r="R227" i="2"/>
  <c r="S227" i="2" s="1"/>
  <c r="R159" i="2"/>
  <c r="T159" i="2" s="1"/>
  <c r="R196" i="2"/>
  <c r="S196" i="2" s="1"/>
  <c r="R229" i="2"/>
  <c r="T229" i="2" s="1"/>
  <c r="M148" i="2"/>
  <c r="R169" i="2"/>
  <c r="T169" i="2" s="1"/>
  <c r="R233" i="2"/>
  <c r="T233" i="2" s="1"/>
  <c r="N148" i="2"/>
  <c r="R166" i="2"/>
  <c r="T166" i="2" s="1"/>
  <c r="R167" i="2"/>
  <c r="T167" i="2" s="1"/>
  <c r="R242" i="2"/>
  <c r="T242" i="2" s="1"/>
  <c r="R155" i="2"/>
  <c r="T155" i="2" s="1"/>
  <c r="R192" i="2"/>
  <c r="T192" i="2" s="1"/>
  <c r="R214" i="2"/>
  <c r="S214" i="2" s="1"/>
  <c r="R215" i="2"/>
  <c r="R217" i="2"/>
  <c r="T217" i="2" s="1"/>
  <c r="R219" i="2"/>
  <c r="T219" i="2" s="1"/>
  <c r="R221" i="2"/>
  <c r="S221" i="2" s="1"/>
  <c r="R221" i="5"/>
  <c r="R230" i="5"/>
  <c r="R265" i="5"/>
  <c r="R269" i="5"/>
  <c r="R275" i="5"/>
  <c r="R281" i="5"/>
  <c r="R282" i="5"/>
  <c r="R220" i="5"/>
  <c r="R237" i="5"/>
  <c r="R263" i="5"/>
  <c r="R228" i="5"/>
  <c r="Y236" i="5"/>
  <c r="R240" i="5"/>
  <c r="R267" i="5"/>
  <c r="Y213" i="5"/>
  <c r="R244" i="5"/>
  <c r="R247" i="5"/>
  <c r="R256" i="5"/>
  <c r="R266" i="5"/>
  <c r="R283" i="5"/>
  <c r="R213" i="5"/>
  <c r="R222" i="5"/>
  <c r="R232" i="5"/>
  <c r="R255" i="5"/>
  <c r="R257" i="5"/>
  <c r="R278" i="5"/>
  <c r="R279" i="5"/>
  <c r="Y224" i="5"/>
  <c r="Y226" i="5"/>
  <c r="Y256" i="5"/>
  <c r="R262" i="5"/>
  <c r="Y265" i="5"/>
  <c r="Y276" i="5"/>
  <c r="Y216" i="5"/>
  <c r="R217" i="5"/>
  <c r="Y267" i="5"/>
  <c r="R272" i="5"/>
  <c r="R219" i="5"/>
  <c r="R236" i="5"/>
  <c r="R241" i="5"/>
  <c r="R242" i="5"/>
  <c r="R245" i="5"/>
  <c r="Y250" i="5"/>
  <c r="R252" i="5"/>
  <c r="R259" i="5"/>
  <c r="Y261" i="5"/>
  <c r="Y269" i="5"/>
  <c r="Y283" i="5"/>
  <c r="R284" i="5"/>
  <c r="S284" i="5" s="1"/>
  <c r="Y212" i="5"/>
  <c r="Y215" i="5"/>
  <c r="Y221" i="5"/>
  <c r="Y223" i="5"/>
  <c r="Y235" i="5"/>
  <c r="Y239" i="5"/>
  <c r="Y249" i="5"/>
  <c r="Y251" i="5"/>
  <c r="Y282" i="5"/>
  <c r="Y228" i="5"/>
  <c r="Y230" i="5"/>
  <c r="Y234" i="5"/>
  <c r="Y270" i="5"/>
  <c r="Y262" i="5"/>
  <c r="Y281" i="5"/>
  <c r="Y211" i="5"/>
  <c r="U653" i="4"/>
  <c r="T653" i="4"/>
  <c r="O686" i="4"/>
  <c r="U673" i="4"/>
  <c r="T673" i="4"/>
  <c r="U700" i="4"/>
  <c r="T700" i="4"/>
  <c r="U739" i="4"/>
  <c r="T739" i="4"/>
  <c r="U741" i="4"/>
  <c r="T741" i="4"/>
  <c r="U742" i="4"/>
  <c r="T742" i="4"/>
  <c r="U788" i="4"/>
  <c r="T788" i="4"/>
  <c r="U796" i="4"/>
  <c r="T796" i="4"/>
  <c r="O824" i="4"/>
  <c r="T676" i="4"/>
  <c r="U676" i="4"/>
  <c r="O628" i="4"/>
  <c r="O642" i="4" s="1"/>
  <c r="Z628" i="4"/>
  <c r="K628" i="4"/>
  <c r="U631" i="4"/>
  <c r="S638" i="4"/>
  <c r="T656" i="4"/>
  <c r="U656" i="4"/>
  <c r="T666" i="4"/>
  <c r="S686" i="4"/>
  <c r="T686" i="4" s="1"/>
  <c r="U666" i="4"/>
  <c r="U667" i="4"/>
  <c r="T667" i="4"/>
  <c r="U671" i="4"/>
  <c r="T671" i="4"/>
  <c r="U699" i="4"/>
  <c r="T699" i="4"/>
  <c r="N755" i="4"/>
  <c r="U736" i="4"/>
  <c r="T736" i="4"/>
  <c r="U752" i="4"/>
  <c r="T752" i="4"/>
  <c r="U790" i="4"/>
  <c r="T790" i="4"/>
  <c r="S816" i="4"/>
  <c r="T816" i="4" s="1"/>
  <c r="U802" i="4"/>
  <c r="T802" i="4"/>
  <c r="S824" i="4"/>
  <c r="T824" i="4" s="1"/>
  <c r="U818" i="4"/>
  <c r="T818" i="4"/>
  <c r="H642" i="4"/>
  <c r="N631" i="4"/>
  <c r="U639" i="4"/>
  <c r="T639" i="4"/>
  <c r="T659" i="4"/>
  <c r="U659" i="4"/>
  <c r="U660" i="4"/>
  <c r="T660" i="4"/>
  <c r="T693" i="4"/>
  <c r="U693" i="4"/>
  <c r="U766" i="4"/>
  <c r="T766" i="4"/>
  <c r="U787" i="4"/>
  <c r="T787" i="4"/>
  <c r="U804" i="4"/>
  <c r="T804" i="4"/>
  <c r="U647" i="4"/>
  <c r="U678" i="4"/>
  <c r="T678" i="4"/>
  <c r="U648" i="4"/>
  <c r="U635" i="4"/>
  <c r="T635" i="4"/>
  <c r="S644" i="4"/>
  <c r="Z686" i="4"/>
  <c r="U715" i="4"/>
  <c r="T715" i="4"/>
  <c r="U768" i="4"/>
  <c r="T768" i="4"/>
  <c r="U779" i="4"/>
  <c r="S800" i="4"/>
  <c r="T800" i="4" s="1"/>
  <c r="T779" i="4"/>
  <c r="U785" i="4"/>
  <c r="T785" i="4"/>
  <c r="Z816" i="4"/>
  <c r="U813" i="4"/>
  <c r="T813" i="4"/>
  <c r="U765" i="4"/>
  <c r="T765" i="4"/>
  <c r="O635" i="4"/>
  <c r="Z635" i="4"/>
  <c r="K635" i="4"/>
  <c r="O731" i="4"/>
  <c r="U763" i="4"/>
  <c r="T763" i="4"/>
  <c r="U774" i="4"/>
  <c r="T774" i="4"/>
  <c r="U812" i="4"/>
  <c r="T812" i="4"/>
  <c r="U674" i="4"/>
  <c r="T674" i="4"/>
  <c r="T679" i="4"/>
  <c r="U679" i="4"/>
  <c r="U711" i="4"/>
  <c r="S731" i="4"/>
  <c r="T711" i="4"/>
  <c r="U757" i="4"/>
  <c r="T757" i="4"/>
  <c r="S777" i="4"/>
  <c r="T777" i="4" s="1"/>
  <c r="U758" i="4"/>
  <c r="T758" i="4"/>
  <c r="U628" i="4"/>
  <c r="T628" i="4"/>
  <c r="U737" i="4"/>
  <c r="T737" i="4"/>
  <c r="U753" i="4"/>
  <c r="T753" i="4"/>
  <c r="H709" i="4"/>
  <c r="N713" i="4"/>
  <c r="N733" i="4"/>
  <c r="Z631" i="4"/>
  <c r="N644" i="4"/>
  <c r="N664" i="4" s="1"/>
  <c r="H664" i="4"/>
  <c r="Z676" i="4"/>
  <c r="Z679" i="4"/>
  <c r="K683" i="4"/>
  <c r="T683" i="4"/>
  <c r="K690" i="4"/>
  <c r="T690" i="4"/>
  <c r="Z693" i="4"/>
  <c r="O696" i="4"/>
  <c r="O709" i="4" s="1"/>
  <c r="T712" i="4"/>
  <c r="O713" i="4"/>
  <c r="H729" i="4"/>
  <c r="Z729" i="4" s="1"/>
  <c r="T732" i="4"/>
  <c r="O733" i="4"/>
  <c r="O755" i="4" s="1"/>
  <c r="N737" i="4"/>
  <c r="K745" i="4"/>
  <c r="T745" i="4"/>
  <c r="K748" i="4"/>
  <c r="T748" i="4"/>
  <c r="O761" i="4"/>
  <c r="O777" i="4" s="1"/>
  <c r="O771" i="4"/>
  <c r="N779" i="4"/>
  <c r="O783" i="4"/>
  <c r="Z790" i="4"/>
  <c r="O793" i="4"/>
  <c r="K808" i="4"/>
  <c r="T808" i="4"/>
  <c r="T814" i="4"/>
  <c r="K820" i="4"/>
  <c r="T820" i="4"/>
  <c r="N696" i="4"/>
  <c r="S642" i="4"/>
  <c r="T642" i="4" s="1"/>
  <c r="O644" i="4"/>
  <c r="O664" i="4" s="1"/>
  <c r="K653" i="4"/>
  <c r="K671" i="4"/>
  <c r="K674" i="4"/>
  <c r="K715" i="4"/>
  <c r="U732" i="4"/>
  <c r="O737" i="4"/>
  <c r="K763" i="4"/>
  <c r="K766" i="4"/>
  <c r="O779" i="4"/>
  <c r="K785" i="4"/>
  <c r="K788" i="4"/>
  <c r="Z683" i="4"/>
  <c r="Z690" i="4"/>
  <c r="S709" i="4"/>
  <c r="H731" i="4"/>
  <c r="Z745" i="4"/>
  <c r="Z748" i="4"/>
  <c r="H800" i="4"/>
  <c r="Z808" i="4"/>
  <c r="Z820" i="4"/>
  <c r="Z824" i="4" s="1"/>
  <c r="N690" i="4"/>
  <c r="N709" i="4" s="1"/>
  <c r="N748" i="4"/>
  <c r="N808" i="4"/>
  <c r="N816" i="4" s="1"/>
  <c r="H816" i="4"/>
  <c r="N820" i="4"/>
  <c r="N824" i="4" s="1"/>
  <c r="N653" i="4"/>
  <c r="Z660" i="4"/>
  <c r="Z667" i="4"/>
  <c r="N671" i="4"/>
  <c r="N686" i="4" s="1"/>
  <c r="N674" i="4"/>
  <c r="K696" i="4"/>
  <c r="T696" i="4"/>
  <c r="K713" i="4"/>
  <c r="T713" i="4"/>
  <c r="N715" i="4"/>
  <c r="N731" i="4" s="1"/>
  <c r="K733" i="4"/>
  <c r="T733" i="4"/>
  <c r="Z742" i="4"/>
  <c r="Z755" i="4" s="1"/>
  <c r="T747" i="4"/>
  <c r="H755" i="4"/>
  <c r="T755" i="4" s="1"/>
  <c r="K761" i="4"/>
  <c r="T761" i="4"/>
  <c r="N763" i="4"/>
  <c r="N777" i="4" s="1"/>
  <c r="N766" i="4"/>
  <c r="K771" i="4"/>
  <c r="T771" i="4"/>
  <c r="Z774" i="4"/>
  <c r="K783" i="4"/>
  <c r="T783" i="4"/>
  <c r="N785" i="4"/>
  <c r="N788" i="4"/>
  <c r="K793" i="4"/>
  <c r="T793" i="4"/>
  <c r="T797" i="4"/>
  <c r="T810" i="4"/>
  <c r="T819" i="4"/>
  <c r="O820" i="4"/>
  <c r="Z621" i="4"/>
  <c r="Z633" i="4"/>
  <c r="Z650" i="4"/>
  <c r="Z664" i="4" s="1"/>
  <c r="Z681" i="4"/>
  <c r="Z688" i="4"/>
  <c r="Z703" i="4"/>
  <c r="Z706" i="4"/>
  <c r="Z720" i="4"/>
  <c r="Z723" i="4"/>
  <c r="Z726" i="4"/>
  <c r="Z731" i="4" s="1"/>
  <c r="N621" i="4"/>
  <c r="N642" i="4" s="1"/>
  <c r="N650" i="4"/>
  <c r="Z761" i="4"/>
  <c r="Z771" i="4"/>
  <c r="H777" i="4"/>
  <c r="Z783" i="4"/>
  <c r="Z800" i="4" s="1"/>
  <c r="Z793" i="4"/>
  <c r="S352" i="3"/>
  <c r="T352" i="3"/>
  <c r="T386" i="3"/>
  <c r="S386" i="3"/>
  <c r="R389" i="3"/>
  <c r="S389" i="3" s="1"/>
  <c r="S404" i="3"/>
  <c r="R411" i="3"/>
  <c r="S411" i="3" s="1"/>
  <c r="T404" i="3"/>
  <c r="T330" i="3"/>
  <c r="S330" i="3"/>
  <c r="T351" i="3"/>
  <c r="S351" i="3"/>
  <c r="T361" i="3"/>
  <c r="S361" i="3"/>
  <c r="S378" i="3"/>
  <c r="R384" i="3"/>
  <c r="S384" i="3" s="1"/>
  <c r="T378" i="3"/>
  <c r="T393" i="3"/>
  <c r="S393" i="3"/>
  <c r="S348" i="3"/>
  <c r="R354" i="3"/>
  <c r="S354" i="3" s="1"/>
  <c r="T348" i="3"/>
  <c r="R402" i="3"/>
  <c r="S402" i="3" s="1"/>
  <c r="T397" i="3"/>
  <c r="S397" i="3"/>
  <c r="T398" i="3"/>
  <c r="S398" i="3"/>
  <c r="T368" i="3"/>
  <c r="S368" i="3"/>
  <c r="T379" i="3"/>
  <c r="S379" i="3"/>
  <c r="S382" i="3"/>
  <c r="T382" i="3"/>
  <c r="T329" i="3"/>
  <c r="S329" i="3"/>
  <c r="M339" i="3"/>
  <c r="T336" i="3"/>
  <c r="S336" i="3"/>
  <c r="T343" i="3"/>
  <c r="S343" i="3"/>
  <c r="T357" i="3"/>
  <c r="S357" i="3"/>
  <c r="T367" i="3"/>
  <c r="S367" i="3"/>
  <c r="T374" i="3"/>
  <c r="S374" i="3"/>
  <c r="T381" i="3"/>
  <c r="S381" i="3"/>
  <c r="T400" i="3"/>
  <c r="S400" i="3"/>
  <c r="T406" i="3"/>
  <c r="S406" i="3"/>
  <c r="T407" i="3"/>
  <c r="S407" i="3"/>
  <c r="N333" i="3"/>
  <c r="N339" i="3"/>
  <c r="M346" i="3"/>
  <c r="T350" i="3"/>
  <c r="S350" i="3"/>
  <c r="M363" i="3"/>
  <c r="N376" i="3"/>
  <c r="T392" i="3"/>
  <c r="S392" i="3"/>
  <c r="T337" i="3"/>
  <c r="S337" i="3"/>
  <c r="T358" i="3"/>
  <c r="S358" i="3"/>
  <c r="S365" i="3"/>
  <c r="R371" i="3"/>
  <c r="S371" i="3" s="1"/>
  <c r="T365" i="3"/>
  <c r="S408" i="3"/>
  <c r="T408" i="3"/>
  <c r="T342" i="3"/>
  <c r="S342" i="3"/>
  <c r="T360" i="3"/>
  <c r="S360" i="3"/>
  <c r="T366" i="3"/>
  <c r="S366" i="3"/>
  <c r="N395" i="3"/>
  <c r="T399" i="3"/>
  <c r="S399" i="3"/>
  <c r="R333" i="3"/>
  <c r="S333" i="3" s="1"/>
  <c r="T328" i="3"/>
  <c r="S328" i="3"/>
  <c r="S335" i="3"/>
  <c r="R339" i="3"/>
  <c r="S339" i="3" s="1"/>
  <c r="T335" i="3"/>
  <c r="R346" i="3"/>
  <c r="S346" i="3" s="1"/>
  <c r="T341" i="3"/>
  <c r="S341" i="3"/>
  <c r="M354" i="3"/>
  <c r="T349" i="3"/>
  <c r="S349" i="3"/>
  <c r="T359" i="3"/>
  <c r="S359" i="3"/>
  <c r="M371" i="3"/>
  <c r="T373" i="3"/>
  <c r="S373" i="3"/>
  <c r="R376" i="3"/>
  <c r="S376" i="3" s="1"/>
  <c r="T380" i="3"/>
  <c r="S380" i="3"/>
  <c r="T331" i="3"/>
  <c r="S331" i="3"/>
  <c r="N354" i="3"/>
  <c r="T356" i="3"/>
  <c r="S356" i="3"/>
  <c r="R363" i="3"/>
  <c r="S363" i="3" s="1"/>
  <c r="N371" i="3"/>
  <c r="S369" i="3"/>
  <c r="T369" i="3"/>
  <c r="T387" i="3"/>
  <c r="S387" i="3"/>
  <c r="S391" i="3"/>
  <c r="R395" i="3"/>
  <c r="S395" i="3" s="1"/>
  <c r="T391" i="3"/>
  <c r="N402" i="3"/>
  <c r="M411" i="3"/>
  <c r="T405" i="3"/>
  <c r="S405" i="3"/>
  <c r="S409" i="3"/>
  <c r="R204" i="2"/>
  <c r="Y152" i="2"/>
  <c r="Y215" i="2"/>
  <c r="Y166" i="2"/>
  <c r="R174" i="2"/>
  <c r="Y179" i="2"/>
  <c r="R206" i="2"/>
  <c r="R161" i="2"/>
  <c r="Y174" i="2"/>
  <c r="R178" i="2"/>
  <c r="R186" i="2"/>
  <c r="Y204" i="2"/>
  <c r="Y244" i="2"/>
  <c r="T265" i="5" l="1"/>
  <c r="S265" i="5"/>
  <c r="S252" i="5"/>
  <c r="T252" i="5"/>
  <c r="T283" i="5"/>
  <c r="S283" i="5"/>
  <c r="T269" i="5"/>
  <c r="S269" i="5"/>
  <c r="S254" i="5"/>
  <c r="T254" i="5"/>
  <c r="T268" i="5"/>
  <c r="S268" i="5"/>
  <c r="S235" i="5"/>
  <c r="T235" i="5"/>
  <c r="T231" i="5"/>
  <c r="S231" i="5"/>
  <c r="T266" i="5"/>
  <c r="S266" i="5"/>
  <c r="T264" i="5"/>
  <c r="S264" i="5"/>
  <c r="S245" i="5"/>
  <c r="T245" i="5"/>
  <c r="T230" i="5"/>
  <c r="S230" i="5"/>
  <c r="S227" i="5"/>
  <c r="T227" i="5"/>
  <c r="T241" i="5"/>
  <c r="S241" i="5"/>
  <c r="S244" i="5"/>
  <c r="T244" i="5"/>
  <c r="T220" i="5"/>
  <c r="S220" i="5"/>
  <c r="S243" i="5"/>
  <c r="T243" i="5"/>
  <c r="T280" i="5"/>
  <c r="S280" i="5"/>
  <c r="T214" i="5"/>
  <c r="S214" i="5"/>
  <c r="S246" i="5"/>
  <c r="T246" i="5"/>
  <c r="T279" i="5"/>
  <c r="S279" i="5"/>
  <c r="S234" i="5"/>
  <c r="T234" i="5"/>
  <c r="T278" i="5"/>
  <c r="S278" i="5"/>
  <c r="T261" i="5"/>
  <c r="S261" i="5"/>
  <c r="T242" i="5"/>
  <c r="S242" i="5"/>
  <c r="S247" i="5"/>
  <c r="T247" i="5"/>
  <c r="T221" i="5"/>
  <c r="S221" i="5"/>
  <c r="T258" i="5"/>
  <c r="S258" i="5"/>
  <c r="T249" i="5"/>
  <c r="S249" i="5"/>
  <c r="S236" i="5"/>
  <c r="T236" i="5"/>
  <c r="T262" i="5"/>
  <c r="S262" i="5"/>
  <c r="T232" i="5"/>
  <c r="S232" i="5"/>
  <c r="S282" i="5"/>
  <c r="T282" i="5"/>
  <c r="T233" i="5"/>
  <c r="S233" i="5"/>
  <c r="T270" i="5"/>
  <c r="S270" i="5"/>
  <c r="S253" i="5"/>
  <c r="T253" i="5"/>
  <c r="T260" i="5"/>
  <c r="S260" i="5"/>
  <c r="S216" i="5"/>
  <c r="T216" i="5"/>
  <c r="S228" i="5"/>
  <c r="T228" i="5"/>
  <c r="S250" i="5"/>
  <c r="T250" i="5"/>
  <c r="S256" i="5"/>
  <c r="T256" i="5"/>
  <c r="T224" i="5"/>
  <c r="S224" i="5"/>
  <c r="T211" i="5"/>
  <c r="S211" i="5"/>
  <c r="S219" i="5"/>
  <c r="T219" i="5"/>
  <c r="T222" i="5"/>
  <c r="S222" i="5"/>
  <c r="T267" i="5"/>
  <c r="S267" i="5"/>
  <c r="T281" i="5"/>
  <c r="S281" i="5"/>
  <c r="T223" i="5"/>
  <c r="S223" i="5"/>
  <c r="S248" i="5"/>
  <c r="T248" i="5"/>
  <c r="T229" i="5"/>
  <c r="S229" i="5"/>
  <c r="S238" i="5"/>
  <c r="T238" i="5"/>
  <c r="T251" i="5"/>
  <c r="S251" i="5"/>
  <c r="S217" i="5"/>
  <c r="T217" i="5"/>
  <c r="T274" i="5"/>
  <c r="S274" i="5"/>
  <c r="T263" i="5"/>
  <c r="S263" i="5"/>
  <c r="T277" i="5"/>
  <c r="S277" i="5"/>
  <c r="T225" i="5"/>
  <c r="S225" i="5"/>
  <c r="T284" i="5"/>
  <c r="S257" i="5"/>
  <c r="T257" i="5"/>
  <c r="T237" i="5"/>
  <c r="S237" i="5"/>
  <c r="T212" i="5"/>
  <c r="S212" i="5"/>
  <c r="T215" i="5"/>
  <c r="S215" i="5"/>
  <c r="S255" i="5"/>
  <c r="T255" i="5"/>
  <c r="T259" i="5"/>
  <c r="S259" i="5"/>
  <c r="T272" i="5"/>
  <c r="S272" i="5"/>
  <c r="T213" i="5"/>
  <c r="S213" i="5"/>
  <c r="T240" i="5"/>
  <c r="S240" i="5"/>
  <c r="T275" i="5"/>
  <c r="S275" i="5"/>
  <c r="T273" i="5"/>
  <c r="S273" i="5"/>
  <c r="S226" i="5"/>
  <c r="T226" i="5"/>
  <c r="T276" i="5"/>
  <c r="S276" i="5"/>
  <c r="T271" i="5"/>
  <c r="S271" i="5"/>
  <c r="T239" i="5"/>
  <c r="S239" i="5"/>
  <c r="S218" i="5"/>
  <c r="Y148" i="2"/>
  <c r="S234" i="2"/>
  <c r="S231" i="2"/>
  <c r="S154" i="2"/>
  <c r="S150" i="2"/>
  <c r="S244" i="2"/>
  <c r="S184" i="2"/>
  <c r="T182" i="2"/>
  <c r="T241" i="2"/>
  <c r="S185" i="2"/>
  <c r="S218" i="2"/>
  <c r="S189" i="2"/>
  <c r="S181" i="2"/>
  <c r="S166" i="2"/>
  <c r="T216" i="2"/>
  <c r="T201" i="2"/>
  <c r="S176" i="2"/>
  <c r="S222" i="2"/>
  <c r="S179" i="2"/>
  <c r="T240" i="2"/>
  <c r="S239" i="2"/>
  <c r="S157" i="2"/>
  <c r="S225" i="2"/>
  <c r="S232" i="2"/>
  <c r="S164" i="2"/>
  <c r="S208" i="2"/>
  <c r="T230" i="2"/>
  <c r="S151" i="2"/>
  <c r="T168" i="2"/>
  <c r="S167" i="2"/>
  <c r="S226" i="2"/>
  <c r="S237" i="2"/>
  <c r="S159" i="2"/>
  <c r="S190" i="2"/>
  <c r="S169" i="2"/>
  <c r="S195" i="2"/>
  <c r="T235" i="2"/>
  <c r="S149" i="2"/>
  <c r="T196" i="2"/>
  <c r="S155" i="2"/>
  <c r="S213" i="2"/>
  <c r="S197" i="2"/>
  <c r="S238" i="2"/>
  <c r="S200" i="2"/>
  <c r="S153" i="2"/>
  <c r="T173" i="2"/>
  <c r="S203" i="2"/>
  <c r="S205" i="2"/>
  <c r="T211" i="2"/>
  <c r="T156" i="2"/>
  <c r="S236" i="2"/>
  <c r="S228" i="2"/>
  <c r="T228" i="2"/>
  <c r="S220" i="2"/>
  <c r="S158" i="2"/>
  <c r="S180" i="2"/>
  <c r="S243" i="2"/>
  <c r="S229" i="2"/>
  <c r="T171" i="2"/>
  <c r="T210" i="2"/>
  <c r="T165" i="2"/>
  <c r="S242" i="2"/>
  <c r="S177" i="2"/>
  <c r="S163" i="2"/>
  <c r="S223" i="2"/>
  <c r="T199" i="2"/>
  <c r="S175" i="2"/>
  <c r="T224" i="2"/>
  <c r="T212" i="2"/>
  <c r="S192" i="2"/>
  <c r="S202" i="2"/>
  <c r="S193" i="2"/>
  <c r="S209" i="2"/>
  <c r="S191" i="2"/>
  <c r="S207" i="2"/>
  <c r="T214" i="2"/>
  <c r="S198" i="2"/>
  <c r="T221" i="2"/>
  <c r="S219" i="2"/>
  <c r="T170" i="2"/>
  <c r="S162" i="2"/>
  <c r="T227" i="2"/>
  <c r="S217" i="2"/>
  <c r="T194" i="2"/>
  <c r="S160" i="2"/>
  <c r="S152" i="2"/>
  <c r="T183" i="2"/>
  <c r="S172" i="2"/>
  <c r="T152" i="2"/>
  <c r="S183" i="2"/>
  <c r="S215" i="2"/>
  <c r="T215" i="2"/>
  <c r="U148" i="2"/>
  <c r="S233" i="2"/>
  <c r="T709" i="4"/>
  <c r="Z709" i="4"/>
  <c r="N800" i="4"/>
  <c r="Z777" i="4"/>
  <c r="Z642" i="4"/>
  <c r="T731" i="4"/>
  <c r="U644" i="4"/>
  <c r="T644" i="4"/>
  <c r="S664" i="4"/>
  <c r="T664" i="4" s="1"/>
  <c r="O800" i="4"/>
  <c r="U638" i="4"/>
  <c r="T638" i="4"/>
  <c r="T178" i="2"/>
  <c r="S178" i="2"/>
  <c r="T206" i="2"/>
  <c r="S206" i="2"/>
  <c r="T204" i="2"/>
  <c r="S204" i="2"/>
  <c r="T174" i="2"/>
  <c r="S174" i="2"/>
  <c r="T161" i="2"/>
  <c r="S161" i="2"/>
  <c r="T186" i="2"/>
  <c r="S186" i="2"/>
  <c r="Q210" i="5" l="1"/>
  <c r="P210" i="5"/>
  <c r="L210" i="5"/>
  <c r="N210" i="5" s="1"/>
  <c r="K210" i="5"/>
  <c r="M210" i="5" s="1"/>
  <c r="Y210" i="5"/>
  <c r="Q209" i="5"/>
  <c r="P209" i="5"/>
  <c r="L209" i="5"/>
  <c r="N209" i="5" s="1"/>
  <c r="K209" i="5"/>
  <c r="M209" i="5" s="1"/>
  <c r="Y209" i="5"/>
  <c r="Q208" i="5"/>
  <c r="P208" i="5"/>
  <c r="L208" i="5"/>
  <c r="N208" i="5" s="1"/>
  <c r="K208" i="5"/>
  <c r="M208" i="5" s="1"/>
  <c r="Y208" i="5"/>
  <c r="Q207" i="5"/>
  <c r="P207" i="5"/>
  <c r="L207" i="5"/>
  <c r="N207" i="5" s="1"/>
  <c r="K207" i="5"/>
  <c r="M207" i="5" s="1"/>
  <c r="Q206" i="5"/>
  <c r="P206" i="5"/>
  <c r="L206" i="5"/>
  <c r="N206" i="5" s="1"/>
  <c r="K206" i="5"/>
  <c r="M206" i="5" s="1"/>
  <c r="Q205" i="5"/>
  <c r="P205" i="5"/>
  <c r="L205" i="5"/>
  <c r="N205" i="5" s="1"/>
  <c r="K205" i="5"/>
  <c r="M205" i="5" s="1"/>
  <c r="Y204" i="5"/>
  <c r="Q204" i="5"/>
  <c r="P204" i="5"/>
  <c r="L204" i="5"/>
  <c r="N204" i="5" s="1"/>
  <c r="K204" i="5"/>
  <c r="M204" i="5" s="1"/>
  <c r="Q203" i="5"/>
  <c r="P203" i="5"/>
  <c r="L203" i="5"/>
  <c r="N203" i="5" s="1"/>
  <c r="K203" i="5"/>
  <c r="M203" i="5" s="1"/>
  <c r="Q202" i="5"/>
  <c r="P202" i="5"/>
  <c r="L202" i="5"/>
  <c r="N202" i="5" s="1"/>
  <c r="K202" i="5"/>
  <c r="M202" i="5" s="1"/>
  <c r="Q201" i="5"/>
  <c r="P201" i="5"/>
  <c r="L201" i="5"/>
  <c r="N201" i="5" s="1"/>
  <c r="K201" i="5"/>
  <c r="M201" i="5" s="1"/>
  <c r="Y200" i="5"/>
  <c r="Q200" i="5"/>
  <c r="P200" i="5"/>
  <c r="L200" i="5"/>
  <c r="N200" i="5" s="1"/>
  <c r="K200" i="5"/>
  <c r="M200" i="5" s="1"/>
  <c r="Q199" i="5"/>
  <c r="P199" i="5"/>
  <c r="L199" i="5"/>
  <c r="N199" i="5" s="1"/>
  <c r="K199" i="5"/>
  <c r="M199" i="5" s="1"/>
  <c r="Y199" i="5"/>
  <c r="Y198" i="5"/>
  <c r="Q198" i="5"/>
  <c r="P198" i="5"/>
  <c r="L198" i="5"/>
  <c r="N198" i="5" s="1"/>
  <c r="K198" i="5"/>
  <c r="M198" i="5" s="1"/>
  <c r="Q197" i="5"/>
  <c r="P197" i="5"/>
  <c r="L197" i="5"/>
  <c r="N197" i="5" s="1"/>
  <c r="K197" i="5"/>
  <c r="M197" i="5" s="1"/>
  <c r="Q196" i="5"/>
  <c r="P196" i="5"/>
  <c r="L196" i="5"/>
  <c r="N196" i="5" s="1"/>
  <c r="K196" i="5"/>
  <c r="M196" i="5" s="1"/>
  <c r="Q195" i="5"/>
  <c r="P195" i="5"/>
  <c r="L195" i="5"/>
  <c r="N195" i="5" s="1"/>
  <c r="K195" i="5"/>
  <c r="M195" i="5" s="1"/>
  <c r="Q194" i="5"/>
  <c r="P194" i="5"/>
  <c r="L194" i="5"/>
  <c r="N194" i="5" s="1"/>
  <c r="K194" i="5"/>
  <c r="M194" i="5" s="1"/>
  <c r="Q193" i="5"/>
  <c r="P193" i="5"/>
  <c r="L193" i="5"/>
  <c r="N193" i="5" s="1"/>
  <c r="K193" i="5"/>
  <c r="M193" i="5" s="1"/>
  <c r="Y193" i="5"/>
  <c r="Q192" i="5"/>
  <c r="P192" i="5"/>
  <c r="L192" i="5"/>
  <c r="N192" i="5" s="1"/>
  <c r="K192" i="5"/>
  <c r="M192" i="5" s="1"/>
  <c r="Y191" i="5"/>
  <c r="Q191" i="5"/>
  <c r="P191" i="5"/>
  <c r="L191" i="5"/>
  <c r="N191" i="5" s="1"/>
  <c r="K191" i="5"/>
  <c r="M191" i="5" s="1"/>
  <c r="Q190" i="5"/>
  <c r="P190" i="5"/>
  <c r="L190" i="5"/>
  <c r="N190" i="5" s="1"/>
  <c r="K190" i="5"/>
  <c r="M190" i="5" s="1"/>
  <c r="Y189" i="5"/>
  <c r="Q189" i="5"/>
  <c r="P189" i="5"/>
  <c r="L189" i="5"/>
  <c r="N189" i="5" s="1"/>
  <c r="K189" i="5"/>
  <c r="M189" i="5" s="1"/>
  <c r="Y188" i="5"/>
  <c r="Q188" i="5"/>
  <c r="P188" i="5"/>
  <c r="L188" i="5"/>
  <c r="N188" i="5" s="1"/>
  <c r="K188" i="5"/>
  <c r="M188" i="5" s="1"/>
  <c r="Y187" i="5"/>
  <c r="Q187" i="5"/>
  <c r="P187" i="5"/>
  <c r="L187" i="5"/>
  <c r="N187" i="5" s="1"/>
  <c r="K187" i="5"/>
  <c r="M187" i="5" s="1"/>
  <c r="Q186" i="5"/>
  <c r="P186" i="5"/>
  <c r="L186" i="5"/>
  <c r="N186" i="5" s="1"/>
  <c r="K186" i="5"/>
  <c r="M186" i="5" s="1"/>
  <c r="Y185" i="5"/>
  <c r="Q185" i="5"/>
  <c r="P185" i="5"/>
  <c r="L185" i="5"/>
  <c r="N185" i="5" s="1"/>
  <c r="K185" i="5"/>
  <c r="M185" i="5" s="1"/>
  <c r="Q184" i="5"/>
  <c r="P184" i="5"/>
  <c r="L184" i="5"/>
  <c r="N184" i="5" s="1"/>
  <c r="K184" i="5"/>
  <c r="M184" i="5" s="1"/>
  <c r="Q183" i="5"/>
  <c r="P183" i="5"/>
  <c r="L183" i="5"/>
  <c r="N183" i="5" s="1"/>
  <c r="K183" i="5"/>
  <c r="M183" i="5" s="1"/>
  <c r="Y183" i="5"/>
  <c r="Y182" i="5"/>
  <c r="Q182" i="5"/>
  <c r="P182" i="5"/>
  <c r="L182" i="5"/>
  <c r="N182" i="5" s="1"/>
  <c r="K182" i="5"/>
  <c r="M182" i="5" s="1"/>
  <c r="Y181" i="5"/>
  <c r="Q181" i="5"/>
  <c r="P181" i="5"/>
  <c r="L181" i="5"/>
  <c r="N181" i="5" s="1"/>
  <c r="K181" i="5"/>
  <c r="M181" i="5" s="1"/>
  <c r="Q180" i="5"/>
  <c r="P180" i="5"/>
  <c r="L180" i="5"/>
  <c r="N180" i="5" s="1"/>
  <c r="K180" i="5"/>
  <c r="M180" i="5" s="1"/>
  <c r="Y180" i="5"/>
  <c r="Q179" i="5"/>
  <c r="P179" i="5"/>
  <c r="L179" i="5"/>
  <c r="N179" i="5" s="1"/>
  <c r="K179" i="5"/>
  <c r="M179" i="5" s="1"/>
  <c r="Y179" i="5"/>
  <c r="Q178" i="5"/>
  <c r="P178" i="5"/>
  <c r="L178" i="5"/>
  <c r="N178" i="5" s="1"/>
  <c r="K178" i="5"/>
  <c r="M178" i="5" s="1"/>
  <c r="Q177" i="5"/>
  <c r="P177" i="5"/>
  <c r="L177" i="5"/>
  <c r="N177" i="5" s="1"/>
  <c r="K177" i="5"/>
  <c r="M177" i="5" s="1"/>
  <c r="Q176" i="5"/>
  <c r="P176" i="5"/>
  <c r="L176" i="5"/>
  <c r="N176" i="5" s="1"/>
  <c r="K176" i="5"/>
  <c r="M176" i="5" s="1"/>
  <c r="Q175" i="5"/>
  <c r="P175" i="5"/>
  <c r="L175" i="5"/>
  <c r="N175" i="5" s="1"/>
  <c r="K175" i="5"/>
  <c r="M175" i="5" s="1"/>
  <c r="Y175" i="5"/>
  <c r="Q174" i="5"/>
  <c r="P174" i="5"/>
  <c r="L174" i="5"/>
  <c r="N174" i="5" s="1"/>
  <c r="K174" i="5"/>
  <c r="M174" i="5" s="1"/>
  <c r="Q173" i="5"/>
  <c r="P173" i="5"/>
  <c r="L173" i="5"/>
  <c r="N173" i="5" s="1"/>
  <c r="K173" i="5"/>
  <c r="M173" i="5" s="1"/>
  <c r="Q172" i="5"/>
  <c r="P172" i="5"/>
  <c r="L172" i="5"/>
  <c r="N172" i="5" s="1"/>
  <c r="K172" i="5"/>
  <c r="M172" i="5" s="1"/>
  <c r="Q171" i="5"/>
  <c r="P171" i="5"/>
  <c r="L171" i="5"/>
  <c r="N171" i="5" s="1"/>
  <c r="K171" i="5"/>
  <c r="M171" i="5" s="1"/>
  <c r="Q170" i="5"/>
  <c r="P170" i="5"/>
  <c r="L170" i="5"/>
  <c r="N170" i="5" s="1"/>
  <c r="K170" i="5"/>
  <c r="M170" i="5" s="1"/>
  <c r="Q169" i="5"/>
  <c r="P169" i="5"/>
  <c r="L169" i="5"/>
  <c r="N169" i="5" s="1"/>
  <c r="K169" i="5"/>
  <c r="M169" i="5" s="1"/>
  <c r="Q168" i="5"/>
  <c r="P168" i="5"/>
  <c r="L168" i="5"/>
  <c r="N168" i="5" s="1"/>
  <c r="K168" i="5"/>
  <c r="M168" i="5" s="1"/>
  <c r="Q167" i="5"/>
  <c r="P167" i="5"/>
  <c r="L167" i="5"/>
  <c r="N167" i="5" s="1"/>
  <c r="K167" i="5"/>
  <c r="M167" i="5" s="1"/>
  <c r="Y166" i="5"/>
  <c r="Q166" i="5"/>
  <c r="P166" i="5"/>
  <c r="L166" i="5"/>
  <c r="N166" i="5" s="1"/>
  <c r="K166" i="5"/>
  <c r="M166" i="5" s="1"/>
  <c r="Q165" i="5"/>
  <c r="P165" i="5"/>
  <c r="L165" i="5"/>
  <c r="N165" i="5" s="1"/>
  <c r="K165" i="5"/>
  <c r="M165" i="5" s="1"/>
  <c r="Y165" i="5"/>
  <c r="Q164" i="5"/>
  <c r="P164" i="5"/>
  <c r="L164" i="5"/>
  <c r="N164" i="5" s="1"/>
  <c r="K164" i="5"/>
  <c r="M164" i="5" s="1"/>
  <c r="Y163" i="5"/>
  <c r="Q163" i="5"/>
  <c r="P163" i="5"/>
  <c r="L163" i="5"/>
  <c r="N163" i="5" s="1"/>
  <c r="K163" i="5"/>
  <c r="M163" i="5" s="1"/>
  <c r="Y162" i="5"/>
  <c r="Q162" i="5"/>
  <c r="P162" i="5"/>
  <c r="L162" i="5"/>
  <c r="N162" i="5" s="1"/>
  <c r="K162" i="5"/>
  <c r="M162" i="5" s="1"/>
  <c r="Y161" i="5"/>
  <c r="Q161" i="5"/>
  <c r="P161" i="5"/>
  <c r="L161" i="5"/>
  <c r="N161" i="5" s="1"/>
  <c r="K161" i="5"/>
  <c r="M161" i="5" s="1"/>
  <c r="Y160" i="5"/>
  <c r="Q160" i="5"/>
  <c r="P160" i="5"/>
  <c r="L160" i="5"/>
  <c r="N160" i="5" s="1"/>
  <c r="K160" i="5"/>
  <c r="M160" i="5" s="1"/>
  <c r="Y159" i="5"/>
  <c r="Q159" i="5"/>
  <c r="P159" i="5"/>
  <c r="L159" i="5"/>
  <c r="N159" i="5" s="1"/>
  <c r="K159" i="5"/>
  <c r="M159" i="5" s="1"/>
  <c r="Y158" i="5"/>
  <c r="Q158" i="5"/>
  <c r="P158" i="5"/>
  <c r="L158" i="5"/>
  <c r="N158" i="5" s="1"/>
  <c r="K158" i="5"/>
  <c r="M158" i="5" s="1"/>
  <c r="Y157" i="5"/>
  <c r="Q157" i="5"/>
  <c r="P157" i="5"/>
  <c r="L157" i="5"/>
  <c r="N157" i="5" s="1"/>
  <c r="K157" i="5"/>
  <c r="M157" i="5" s="1"/>
  <c r="Q156" i="5"/>
  <c r="P156" i="5"/>
  <c r="L156" i="5"/>
  <c r="N156" i="5" s="1"/>
  <c r="K156" i="5"/>
  <c r="M156" i="5" s="1"/>
  <c r="Y156" i="5"/>
  <c r="Q155" i="5"/>
  <c r="P155" i="5"/>
  <c r="L155" i="5"/>
  <c r="N155" i="5" s="1"/>
  <c r="K155" i="5"/>
  <c r="M155" i="5" s="1"/>
  <c r="Y154" i="5"/>
  <c r="U154" i="5"/>
  <c r="Q154" i="5"/>
  <c r="P154" i="5"/>
  <c r="L154" i="5"/>
  <c r="N154" i="5" s="1"/>
  <c r="K154" i="5"/>
  <c r="M154" i="5" s="1"/>
  <c r="Y153" i="5"/>
  <c r="Q153" i="5"/>
  <c r="P153" i="5"/>
  <c r="L153" i="5"/>
  <c r="N153" i="5" s="1"/>
  <c r="K153" i="5"/>
  <c r="M153" i="5" s="1"/>
  <c r="Q152" i="5"/>
  <c r="P152" i="5"/>
  <c r="L152" i="5"/>
  <c r="N152" i="5" s="1"/>
  <c r="K152" i="5"/>
  <c r="M152" i="5" s="1"/>
  <c r="Q151" i="5"/>
  <c r="P151" i="5"/>
  <c r="L151" i="5"/>
  <c r="N151" i="5" s="1"/>
  <c r="K151" i="5"/>
  <c r="M151" i="5" s="1"/>
  <c r="Y150" i="5"/>
  <c r="Q150" i="5"/>
  <c r="P150" i="5"/>
  <c r="L150" i="5"/>
  <c r="N150" i="5" s="1"/>
  <c r="K150" i="5"/>
  <c r="M150" i="5" s="1"/>
  <c r="J150" i="5"/>
  <c r="G615" i="4"/>
  <c r="Z613" i="4"/>
  <c r="R613" i="4"/>
  <c r="Q613" i="4"/>
  <c r="S613" i="4" s="1"/>
  <c r="O613" i="4"/>
  <c r="N613" i="4"/>
  <c r="M613" i="4"/>
  <c r="L613" i="4"/>
  <c r="K613" i="4"/>
  <c r="Z612" i="4"/>
  <c r="Z611" i="4"/>
  <c r="R610" i="4"/>
  <c r="Q610" i="4"/>
  <c r="S610" i="4" s="1"/>
  <c r="U610" i="4" s="1"/>
  <c r="M610" i="4"/>
  <c r="L610" i="4"/>
  <c r="K610" i="4"/>
  <c r="H610" i="4"/>
  <c r="O610" i="4" s="1"/>
  <c r="Z609" i="4"/>
  <c r="R609" i="4"/>
  <c r="Q609" i="4"/>
  <c r="S609" i="4" s="1"/>
  <c r="O609" i="4"/>
  <c r="M609" i="4"/>
  <c r="L609" i="4"/>
  <c r="N609" i="4" s="1"/>
  <c r="K609" i="4"/>
  <c r="Z608" i="4"/>
  <c r="Z607" i="4"/>
  <c r="Z606" i="4"/>
  <c r="R606" i="4"/>
  <c r="S606" i="4" s="1"/>
  <c r="T606" i="4" s="1"/>
  <c r="Q606" i="4"/>
  <c r="M606" i="4"/>
  <c r="O606" i="4" s="1"/>
  <c r="L606" i="4"/>
  <c r="N606" i="4" s="1"/>
  <c r="K606" i="4"/>
  <c r="H606" i="4"/>
  <c r="Z605" i="4"/>
  <c r="Z604" i="4"/>
  <c r="T603" i="4"/>
  <c r="S603" i="4"/>
  <c r="R603" i="4"/>
  <c r="Q603" i="4"/>
  <c r="M603" i="4"/>
  <c r="L603" i="4"/>
  <c r="H603" i="4"/>
  <c r="Z602" i="4"/>
  <c r="R601" i="4"/>
  <c r="Q601" i="4"/>
  <c r="S601" i="4" s="1"/>
  <c r="O601" i="4"/>
  <c r="M601" i="4"/>
  <c r="L601" i="4"/>
  <c r="N601" i="4" s="1"/>
  <c r="H601" i="4"/>
  <c r="K601" i="4" s="1"/>
  <c r="Z600" i="4"/>
  <c r="Z599" i="4"/>
  <c r="R599" i="4"/>
  <c r="S599" i="4" s="1"/>
  <c r="T599" i="4" s="1"/>
  <c r="Q599" i="4"/>
  <c r="M599" i="4"/>
  <c r="O599" i="4" s="1"/>
  <c r="L599" i="4"/>
  <c r="N599" i="4" s="1"/>
  <c r="K599" i="4"/>
  <c r="H599" i="4"/>
  <c r="Z598" i="4"/>
  <c r="Z597" i="4"/>
  <c r="Z596" i="4"/>
  <c r="Z595" i="4"/>
  <c r="Z594" i="4"/>
  <c r="R594" i="4"/>
  <c r="Q594" i="4"/>
  <c r="S594" i="4" s="1"/>
  <c r="T594" i="4" s="1"/>
  <c r="M594" i="4"/>
  <c r="O594" i="4" s="1"/>
  <c r="L594" i="4"/>
  <c r="K594" i="4"/>
  <c r="H594" i="4"/>
  <c r="N594" i="4" s="1"/>
  <c r="Z593" i="4"/>
  <c r="R592" i="4"/>
  <c r="R615" i="4" s="1"/>
  <c r="S615" i="4" s="1"/>
  <c r="Q592" i="4"/>
  <c r="M592" i="4"/>
  <c r="L592" i="4"/>
  <c r="H592" i="4"/>
  <c r="G590" i="4"/>
  <c r="Z588" i="4"/>
  <c r="U587" i="4"/>
  <c r="T587" i="4"/>
  <c r="R587" i="4"/>
  <c r="Q587" i="4"/>
  <c r="S587" i="4" s="1"/>
  <c r="M587" i="4"/>
  <c r="L587" i="4"/>
  <c r="K587" i="4"/>
  <c r="H587" i="4"/>
  <c r="O587" i="4" s="1"/>
  <c r="Z586" i="4"/>
  <c r="R586" i="4"/>
  <c r="Q586" i="4"/>
  <c r="S586" i="4" s="1"/>
  <c r="O586" i="4"/>
  <c r="M586" i="4"/>
  <c r="L586" i="4"/>
  <c r="N586" i="4" s="1"/>
  <c r="K586" i="4"/>
  <c r="Z585" i="4"/>
  <c r="S585" i="4"/>
  <c r="U585" i="4" s="1"/>
  <c r="R585" i="4"/>
  <c r="Q585" i="4"/>
  <c r="O585" i="4"/>
  <c r="N585" i="4"/>
  <c r="M585" i="4"/>
  <c r="L585" i="4"/>
  <c r="K585" i="4"/>
  <c r="Z584" i="4"/>
  <c r="Z583" i="4"/>
  <c r="Z582" i="4"/>
  <c r="Z581" i="4"/>
  <c r="R581" i="4"/>
  <c r="Q581" i="4"/>
  <c r="M581" i="4"/>
  <c r="O581" i="4" s="1"/>
  <c r="L581" i="4"/>
  <c r="K581" i="4"/>
  <c r="H581" i="4"/>
  <c r="N581" i="4" s="1"/>
  <c r="Z580" i="4"/>
  <c r="R580" i="4"/>
  <c r="Q580" i="4"/>
  <c r="S580" i="4" s="1"/>
  <c r="T580" i="4" s="1"/>
  <c r="M580" i="4"/>
  <c r="O580" i="4" s="1"/>
  <c r="L580" i="4"/>
  <c r="N580" i="4" s="1"/>
  <c r="K580" i="4"/>
  <c r="Z579" i="4"/>
  <c r="Z578" i="4"/>
  <c r="Z577" i="4"/>
  <c r="S576" i="4"/>
  <c r="U576" i="4" s="1"/>
  <c r="R576" i="4"/>
  <c r="Q576" i="4"/>
  <c r="M576" i="4"/>
  <c r="L576" i="4"/>
  <c r="H576" i="4"/>
  <c r="Z575" i="4"/>
  <c r="R574" i="4"/>
  <c r="Q574" i="4"/>
  <c r="S574" i="4" s="1"/>
  <c r="O574" i="4"/>
  <c r="M574" i="4"/>
  <c r="L574" i="4"/>
  <c r="N574" i="4" s="1"/>
  <c r="K574" i="4"/>
  <c r="H574" i="4"/>
  <c r="Z574" i="4" s="1"/>
  <c r="Z573" i="4"/>
  <c r="U573" i="4"/>
  <c r="R573" i="4"/>
  <c r="Q573" i="4"/>
  <c r="S573" i="4" s="1"/>
  <c r="T573" i="4" s="1"/>
  <c r="O573" i="4"/>
  <c r="M573" i="4"/>
  <c r="L573" i="4"/>
  <c r="N573" i="4" s="1"/>
  <c r="K573" i="4"/>
  <c r="Z572" i="4"/>
  <c r="Z571" i="4"/>
  <c r="Z570" i="4"/>
  <c r="R570" i="4"/>
  <c r="Q570" i="4"/>
  <c r="S570" i="4" s="1"/>
  <c r="M570" i="4"/>
  <c r="O570" i="4" s="1"/>
  <c r="L570" i="4"/>
  <c r="K570" i="4"/>
  <c r="H570" i="4"/>
  <c r="N570" i="4" s="1"/>
  <c r="Z569" i="4"/>
  <c r="Z568" i="4"/>
  <c r="S568" i="4"/>
  <c r="U568" i="4" s="1"/>
  <c r="R568" i="4"/>
  <c r="Q568" i="4"/>
  <c r="N568" i="4"/>
  <c r="M568" i="4"/>
  <c r="L568" i="4"/>
  <c r="H568" i="4"/>
  <c r="Z567" i="4"/>
  <c r="R567" i="4"/>
  <c r="S567" i="4" s="1"/>
  <c r="Q567" i="4"/>
  <c r="N567" i="4"/>
  <c r="M567" i="4"/>
  <c r="O567" i="4" s="1"/>
  <c r="L567" i="4"/>
  <c r="K567" i="4"/>
  <c r="R565" i="4"/>
  <c r="G565" i="4"/>
  <c r="R561" i="4"/>
  <c r="S561" i="4" s="1"/>
  <c r="G561" i="4"/>
  <c r="R557" i="4"/>
  <c r="S557" i="4" s="1"/>
  <c r="H557" i="4"/>
  <c r="G557" i="4"/>
  <c r="Z555" i="4"/>
  <c r="Z554" i="4"/>
  <c r="S553" i="4"/>
  <c r="R553" i="4"/>
  <c r="Q553" i="4"/>
  <c r="M553" i="4"/>
  <c r="L553" i="4"/>
  <c r="H553" i="4"/>
  <c r="Z552" i="4"/>
  <c r="Z551" i="4"/>
  <c r="T551" i="4"/>
  <c r="S551" i="4"/>
  <c r="U551" i="4" s="1"/>
  <c r="R551" i="4"/>
  <c r="Q551" i="4"/>
  <c r="O551" i="4"/>
  <c r="N551" i="4"/>
  <c r="M551" i="4"/>
  <c r="L551" i="4"/>
  <c r="K551" i="4"/>
  <c r="H551" i="4"/>
  <c r="Z550" i="4"/>
  <c r="T550" i="4"/>
  <c r="S550" i="4"/>
  <c r="U550" i="4" s="1"/>
  <c r="R550" i="4"/>
  <c r="Q550" i="4"/>
  <c r="O550" i="4"/>
  <c r="N550" i="4"/>
  <c r="M550" i="4"/>
  <c r="L550" i="4"/>
  <c r="K550" i="4"/>
  <c r="Z549" i="4"/>
  <c r="Z548" i="4"/>
  <c r="R547" i="4"/>
  <c r="Q547" i="4"/>
  <c r="S547" i="4" s="1"/>
  <c r="O547" i="4"/>
  <c r="M547" i="4"/>
  <c r="L547" i="4"/>
  <c r="N547" i="4" s="1"/>
  <c r="K547" i="4"/>
  <c r="H547" i="4"/>
  <c r="Z547" i="4" s="1"/>
  <c r="Z546" i="4"/>
  <c r="Z545" i="4"/>
  <c r="U545" i="4"/>
  <c r="R545" i="4"/>
  <c r="Q545" i="4"/>
  <c r="S545" i="4" s="1"/>
  <c r="T545" i="4" s="1"/>
  <c r="M545" i="4"/>
  <c r="O545" i="4" s="1"/>
  <c r="L545" i="4"/>
  <c r="K545" i="4"/>
  <c r="H545" i="4"/>
  <c r="Z544" i="4"/>
  <c r="R544" i="4"/>
  <c r="Q544" i="4"/>
  <c r="S544" i="4" s="1"/>
  <c r="M544" i="4"/>
  <c r="O544" i="4" s="1"/>
  <c r="L544" i="4"/>
  <c r="N544" i="4" s="1"/>
  <c r="K544" i="4"/>
  <c r="Z543" i="4"/>
  <c r="Z542" i="4"/>
  <c r="Z541" i="4"/>
  <c r="Z540" i="4"/>
  <c r="R539" i="4"/>
  <c r="Q539" i="4"/>
  <c r="S539" i="4" s="1"/>
  <c r="O539" i="4"/>
  <c r="M539" i="4"/>
  <c r="L539" i="4"/>
  <c r="N539" i="4" s="1"/>
  <c r="K539" i="4"/>
  <c r="H539" i="4"/>
  <c r="Z539" i="4" s="1"/>
  <c r="Z538" i="4"/>
  <c r="Z537" i="4"/>
  <c r="R537" i="4"/>
  <c r="Q537" i="4"/>
  <c r="S537" i="4" s="1"/>
  <c r="T537" i="4" s="1"/>
  <c r="M537" i="4"/>
  <c r="O537" i="4" s="1"/>
  <c r="L537" i="4"/>
  <c r="K537" i="4"/>
  <c r="H537" i="4"/>
  <c r="N537" i="4" s="1"/>
  <c r="Z536" i="4"/>
  <c r="Z535" i="4"/>
  <c r="S534" i="4"/>
  <c r="U534" i="4" s="1"/>
  <c r="R534" i="4"/>
  <c r="Q534" i="4"/>
  <c r="M534" i="4"/>
  <c r="L534" i="4"/>
  <c r="K534" i="4"/>
  <c r="H534" i="4"/>
  <c r="Z533" i="4"/>
  <c r="R532" i="4"/>
  <c r="Q532" i="4"/>
  <c r="S532" i="4" s="1"/>
  <c r="O532" i="4"/>
  <c r="M532" i="4"/>
  <c r="L532" i="4"/>
  <c r="N532" i="4" s="1"/>
  <c r="K532" i="4"/>
  <c r="H532" i="4"/>
  <c r="Z532" i="4" s="1"/>
  <c r="R530" i="4"/>
  <c r="S530" i="4" s="1"/>
  <c r="G530" i="4"/>
  <c r="Z528" i="4"/>
  <c r="R528" i="4"/>
  <c r="Q528" i="4"/>
  <c r="S528" i="4" s="1"/>
  <c r="M528" i="4"/>
  <c r="O528" i="4" s="1"/>
  <c r="L528" i="4"/>
  <c r="N528" i="4" s="1"/>
  <c r="K528" i="4"/>
  <c r="Z527" i="4"/>
  <c r="Z526" i="4"/>
  <c r="Z525" i="4"/>
  <c r="S525" i="4"/>
  <c r="U525" i="4" s="1"/>
  <c r="R525" i="4"/>
  <c r="Q525" i="4"/>
  <c r="N525" i="4"/>
  <c r="M525" i="4"/>
  <c r="L525" i="4"/>
  <c r="H525" i="4"/>
  <c r="O525" i="4" s="1"/>
  <c r="Z524" i="4"/>
  <c r="R524" i="4"/>
  <c r="S524" i="4" s="1"/>
  <c r="Q524" i="4"/>
  <c r="N524" i="4"/>
  <c r="M524" i="4"/>
  <c r="O524" i="4" s="1"/>
  <c r="L524" i="4"/>
  <c r="K524" i="4"/>
  <c r="Z523" i="4"/>
  <c r="R523" i="4"/>
  <c r="Q523" i="4"/>
  <c r="S523" i="4" s="1"/>
  <c r="T523" i="4" s="1"/>
  <c r="M523" i="4"/>
  <c r="O523" i="4" s="1"/>
  <c r="L523" i="4"/>
  <c r="N523" i="4" s="1"/>
  <c r="K523" i="4"/>
  <c r="Z522" i="4"/>
  <c r="R522" i="4"/>
  <c r="Q522" i="4"/>
  <c r="S522" i="4" s="1"/>
  <c r="O522" i="4"/>
  <c r="M522" i="4"/>
  <c r="L522" i="4"/>
  <c r="N522" i="4" s="1"/>
  <c r="K522" i="4"/>
  <c r="S521" i="4"/>
  <c r="U521" i="4" s="1"/>
  <c r="R521" i="4"/>
  <c r="Q521" i="4"/>
  <c r="M521" i="4"/>
  <c r="L521" i="4"/>
  <c r="K521" i="4"/>
  <c r="H521" i="4"/>
  <c r="Z520" i="4"/>
  <c r="R519" i="4"/>
  <c r="Q519" i="4"/>
  <c r="S519" i="4" s="1"/>
  <c r="O519" i="4"/>
  <c r="M519" i="4"/>
  <c r="L519" i="4"/>
  <c r="N519" i="4" s="1"/>
  <c r="K519" i="4"/>
  <c r="H519" i="4"/>
  <c r="Z519" i="4" s="1"/>
  <c r="Z518" i="4"/>
  <c r="Z517" i="4"/>
  <c r="R517" i="4"/>
  <c r="Q517" i="4"/>
  <c r="S517" i="4" s="1"/>
  <c r="T517" i="4" s="1"/>
  <c r="M517" i="4"/>
  <c r="O517" i="4" s="1"/>
  <c r="L517" i="4"/>
  <c r="K517" i="4"/>
  <c r="H517" i="4"/>
  <c r="N517" i="4" s="1"/>
  <c r="Z516" i="4"/>
  <c r="S515" i="4"/>
  <c r="R515" i="4"/>
  <c r="Q515" i="4"/>
  <c r="M515" i="4"/>
  <c r="L515" i="4"/>
  <c r="H515" i="4"/>
  <c r="Z514" i="4"/>
  <c r="Z513" i="4"/>
  <c r="T513" i="4"/>
  <c r="S513" i="4"/>
  <c r="U513" i="4" s="1"/>
  <c r="R513" i="4"/>
  <c r="Q513" i="4"/>
  <c r="O513" i="4"/>
  <c r="N513" i="4"/>
  <c r="M513" i="4"/>
  <c r="L513" i="4"/>
  <c r="K513" i="4"/>
  <c r="H513" i="4"/>
  <c r="Z512" i="4"/>
  <c r="Z511" i="4"/>
  <c r="Z510" i="4"/>
  <c r="Z509" i="4"/>
  <c r="Z508" i="4"/>
  <c r="T508" i="4"/>
  <c r="S508" i="4"/>
  <c r="U508" i="4" s="1"/>
  <c r="R508" i="4"/>
  <c r="Q508" i="4"/>
  <c r="O508" i="4"/>
  <c r="N508" i="4"/>
  <c r="M508" i="4"/>
  <c r="L508" i="4"/>
  <c r="K508" i="4"/>
  <c r="H508" i="4"/>
  <c r="H530" i="4" s="1"/>
  <c r="Z507" i="4"/>
  <c r="Z506" i="4"/>
  <c r="Z505" i="4"/>
  <c r="R505" i="4"/>
  <c r="Q505" i="4"/>
  <c r="S505" i="4" s="1"/>
  <c r="T505" i="4" s="1"/>
  <c r="M505" i="4"/>
  <c r="L505" i="4"/>
  <c r="K505" i="4"/>
  <c r="H505" i="4"/>
  <c r="G503" i="4"/>
  <c r="Z501" i="4"/>
  <c r="Z500" i="4"/>
  <c r="T500" i="4"/>
  <c r="S500" i="4"/>
  <c r="U500" i="4" s="1"/>
  <c r="R500" i="4"/>
  <c r="Q500" i="4"/>
  <c r="O500" i="4"/>
  <c r="N500" i="4"/>
  <c r="M500" i="4"/>
  <c r="L500" i="4"/>
  <c r="K500" i="4"/>
  <c r="H500" i="4"/>
  <c r="Z499" i="4"/>
  <c r="Z498" i="4"/>
  <c r="Z497" i="4"/>
  <c r="U497" i="4"/>
  <c r="R497" i="4"/>
  <c r="Q497" i="4"/>
  <c r="S497" i="4" s="1"/>
  <c r="T497" i="4" s="1"/>
  <c r="M497" i="4"/>
  <c r="L497" i="4"/>
  <c r="K497" i="4"/>
  <c r="H497" i="4"/>
  <c r="Z496" i="4"/>
  <c r="Z495" i="4"/>
  <c r="S494" i="4"/>
  <c r="R494" i="4"/>
  <c r="Q494" i="4"/>
  <c r="M494" i="4"/>
  <c r="L494" i="4"/>
  <c r="K494" i="4"/>
  <c r="H494" i="4"/>
  <c r="O494" i="4" s="1"/>
  <c r="Z493" i="4"/>
  <c r="T493" i="4"/>
  <c r="S493" i="4"/>
  <c r="U493" i="4" s="1"/>
  <c r="R493" i="4"/>
  <c r="Q493" i="4"/>
  <c r="O493" i="4"/>
  <c r="N493" i="4"/>
  <c r="M493" i="4"/>
  <c r="L493" i="4"/>
  <c r="K493" i="4"/>
  <c r="Z492" i="4"/>
  <c r="Z491" i="4"/>
  <c r="R490" i="4"/>
  <c r="Q490" i="4"/>
  <c r="S490" i="4" s="1"/>
  <c r="U490" i="4" s="1"/>
  <c r="M490" i="4"/>
  <c r="L490" i="4"/>
  <c r="K490" i="4"/>
  <c r="H490" i="4"/>
  <c r="O490" i="4" s="1"/>
  <c r="Z489" i="4"/>
  <c r="Z488" i="4"/>
  <c r="Z487" i="4"/>
  <c r="Z486" i="4"/>
  <c r="T485" i="4"/>
  <c r="R485" i="4"/>
  <c r="Q485" i="4"/>
  <c r="S485" i="4" s="1"/>
  <c r="U485" i="4" s="1"/>
  <c r="M485" i="4"/>
  <c r="L485" i="4"/>
  <c r="K485" i="4"/>
  <c r="H485" i="4"/>
  <c r="O485" i="4" s="1"/>
  <c r="Z484" i="4"/>
  <c r="U484" i="4"/>
  <c r="R484" i="4"/>
  <c r="Q484" i="4"/>
  <c r="S484" i="4" s="1"/>
  <c r="T484" i="4" s="1"/>
  <c r="O484" i="4"/>
  <c r="M484" i="4"/>
  <c r="L484" i="4"/>
  <c r="N484" i="4" s="1"/>
  <c r="K484" i="4"/>
  <c r="Z483" i="4"/>
  <c r="Z482" i="4"/>
  <c r="Z481" i="4"/>
  <c r="R481" i="4"/>
  <c r="Q481" i="4"/>
  <c r="S481" i="4" s="1"/>
  <c r="T481" i="4" s="1"/>
  <c r="M481" i="4"/>
  <c r="L481" i="4"/>
  <c r="K481" i="4"/>
  <c r="H481" i="4"/>
  <c r="Z480" i="4"/>
  <c r="Z479" i="4"/>
  <c r="S478" i="4"/>
  <c r="U478" i="4" s="1"/>
  <c r="R478" i="4"/>
  <c r="Q478" i="4"/>
  <c r="M478" i="4"/>
  <c r="L478" i="4"/>
  <c r="K478" i="4"/>
  <c r="H478" i="4"/>
  <c r="Z477" i="4"/>
  <c r="T477" i="4"/>
  <c r="S477" i="4"/>
  <c r="U477" i="4" s="1"/>
  <c r="R477" i="4"/>
  <c r="Q477" i="4"/>
  <c r="O477" i="4"/>
  <c r="N477" i="4"/>
  <c r="M477" i="4"/>
  <c r="L477" i="4"/>
  <c r="K477" i="4"/>
  <c r="Z476" i="4"/>
  <c r="R476" i="4"/>
  <c r="S476" i="4" s="1"/>
  <c r="Q476" i="4"/>
  <c r="N476" i="4"/>
  <c r="M476" i="4"/>
  <c r="O476" i="4" s="1"/>
  <c r="L476" i="4"/>
  <c r="K476" i="4"/>
  <c r="Z475" i="4"/>
  <c r="Z474" i="4"/>
  <c r="Z473" i="4"/>
  <c r="Z472" i="4"/>
  <c r="Z471" i="4"/>
  <c r="R471" i="4"/>
  <c r="Q471" i="4"/>
  <c r="S471" i="4" s="1"/>
  <c r="M471" i="4"/>
  <c r="O471" i="4" s="1"/>
  <c r="L471" i="4"/>
  <c r="N471" i="4" s="1"/>
  <c r="K471" i="4"/>
  <c r="H471" i="4"/>
  <c r="Z470" i="4"/>
  <c r="Z469" i="4"/>
  <c r="Z468" i="4"/>
  <c r="T468" i="4"/>
  <c r="S468" i="4"/>
  <c r="U468" i="4" s="1"/>
  <c r="R468" i="4"/>
  <c r="Q468" i="4"/>
  <c r="O468" i="4"/>
  <c r="N468" i="4"/>
  <c r="M468" i="4"/>
  <c r="L468" i="4"/>
  <c r="K468" i="4"/>
  <c r="H468" i="4"/>
  <c r="H503" i="4" s="1"/>
  <c r="G466" i="4"/>
  <c r="H465" i="4"/>
  <c r="Z465" i="4" s="1"/>
  <c r="Z464" i="4"/>
  <c r="S463" i="4"/>
  <c r="U463" i="4" s="1"/>
  <c r="R463" i="4"/>
  <c r="Q463" i="4"/>
  <c r="O463" i="4"/>
  <c r="M463" i="4"/>
  <c r="L463" i="4"/>
  <c r="K463" i="4"/>
  <c r="H463" i="4"/>
  <c r="Z462" i="4"/>
  <c r="T462" i="4"/>
  <c r="S462" i="4"/>
  <c r="U462" i="4" s="1"/>
  <c r="R462" i="4"/>
  <c r="Q462" i="4"/>
  <c r="O462" i="4"/>
  <c r="N462" i="4"/>
  <c r="M462" i="4"/>
  <c r="L462" i="4"/>
  <c r="K462" i="4"/>
  <c r="Z461" i="4"/>
  <c r="Z460" i="4"/>
  <c r="Z459" i="4"/>
  <c r="R459" i="4"/>
  <c r="Q459" i="4"/>
  <c r="M459" i="4"/>
  <c r="O459" i="4" s="1"/>
  <c r="L459" i="4"/>
  <c r="K459" i="4"/>
  <c r="H459" i="4"/>
  <c r="Z458" i="4"/>
  <c r="R458" i="4"/>
  <c r="Q458" i="4"/>
  <c r="M458" i="4"/>
  <c r="O458" i="4" s="1"/>
  <c r="L458" i="4"/>
  <c r="N458" i="4" s="1"/>
  <c r="K458" i="4"/>
  <c r="Z457" i="4"/>
  <c r="Z456" i="4"/>
  <c r="R456" i="4"/>
  <c r="Q456" i="4"/>
  <c r="M456" i="4"/>
  <c r="O456" i="4" s="1"/>
  <c r="L456" i="4"/>
  <c r="K456" i="4"/>
  <c r="H456" i="4"/>
  <c r="Z455" i="4"/>
  <c r="R454" i="4"/>
  <c r="R466" i="4" s="1"/>
  <c r="S466" i="4" s="1"/>
  <c r="Q454" i="4"/>
  <c r="M454" i="4"/>
  <c r="L454" i="4"/>
  <c r="H454" i="4"/>
  <c r="H466" i="4" s="1"/>
  <c r="Z453" i="4"/>
  <c r="Z452" i="4"/>
  <c r="T452" i="4"/>
  <c r="S452" i="4"/>
  <c r="U452" i="4" s="1"/>
  <c r="R452" i="4"/>
  <c r="Q452" i="4"/>
  <c r="O452" i="4"/>
  <c r="N452" i="4"/>
  <c r="M452" i="4"/>
  <c r="L452" i="4"/>
  <c r="K452" i="4"/>
  <c r="H452" i="4"/>
  <c r="Z451" i="4"/>
  <c r="S451" i="4"/>
  <c r="U451" i="4" s="1"/>
  <c r="R451" i="4"/>
  <c r="Q451" i="4"/>
  <c r="O451" i="4"/>
  <c r="N451" i="4"/>
  <c r="M451" i="4"/>
  <c r="L451" i="4"/>
  <c r="K451" i="4"/>
  <c r="Z450" i="4"/>
  <c r="S450" i="4"/>
  <c r="R450" i="4"/>
  <c r="Q450" i="4"/>
  <c r="N450" i="4"/>
  <c r="M450" i="4"/>
  <c r="O450" i="4" s="1"/>
  <c r="L450" i="4"/>
  <c r="K450" i="4"/>
  <c r="G448" i="4"/>
  <c r="Z446" i="4"/>
  <c r="S446" i="4"/>
  <c r="R446" i="4"/>
  <c r="Q446" i="4"/>
  <c r="N446" i="4"/>
  <c r="M446" i="4"/>
  <c r="O446" i="4" s="1"/>
  <c r="L446" i="4"/>
  <c r="K446" i="4"/>
  <c r="Z445" i="4"/>
  <c r="R444" i="4"/>
  <c r="S444" i="4" s="1"/>
  <c r="Q444" i="4"/>
  <c r="M444" i="4"/>
  <c r="L444" i="4"/>
  <c r="H444" i="4"/>
  <c r="N444" i="4" s="1"/>
  <c r="Z443" i="4"/>
  <c r="S443" i="4"/>
  <c r="R443" i="4"/>
  <c r="Q443" i="4"/>
  <c r="N443" i="4"/>
  <c r="M443" i="4"/>
  <c r="O443" i="4" s="1"/>
  <c r="L443" i="4"/>
  <c r="K443" i="4"/>
  <c r="Z442" i="4"/>
  <c r="R441" i="4"/>
  <c r="S441" i="4" s="1"/>
  <c r="Q441" i="4"/>
  <c r="M441" i="4"/>
  <c r="L441" i="4"/>
  <c r="H441" i="4"/>
  <c r="N441" i="4" s="1"/>
  <c r="Z440" i="4"/>
  <c r="Z439" i="4"/>
  <c r="T439" i="4"/>
  <c r="S439" i="4"/>
  <c r="U439" i="4" s="1"/>
  <c r="R439" i="4"/>
  <c r="Q439" i="4"/>
  <c r="O439" i="4"/>
  <c r="N439" i="4"/>
  <c r="M439" i="4"/>
  <c r="L439" i="4"/>
  <c r="K439" i="4"/>
  <c r="H439" i="4"/>
  <c r="Z438" i="4"/>
  <c r="S438" i="4"/>
  <c r="U438" i="4" s="1"/>
  <c r="R438" i="4"/>
  <c r="Q438" i="4"/>
  <c r="O438" i="4"/>
  <c r="N438" i="4"/>
  <c r="M438" i="4"/>
  <c r="L438" i="4"/>
  <c r="K438" i="4"/>
  <c r="Z437" i="4"/>
  <c r="Z436" i="4"/>
  <c r="T436" i="4"/>
  <c r="S436" i="4"/>
  <c r="U436" i="4" s="1"/>
  <c r="R436" i="4"/>
  <c r="Q436" i="4"/>
  <c r="O436" i="4"/>
  <c r="N436" i="4"/>
  <c r="M436" i="4"/>
  <c r="L436" i="4"/>
  <c r="K436" i="4"/>
  <c r="H436" i="4"/>
  <c r="Z435" i="4"/>
  <c r="T435" i="4"/>
  <c r="S435" i="4"/>
  <c r="U435" i="4" s="1"/>
  <c r="R435" i="4"/>
  <c r="Q435" i="4"/>
  <c r="O435" i="4"/>
  <c r="N435" i="4"/>
  <c r="M435" i="4"/>
  <c r="L435" i="4"/>
  <c r="K435" i="4"/>
  <c r="Z434" i="4"/>
  <c r="Z433" i="4"/>
  <c r="T433" i="4"/>
  <c r="S433" i="4"/>
  <c r="U433" i="4" s="1"/>
  <c r="R433" i="4"/>
  <c r="Q433" i="4"/>
  <c r="O433" i="4"/>
  <c r="N433" i="4"/>
  <c r="M433" i="4"/>
  <c r="L433" i="4"/>
  <c r="K433" i="4"/>
  <c r="H433" i="4"/>
  <c r="Z432" i="4"/>
  <c r="U431" i="4"/>
  <c r="T431" i="4"/>
  <c r="R431" i="4"/>
  <c r="Q431" i="4"/>
  <c r="S431" i="4" s="1"/>
  <c r="M431" i="4"/>
  <c r="L431" i="4"/>
  <c r="K431" i="4"/>
  <c r="H431" i="4"/>
  <c r="O431" i="4" s="1"/>
  <c r="Z430" i="4"/>
  <c r="U430" i="4"/>
  <c r="R430" i="4"/>
  <c r="Q430" i="4"/>
  <c r="S430" i="4" s="1"/>
  <c r="T430" i="4" s="1"/>
  <c r="O430" i="4"/>
  <c r="M430" i="4"/>
  <c r="L430" i="4"/>
  <c r="N430" i="4" s="1"/>
  <c r="K430" i="4"/>
  <c r="Z429" i="4"/>
  <c r="T429" i="4"/>
  <c r="S429" i="4"/>
  <c r="U429" i="4" s="1"/>
  <c r="R429" i="4"/>
  <c r="Q429" i="4"/>
  <c r="O429" i="4"/>
  <c r="N429" i="4"/>
  <c r="M429" i="4"/>
  <c r="L429" i="4"/>
  <c r="K429" i="4"/>
  <c r="Z428" i="4"/>
  <c r="S428" i="4"/>
  <c r="R428" i="4"/>
  <c r="Q428" i="4"/>
  <c r="N428" i="4"/>
  <c r="M428" i="4"/>
  <c r="O428" i="4" s="1"/>
  <c r="L428" i="4"/>
  <c r="K428" i="4"/>
  <c r="Z427" i="4"/>
  <c r="R427" i="4"/>
  <c r="Q427" i="4"/>
  <c r="S427" i="4" s="1"/>
  <c r="O427" i="4"/>
  <c r="M427" i="4"/>
  <c r="L427" i="4"/>
  <c r="N427" i="4" s="1"/>
  <c r="K427" i="4"/>
  <c r="G425" i="4"/>
  <c r="Z423" i="4"/>
  <c r="U423" i="4"/>
  <c r="R423" i="4"/>
  <c r="Q423" i="4"/>
  <c r="S423" i="4" s="1"/>
  <c r="T423" i="4" s="1"/>
  <c r="O423" i="4"/>
  <c r="N423" i="4"/>
  <c r="M423" i="4"/>
  <c r="L423" i="4"/>
  <c r="K423" i="4"/>
  <c r="Z422" i="4"/>
  <c r="R422" i="4"/>
  <c r="S422" i="4" s="1"/>
  <c r="Q422" i="4"/>
  <c r="O422" i="4"/>
  <c r="N422" i="4"/>
  <c r="M422" i="4"/>
  <c r="L422" i="4"/>
  <c r="K422" i="4"/>
  <c r="Z421" i="4"/>
  <c r="S421" i="4"/>
  <c r="T421" i="4" s="1"/>
  <c r="R421" i="4"/>
  <c r="Q421" i="4"/>
  <c r="N421" i="4"/>
  <c r="M421" i="4"/>
  <c r="O421" i="4" s="1"/>
  <c r="L421" i="4"/>
  <c r="K421" i="4"/>
  <c r="Z420" i="4"/>
  <c r="S419" i="4"/>
  <c r="R419" i="4"/>
  <c r="Q419" i="4"/>
  <c r="N419" i="4"/>
  <c r="M419" i="4"/>
  <c r="L419" i="4"/>
  <c r="H419" i="4"/>
  <c r="Z418" i="4"/>
  <c r="U418" i="4"/>
  <c r="S418" i="4"/>
  <c r="T418" i="4" s="1"/>
  <c r="R418" i="4"/>
  <c r="Q418" i="4"/>
  <c r="N418" i="4"/>
  <c r="M418" i="4"/>
  <c r="O418" i="4" s="1"/>
  <c r="L418" i="4"/>
  <c r="K418" i="4"/>
  <c r="Z417" i="4"/>
  <c r="R416" i="4"/>
  <c r="Q416" i="4"/>
  <c r="S416" i="4" s="1"/>
  <c r="N416" i="4"/>
  <c r="M416" i="4"/>
  <c r="L416" i="4"/>
  <c r="H416" i="4"/>
  <c r="Z415" i="4"/>
  <c r="U415" i="4"/>
  <c r="S415" i="4"/>
  <c r="T415" i="4" s="1"/>
  <c r="R415" i="4"/>
  <c r="Q415" i="4"/>
  <c r="M415" i="4"/>
  <c r="O415" i="4" s="1"/>
  <c r="L415" i="4"/>
  <c r="N415" i="4" s="1"/>
  <c r="K415" i="4"/>
  <c r="Z414" i="4"/>
  <c r="R414" i="4"/>
  <c r="Q414" i="4"/>
  <c r="S414" i="4" s="1"/>
  <c r="O414" i="4"/>
  <c r="M414" i="4"/>
  <c r="L414" i="4"/>
  <c r="N414" i="4" s="1"/>
  <c r="K414" i="4"/>
  <c r="Z413" i="4"/>
  <c r="R413" i="4"/>
  <c r="Q413" i="4"/>
  <c r="S413" i="4" s="1"/>
  <c r="O413" i="4"/>
  <c r="M413" i="4"/>
  <c r="L413" i="4"/>
  <c r="N413" i="4" s="1"/>
  <c r="K413" i="4"/>
  <c r="Z412" i="4"/>
  <c r="S412" i="4"/>
  <c r="U412" i="4" s="1"/>
  <c r="R412" i="4"/>
  <c r="Q412" i="4"/>
  <c r="O412" i="4"/>
  <c r="N412" i="4"/>
  <c r="M412" i="4"/>
  <c r="L412" i="4"/>
  <c r="K412" i="4"/>
  <c r="Z411" i="4"/>
  <c r="R411" i="4"/>
  <c r="Q411" i="4"/>
  <c r="S411" i="4" s="1"/>
  <c r="N411" i="4"/>
  <c r="M411" i="4"/>
  <c r="O411" i="4" s="1"/>
  <c r="L411" i="4"/>
  <c r="K411" i="4"/>
  <c r="Z410" i="4"/>
  <c r="Z409" i="4"/>
  <c r="S408" i="4"/>
  <c r="R408" i="4"/>
  <c r="Q408" i="4"/>
  <c r="N408" i="4"/>
  <c r="M408" i="4"/>
  <c r="L408" i="4"/>
  <c r="H408" i="4"/>
  <c r="Z408" i="4" s="1"/>
  <c r="G406" i="4"/>
  <c r="Z404" i="4"/>
  <c r="R403" i="4"/>
  <c r="Q403" i="4"/>
  <c r="S403" i="4" s="1"/>
  <c r="M403" i="4"/>
  <c r="L403" i="4"/>
  <c r="H403" i="4"/>
  <c r="N403" i="4" s="1"/>
  <c r="Z402" i="4"/>
  <c r="S401" i="4"/>
  <c r="R401" i="4"/>
  <c r="Q401" i="4"/>
  <c r="N401" i="4"/>
  <c r="M401" i="4"/>
  <c r="L401" i="4"/>
  <c r="H401" i="4"/>
  <c r="Z401" i="4" s="1"/>
  <c r="Z400" i="4"/>
  <c r="S399" i="4"/>
  <c r="U399" i="4" s="1"/>
  <c r="R399" i="4"/>
  <c r="Q399" i="4"/>
  <c r="O399" i="4"/>
  <c r="M399" i="4"/>
  <c r="L399" i="4"/>
  <c r="H399" i="4"/>
  <c r="Z398" i="4"/>
  <c r="Z397" i="4"/>
  <c r="R396" i="4"/>
  <c r="S396" i="4" s="1"/>
  <c r="Q396" i="4"/>
  <c r="M396" i="4"/>
  <c r="L396" i="4"/>
  <c r="H396" i="4"/>
  <c r="Z396" i="4" s="1"/>
  <c r="Z395" i="4"/>
  <c r="Z394" i="4"/>
  <c r="U393" i="4"/>
  <c r="R393" i="4"/>
  <c r="Q393" i="4"/>
  <c r="S393" i="4" s="1"/>
  <c r="T393" i="4" s="1"/>
  <c r="O393" i="4"/>
  <c r="M393" i="4"/>
  <c r="L393" i="4"/>
  <c r="N393" i="4" s="1"/>
  <c r="K393" i="4"/>
  <c r="H393" i="4"/>
  <c r="Z392" i="4"/>
  <c r="R392" i="4"/>
  <c r="Q392" i="4"/>
  <c r="S392" i="4" s="1"/>
  <c r="O392" i="4"/>
  <c r="M392" i="4"/>
  <c r="L392" i="4"/>
  <c r="N392" i="4" s="1"/>
  <c r="K392" i="4"/>
  <c r="G390" i="4"/>
  <c r="Z389" i="4"/>
  <c r="Z388" i="4"/>
  <c r="Z387" i="4"/>
  <c r="R387" i="4"/>
  <c r="Q387" i="4"/>
  <c r="M387" i="4"/>
  <c r="O387" i="4" s="1"/>
  <c r="L387" i="4"/>
  <c r="N387" i="4" s="1"/>
  <c r="K387" i="4"/>
  <c r="H387" i="4"/>
  <c r="Z386" i="4"/>
  <c r="Z385" i="4"/>
  <c r="Z384" i="4"/>
  <c r="S383" i="4"/>
  <c r="U383" i="4" s="1"/>
  <c r="R383" i="4"/>
  <c r="Q383" i="4"/>
  <c r="M383" i="4"/>
  <c r="L383" i="4"/>
  <c r="K383" i="4"/>
  <c r="H383" i="4"/>
  <c r="O383" i="4" s="1"/>
  <c r="Z382" i="4"/>
  <c r="U382" i="4"/>
  <c r="R382" i="4"/>
  <c r="Q382" i="4"/>
  <c r="S382" i="4" s="1"/>
  <c r="T382" i="4" s="1"/>
  <c r="O382" i="4"/>
  <c r="M382" i="4"/>
  <c r="L382" i="4"/>
  <c r="N382" i="4" s="1"/>
  <c r="K382" i="4"/>
  <c r="Z381" i="4"/>
  <c r="R381" i="4"/>
  <c r="S381" i="4" s="1"/>
  <c r="Q381" i="4"/>
  <c r="O381" i="4"/>
  <c r="N381" i="4"/>
  <c r="M381" i="4"/>
  <c r="L381" i="4"/>
  <c r="K381" i="4"/>
  <c r="Z380" i="4"/>
  <c r="Z379" i="4"/>
  <c r="R379" i="4"/>
  <c r="Q379" i="4"/>
  <c r="S379" i="4" s="1"/>
  <c r="M379" i="4"/>
  <c r="O379" i="4" s="1"/>
  <c r="L379" i="4"/>
  <c r="K379" i="4"/>
  <c r="H379" i="4"/>
  <c r="N379" i="4" s="1"/>
  <c r="Z378" i="4"/>
  <c r="Z377" i="4"/>
  <c r="S376" i="4"/>
  <c r="U376" i="4" s="1"/>
  <c r="R376" i="4"/>
  <c r="Q376" i="4"/>
  <c r="M376" i="4"/>
  <c r="L376" i="4"/>
  <c r="H376" i="4"/>
  <c r="H390" i="4" s="1"/>
  <c r="G322" i="3"/>
  <c r="R320" i="3"/>
  <c r="T320" i="3" s="1"/>
  <c r="Q320" i="3"/>
  <c r="P320" i="3"/>
  <c r="M320" i="3"/>
  <c r="L320" i="3"/>
  <c r="N320" i="3" s="1"/>
  <c r="K320" i="3"/>
  <c r="J320" i="3"/>
  <c r="Q319" i="3"/>
  <c r="P319" i="3"/>
  <c r="R319" i="3" s="1"/>
  <c r="N319" i="3"/>
  <c r="L319" i="3"/>
  <c r="K319" i="3"/>
  <c r="M319" i="3" s="1"/>
  <c r="J319" i="3"/>
  <c r="R318" i="3"/>
  <c r="R322" i="3" s="1"/>
  <c r="S322" i="3" s="1"/>
  <c r="Q318" i="3"/>
  <c r="P318" i="3"/>
  <c r="N318" i="3"/>
  <c r="N322" i="3" s="1"/>
  <c r="L318" i="3"/>
  <c r="K318" i="3"/>
  <c r="M318" i="3" s="1"/>
  <c r="J318" i="3"/>
  <c r="G316" i="3"/>
  <c r="Q314" i="3"/>
  <c r="R314" i="3" s="1"/>
  <c r="P314" i="3"/>
  <c r="N314" i="3"/>
  <c r="M314" i="3"/>
  <c r="L314" i="3"/>
  <c r="K314" i="3"/>
  <c r="J314" i="3"/>
  <c r="Q313" i="3"/>
  <c r="P313" i="3"/>
  <c r="R313" i="3" s="1"/>
  <c r="L313" i="3"/>
  <c r="N313" i="3" s="1"/>
  <c r="K313" i="3"/>
  <c r="M313" i="3" s="1"/>
  <c r="J313" i="3"/>
  <c r="Q312" i="3"/>
  <c r="P312" i="3"/>
  <c r="R312" i="3" s="1"/>
  <c r="N312" i="3"/>
  <c r="M312" i="3"/>
  <c r="L312" i="3"/>
  <c r="K312" i="3"/>
  <c r="J312" i="3"/>
  <c r="G310" i="3"/>
  <c r="R308" i="3"/>
  <c r="R310" i="3" s="1"/>
  <c r="S310" i="3" s="1"/>
  <c r="Q308" i="3"/>
  <c r="P308" i="3"/>
  <c r="M308" i="3"/>
  <c r="L308" i="3"/>
  <c r="N308" i="3" s="1"/>
  <c r="N310" i="3" s="1"/>
  <c r="K308" i="3"/>
  <c r="J308" i="3"/>
  <c r="G306" i="3"/>
  <c r="Q304" i="3"/>
  <c r="R304" i="3" s="1"/>
  <c r="P304" i="3"/>
  <c r="L304" i="3"/>
  <c r="N304" i="3" s="1"/>
  <c r="N306" i="3" s="1"/>
  <c r="K304" i="3"/>
  <c r="M304" i="3" s="1"/>
  <c r="J304" i="3"/>
  <c r="R302" i="3"/>
  <c r="G302" i="3"/>
  <c r="G299" i="3"/>
  <c r="Q297" i="3"/>
  <c r="R297" i="3" s="1"/>
  <c r="P297" i="3"/>
  <c r="L297" i="3"/>
  <c r="N297" i="3" s="1"/>
  <c r="K297" i="3"/>
  <c r="M297" i="3" s="1"/>
  <c r="J297" i="3"/>
  <c r="Q296" i="3"/>
  <c r="P296" i="3"/>
  <c r="R296" i="3" s="1"/>
  <c r="N296" i="3"/>
  <c r="L296" i="3"/>
  <c r="K296" i="3"/>
  <c r="M296" i="3" s="1"/>
  <c r="J296" i="3"/>
  <c r="G294" i="3"/>
  <c r="R292" i="3"/>
  <c r="T292" i="3" s="1"/>
  <c r="Q292" i="3"/>
  <c r="P292" i="3"/>
  <c r="M292" i="3"/>
  <c r="L292" i="3"/>
  <c r="N292" i="3" s="1"/>
  <c r="K292" i="3"/>
  <c r="J292" i="3"/>
  <c r="Q291" i="3"/>
  <c r="P291" i="3"/>
  <c r="R291" i="3" s="1"/>
  <c r="N291" i="3"/>
  <c r="L291" i="3"/>
  <c r="K291" i="3"/>
  <c r="M291" i="3" s="1"/>
  <c r="J291" i="3"/>
  <c r="R290" i="3"/>
  <c r="Q290" i="3"/>
  <c r="P290" i="3"/>
  <c r="N290" i="3"/>
  <c r="N294" i="3" s="1"/>
  <c r="L290" i="3"/>
  <c r="K290" i="3"/>
  <c r="M290" i="3" s="1"/>
  <c r="J290" i="3"/>
  <c r="G288" i="3"/>
  <c r="Q286" i="3"/>
  <c r="P286" i="3"/>
  <c r="R286" i="3" s="1"/>
  <c r="M286" i="3"/>
  <c r="L286" i="3"/>
  <c r="N286" i="3" s="1"/>
  <c r="K286" i="3"/>
  <c r="J286" i="3"/>
  <c r="R285" i="3"/>
  <c r="T285" i="3" s="1"/>
  <c r="Q285" i="3"/>
  <c r="P285" i="3"/>
  <c r="N285" i="3"/>
  <c r="L285" i="3"/>
  <c r="K285" i="3"/>
  <c r="M285" i="3" s="1"/>
  <c r="J285" i="3"/>
  <c r="Q284" i="3"/>
  <c r="R284" i="3" s="1"/>
  <c r="P284" i="3"/>
  <c r="L284" i="3"/>
  <c r="N284" i="3" s="1"/>
  <c r="K284" i="3"/>
  <c r="M284" i="3" s="1"/>
  <c r="J284" i="3"/>
  <c r="Q283" i="3"/>
  <c r="P283" i="3"/>
  <c r="R283" i="3" s="1"/>
  <c r="N283" i="3"/>
  <c r="L283" i="3"/>
  <c r="K283" i="3"/>
  <c r="M283" i="3" s="1"/>
  <c r="J283" i="3"/>
  <c r="Q282" i="3"/>
  <c r="R282" i="3" s="1"/>
  <c r="P282" i="3"/>
  <c r="N282" i="3"/>
  <c r="M282" i="3"/>
  <c r="L282" i="3"/>
  <c r="K282" i="3"/>
  <c r="J282" i="3"/>
  <c r="Q281" i="3"/>
  <c r="R281" i="3" s="1"/>
  <c r="P281" i="3"/>
  <c r="L281" i="3"/>
  <c r="N281" i="3" s="1"/>
  <c r="N288" i="3" s="1"/>
  <c r="K281" i="3"/>
  <c r="M281" i="3" s="1"/>
  <c r="J281" i="3"/>
  <c r="G279" i="3"/>
  <c r="S277" i="3"/>
  <c r="R277" i="3"/>
  <c r="T277" i="3" s="1"/>
  <c r="Q277" i="3"/>
  <c r="P277" i="3"/>
  <c r="N277" i="3"/>
  <c r="L277" i="3"/>
  <c r="K277" i="3"/>
  <c r="M277" i="3" s="1"/>
  <c r="J277" i="3"/>
  <c r="Q276" i="3"/>
  <c r="P276" i="3"/>
  <c r="R276" i="3" s="1"/>
  <c r="L276" i="3"/>
  <c r="N276" i="3" s="1"/>
  <c r="K276" i="3"/>
  <c r="M276" i="3" s="1"/>
  <c r="J276" i="3"/>
  <c r="Q275" i="3"/>
  <c r="P275" i="3"/>
  <c r="R275" i="3" s="1"/>
  <c r="N275" i="3"/>
  <c r="L275" i="3"/>
  <c r="K275" i="3"/>
  <c r="M275" i="3" s="1"/>
  <c r="J275" i="3"/>
  <c r="R274" i="3"/>
  <c r="T274" i="3" s="1"/>
  <c r="Q274" i="3"/>
  <c r="P274" i="3"/>
  <c r="M274" i="3"/>
  <c r="L274" i="3"/>
  <c r="N274" i="3" s="1"/>
  <c r="K274" i="3"/>
  <c r="J274" i="3"/>
  <c r="Q273" i="3"/>
  <c r="P273" i="3"/>
  <c r="R273" i="3" s="1"/>
  <c r="L273" i="3"/>
  <c r="N273" i="3" s="1"/>
  <c r="K273" i="3"/>
  <c r="M273" i="3" s="1"/>
  <c r="J273" i="3"/>
  <c r="G271" i="3"/>
  <c r="S269" i="3"/>
  <c r="R269" i="3"/>
  <c r="T269" i="3" s="1"/>
  <c r="Q269" i="3"/>
  <c r="P269" i="3"/>
  <c r="N269" i="3"/>
  <c r="L269" i="3"/>
  <c r="K269" i="3"/>
  <c r="M269" i="3" s="1"/>
  <c r="J269" i="3"/>
  <c r="R268" i="3"/>
  <c r="T268" i="3" s="1"/>
  <c r="Q268" i="3"/>
  <c r="P268" i="3"/>
  <c r="M268" i="3"/>
  <c r="L268" i="3"/>
  <c r="N268" i="3" s="1"/>
  <c r="K268" i="3"/>
  <c r="J268" i="3"/>
  <c r="Q267" i="3"/>
  <c r="P267" i="3"/>
  <c r="R267" i="3" s="1"/>
  <c r="N267" i="3"/>
  <c r="L267" i="3"/>
  <c r="K267" i="3"/>
  <c r="M267" i="3" s="1"/>
  <c r="J267" i="3"/>
  <c r="S266" i="3"/>
  <c r="U266" i="3" s="1"/>
  <c r="R266" i="3"/>
  <c r="T266" i="3" s="1"/>
  <c r="Q266" i="3"/>
  <c r="P266" i="3"/>
  <c r="N266" i="3"/>
  <c r="L266" i="3"/>
  <c r="K266" i="3"/>
  <c r="M266" i="3" s="1"/>
  <c r="J266" i="3"/>
  <c r="G264" i="3"/>
  <c r="R262" i="3"/>
  <c r="T262" i="3" s="1"/>
  <c r="Q262" i="3"/>
  <c r="P262" i="3"/>
  <c r="M262" i="3"/>
  <c r="L262" i="3"/>
  <c r="N262" i="3" s="1"/>
  <c r="K262" i="3"/>
  <c r="J262" i="3"/>
  <c r="Q261" i="3"/>
  <c r="P261" i="3"/>
  <c r="R261" i="3" s="1"/>
  <c r="L261" i="3"/>
  <c r="N261" i="3" s="1"/>
  <c r="K261" i="3"/>
  <c r="M261" i="3" s="1"/>
  <c r="J261" i="3"/>
  <c r="Q260" i="3"/>
  <c r="P260" i="3"/>
  <c r="R260" i="3" s="1"/>
  <c r="N260" i="3"/>
  <c r="M260" i="3"/>
  <c r="L260" i="3"/>
  <c r="K260" i="3"/>
  <c r="J260" i="3"/>
  <c r="G258" i="3"/>
  <c r="Q256" i="3"/>
  <c r="P256" i="3"/>
  <c r="R256" i="3" s="1"/>
  <c r="L256" i="3"/>
  <c r="N256" i="3" s="1"/>
  <c r="K256" i="3"/>
  <c r="M256" i="3" s="1"/>
  <c r="J256" i="3"/>
  <c r="Q255" i="3"/>
  <c r="P255" i="3"/>
  <c r="R255" i="3" s="1"/>
  <c r="N255" i="3"/>
  <c r="M255" i="3"/>
  <c r="L255" i="3"/>
  <c r="K255" i="3"/>
  <c r="J255" i="3"/>
  <c r="Q254" i="3"/>
  <c r="P254" i="3"/>
  <c r="R254" i="3" s="1"/>
  <c r="L254" i="3"/>
  <c r="N254" i="3" s="1"/>
  <c r="K254" i="3"/>
  <c r="M254" i="3" s="1"/>
  <c r="J254" i="3"/>
  <c r="Q253" i="3"/>
  <c r="P253" i="3"/>
  <c r="R253" i="3" s="1"/>
  <c r="L253" i="3"/>
  <c r="N253" i="3" s="1"/>
  <c r="K253" i="3"/>
  <c r="M253" i="3" s="1"/>
  <c r="J253" i="3"/>
  <c r="Q147" i="2"/>
  <c r="P147" i="2"/>
  <c r="L147" i="2"/>
  <c r="N147" i="2" s="1"/>
  <c r="K147" i="2"/>
  <c r="M147" i="2" s="1"/>
  <c r="J147" i="2"/>
  <c r="Y146" i="2"/>
  <c r="R146" i="2"/>
  <c r="S146" i="2" s="1"/>
  <c r="L146" i="2"/>
  <c r="N146" i="2" s="1"/>
  <c r="K146" i="2"/>
  <c r="M146" i="2" s="1"/>
  <c r="J146" i="2"/>
  <c r="Y145" i="2"/>
  <c r="R145" i="2"/>
  <c r="T145" i="2" s="1"/>
  <c r="L145" i="2"/>
  <c r="N145" i="2" s="1"/>
  <c r="K145" i="2"/>
  <c r="M145" i="2" s="1"/>
  <c r="J145" i="2"/>
  <c r="Y144" i="2"/>
  <c r="R144" i="2"/>
  <c r="T144" i="2" s="1"/>
  <c r="L144" i="2"/>
  <c r="N144" i="2" s="1"/>
  <c r="K144" i="2"/>
  <c r="M144" i="2" s="1"/>
  <c r="J144" i="2"/>
  <c r="Y143" i="2"/>
  <c r="R143" i="2"/>
  <c r="T143" i="2" s="1"/>
  <c r="L143" i="2"/>
  <c r="N143" i="2" s="1"/>
  <c r="K143" i="2"/>
  <c r="M143" i="2" s="1"/>
  <c r="J143" i="2"/>
  <c r="Y142" i="2"/>
  <c r="Q142" i="2"/>
  <c r="P142" i="2"/>
  <c r="L142" i="2"/>
  <c r="N142" i="2" s="1"/>
  <c r="K142" i="2"/>
  <c r="M142" i="2" s="1"/>
  <c r="J142" i="2"/>
  <c r="Y141" i="2"/>
  <c r="Q141" i="2"/>
  <c r="P141" i="2"/>
  <c r="L141" i="2"/>
  <c r="N141" i="2" s="1"/>
  <c r="K141" i="2"/>
  <c r="M141" i="2" s="1"/>
  <c r="J141" i="2"/>
  <c r="Y140" i="2"/>
  <c r="Q140" i="2"/>
  <c r="P140" i="2"/>
  <c r="L140" i="2"/>
  <c r="N140" i="2" s="1"/>
  <c r="K140" i="2"/>
  <c r="M140" i="2" s="1"/>
  <c r="J140" i="2"/>
  <c r="Y139" i="2"/>
  <c r="Q139" i="2"/>
  <c r="P139" i="2"/>
  <c r="N139" i="2"/>
  <c r="K139" i="2"/>
  <c r="M139" i="2" s="1"/>
  <c r="J139" i="2"/>
  <c r="Y138" i="2"/>
  <c r="Q138" i="2"/>
  <c r="P138" i="2"/>
  <c r="L138" i="2"/>
  <c r="N138" i="2" s="1"/>
  <c r="K138" i="2"/>
  <c r="M138" i="2" s="1"/>
  <c r="J138" i="2"/>
  <c r="Y137" i="2"/>
  <c r="Q137" i="2"/>
  <c r="P137" i="2"/>
  <c r="L137" i="2"/>
  <c r="N137" i="2" s="1"/>
  <c r="K137" i="2"/>
  <c r="M137" i="2" s="1"/>
  <c r="J137" i="2"/>
  <c r="Q136" i="2"/>
  <c r="P136" i="2"/>
  <c r="L136" i="2"/>
  <c r="N136" i="2" s="1"/>
  <c r="K136" i="2"/>
  <c r="M136" i="2" s="1"/>
  <c r="J136" i="2"/>
  <c r="Q135" i="2"/>
  <c r="P135" i="2"/>
  <c r="L135" i="2"/>
  <c r="N135" i="2" s="1"/>
  <c r="K135" i="2"/>
  <c r="M135" i="2" s="1"/>
  <c r="J135" i="2"/>
  <c r="Q134" i="2"/>
  <c r="P134" i="2"/>
  <c r="L134" i="2"/>
  <c r="N134" i="2" s="1"/>
  <c r="K134" i="2"/>
  <c r="M134" i="2" s="1"/>
  <c r="J134" i="2"/>
  <c r="Q133" i="2"/>
  <c r="P133" i="2"/>
  <c r="L133" i="2"/>
  <c r="N133" i="2" s="1"/>
  <c r="K133" i="2"/>
  <c r="M133" i="2" s="1"/>
  <c r="J133" i="2"/>
  <c r="Q132" i="2"/>
  <c r="P132" i="2"/>
  <c r="L132" i="2"/>
  <c r="N132" i="2" s="1"/>
  <c r="K132" i="2"/>
  <c r="M132" i="2" s="1"/>
  <c r="J132" i="2"/>
  <c r="Q131" i="2"/>
  <c r="P131" i="2"/>
  <c r="L131" i="2"/>
  <c r="N131" i="2" s="1"/>
  <c r="K131" i="2"/>
  <c r="M131" i="2" s="1"/>
  <c r="J131" i="2"/>
  <c r="Q130" i="2"/>
  <c r="P130" i="2"/>
  <c r="L130" i="2"/>
  <c r="N130" i="2" s="1"/>
  <c r="K130" i="2"/>
  <c r="M130" i="2" s="1"/>
  <c r="J130" i="2"/>
  <c r="Q129" i="2"/>
  <c r="P129" i="2"/>
  <c r="L129" i="2"/>
  <c r="N129" i="2" s="1"/>
  <c r="K129" i="2"/>
  <c r="M129" i="2" s="1"/>
  <c r="J129" i="2"/>
  <c r="Q128" i="2"/>
  <c r="P128" i="2"/>
  <c r="L128" i="2"/>
  <c r="N128" i="2" s="1"/>
  <c r="K128" i="2"/>
  <c r="M128" i="2" s="1"/>
  <c r="J128" i="2"/>
  <c r="Q127" i="2"/>
  <c r="P127" i="2"/>
  <c r="L127" i="2"/>
  <c r="N127" i="2" s="1"/>
  <c r="K127" i="2"/>
  <c r="M127" i="2" s="1"/>
  <c r="J127" i="2"/>
  <c r="Q126" i="2"/>
  <c r="P126" i="2"/>
  <c r="L126" i="2"/>
  <c r="N126" i="2" s="1"/>
  <c r="K126" i="2"/>
  <c r="M126" i="2" s="1"/>
  <c r="J126" i="2"/>
  <c r="Q125" i="2"/>
  <c r="P125" i="2"/>
  <c r="L125" i="2"/>
  <c r="N125" i="2" s="1"/>
  <c r="K125" i="2"/>
  <c r="M125" i="2" s="1"/>
  <c r="J125" i="2"/>
  <c r="Q124" i="2"/>
  <c r="P124" i="2"/>
  <c r="L124" i="2"/>
  <c r="N124" i="2" s="1"/>
  <c r="K124" i="2"/>
  <c r="M124" i="2" s="1"/>
  <c r="J124" i="2"/>
  <c r="Q123" i="2"/>
  <c r="P123" i="2"/>
  <c r="L123" i="2"/>
  <c r="N123" i="2" s="1"/>
  <c r="K123" i="2"/>
  <c r="M123" i="2" s="1"/>
  <c r="J123" i="2"/>
  <c r="Q122" i="2"/>
  <c r="P122" i="2"/>
  <c r="L122" i="2"/>
  <c r="N122" i="2" s="1"/>
  <c r="K122" i="2"/>
  <c r="M122" i="2" s="1"/>
  <c r="J122" i="2"/>
  <c r="Q121" i="2"/>
  <c r="P121" i="2"/>
  <c r="L121" i="2"/>
  <c r="N121" i="2" s="1"/>
  <c r="K121" i="2"/>
  <c r="M121" i="2" s="1"/>
  <c r="J121" i="2"/>
  <c r="Q120" i="2"/>
  <c r="P120" i="2"/>
  <c r="L120" i="2"/>
  <c r="N120" i="2" s="1"/>
  <c r="K120" i="2"/>
  <c r="M120" i="2" s="1"/>
  <c r="J120" i="2"/>
  <c r="Q119" i="2"/>
  <c r="P119" i="2"/>
  <c r="L119" i="2"/>
  <c r="N119" i="2" s="1"/>
  <c r="K119" i="2"/>
  <c r="M119" i="2" s="1"/>
  <c r="J119" i="2"/>
  <c r="Q118" i="2"/>
  <c r="P118" i="2"/>
  <c r="L118" i="2"/>
  <c r="N118" i="2" s="1"/>
  <c r="K118" i="2"/>
  <c r="M118" i="2" s="1"/>
  <c r="J118" i="2"/>
  <c r="Q117" i="2"/>
  <c r="P117" i="2"/>
  <c r="L117" i="2"/>
  <c r="N117" i="2" s="1"/>
  <c r="K117" i="2"/>
  <c r="M117" i="2" s="1"/>
  <c r="J117" i="2"/>
  <c r="Q116" i="2"/>
  <c r="P116" i="2"/>
  <c r="L116" i="2"/>
  <c r="N116" i="2" s="1"/>
  <c r="K116" i="2"/>
  <c r="M116" i="2" s="1"/>
  <c r="J116" i="2"/>
  <c r="Q115" i="2"/>
  <c r="P115" i="2"/>
  <c r="L115" i="2"/>
  <c r="N115" i="2" s="1"/>
  <c r="K115" i="2"/>
  <c r="M115" i="2" s="1"/>
  <c r="J115" i="2"/>
  <c r="Q114" i="2"/>
  <c r="P114" i="2"/>
  <c r="L114" i="2"/>
  <c r="N114" i="2" s="1"/>
  <c r="K114" i="2"/>
  <c r="M114" i="2" s="1"/>
  <c r="J114" i="2"/>
  <c r="Q113" i="2"/>
  <c r="P113" i="2"/>
  <c r="L113" i="2"/>
  <c r="N113" i="2" s="1"/>
  <c r="K113" i="2"/>
  <c r="M113" i="2" s="1"/>
  <c r="J113" i="2"/>
  <c r="Q112" i="2"/>
  <c r="P112" i="2"/>
  <c r="L112" i="2"/>
  <c r="N112" i="2" s="1"/>
  <c r="K112" i="2"/>
  <c r="M112" i="2" s="1"/>
  <c r="J112" i="2"/>
  <c r="Q111" i="2"/>
  <c r="P111" i="2"/>
  <c r="L111" i="2"/>
  <c r="N111" i="2" s="1"/>
  <c r="K111" i="2"/>
  <c r="M111" i="2" s="1"/>
  <c r="J111" i="2"/>
  <c r="Q110" i="2"/>
  <c r="P110" i="2"/>
  <c r="L110" i="2"/>
  <c r="N110" i="2" s="1"/>
  <c r="K110" i="2"/>
  <c r="M110" i="2" s="1"/>
  <c r="J110" i="2"/>
  <c r="Q109" i="2"/>
  <c r="P109" i="2"/>
  <c r="L109" i="2"/>
  <c r="N109" i="2" s="1"/>
  <c r="K109" i="2"/>
  <c r="M109" i="2" s="1"/>
  <c r="J109" i="2"/>
  <c r="Q108" i="2"/>
  <c r="P108" i="2"/>
  <c r="L108" i="2"/>
  <c r="N108" i="2" s="1"/>
  <c r="K108" i="2"/>
  <c r="M108" i="2" s="1"/>
  <c r="J108" i="2"/>
  <c r="Q107" i="2"/>
  <c r="P107" i="2"/>
  <c r="L107" i="2"/>
  <c r="N107" i="2" s="1"/>
  <c r="K107" i="2"/>
  <c r="M107" i="2" s="1"/>
  <c r="J107" i="2"/>
  <c r="Q106" i="2"/>
  <c r="P106" i="2"/>
  <c r="L106" i="2"/>
  <c r="N106" i="2" s="1"/>
  <c r="K106" i="2"/>
  <c r="M106" i="2" s="1"/>
  <c r="J106" i="2"/>
  <c r="Q105" i="2"/>
  <c r="P105" i="2"/>
  <c r="L105" i="2"/>
  <c r="N105" i="2" s="1"/>
  <c r="K105" i="2"/>
  <c r="M105" i="2" s="1"/>
  <c r="J105" i="2"/>
  <c r="Q104" i="2"/>
  <c r="P104" i="2"/>
  <c r="L104" i="2"/>
  <c r="N104" i="2" s="1"/>
  <c r="K104" i="2"/>
  <c r="M104" i="2" s="1"/>
  <c r="J104" i="2"/>
  <c r="Q103" i="2"/>
  <c r="P103" i="2"/>
  <c r="L103" i="2"/>
  <c r="N103" i="2" s="1"/>
  <c r="K103" i="2"/>
  <c r="M103" i="2" s="1"/>
  <c r="J103" i="2"/>
  <c r="Q102" i="2"/>
  <c r="P102" i="2"/>
  <c r="L102" i="2"/>
  <c r="N102" i="2" s="1"/>
  <c r="K102" i="2"/>
  <c r="M102" i="2" s="1"/>
  <c r="J102" i="2"/>
  <c r="Q149" i="5"/>
  <c r="P149" i="5"/>
  <c r="L149" i="5"/>
  <c r="N149" i="5" s="1"/>
  <c r="K149" i="5"/>
  <c r="M149" i="5" s="1"/>
  <c r="Y148" i="5"/>
  <c r="Q148" i="5"/>
  <c r="P148" i="5"/>
  <c r="L148" i="5"/>
  <c r="N148" i="5" s="1"/>
  <c r="K148" i="5"/>
  <c r="M148" i="5" s="1"/>
  <c r="Q147" i="5"/>
  <c r="P147" i="5"/>
  <c r="L147" i="5"/>
  <c r="N147" i="5" s="1"/>
  <c r="K147" i="5"/>
  <c r="M147" i="5" s="1"/>
  <c r="Q146" i="5"/>
  <c r="P146" i="5"/>
  <c r="L146" i="5"/>
  <c r="N146" i="5" s="1"/>
  <c r="K146" i="5"/>
  <c r="M146" i="5" s="1"/>
  <c r="Y145" i="5"/>
  <c r="Q145" i="5"/>
  <c r="P145" i="5"/>
  <c r="L145" i="5"/>
  <c r="N145" i="5" s="1"/>
  <c r="K145" i="5"/>
  <c r="M145" i="5" s="1"/>
  <c r="Q144" i="5"/>
  <c r="P144" i="5"/>
  <c r="L144" i="5"/>
  <c r="N144" i="5" s="1"/>
  <c r="K144" i="5"/>
  <c r="M144" i="5" s="1"/>
  <c r="Q143" i="5"/>
  <c r="P143" i="5"/>
  <c r="L143" i="5"/>
  <c r="N143" i="5" s="1"/>
  <c r="K143" i="5"/>
  <c r="M143" i="5" s="1"/>
  <c r="Q142" i="5"/>
  <c r="P142" i="5"/>
  <c r="L142" i="5"/>
  <c r="N142" i="5" s="1"/>
  <c r="K142" i="5"/>
  <c r="M142" i="5" s="1"/>
  <c r="Y141" i="5"/>
  <c r="Q141" i="5"/>
  <c r="P141" i="5"/>
  <c r="L141" i="5"/>
  <c r="N141" i="5" s="1"/>
  <c r="K141" i="5"/>
  <c r="M141" i="5" s="1"/>
  <c r="J141" i="5"/>
  <c r="Y140" i="5"/>
  <c r="Q140" i="5"/>
  <c r="P140" i="5"/>
  <c r="L140" i="5"/>
  <c r="N140" i="5" s="1"/>
  <c r="K140" i="5"/>
  <c r="M140" i="5" s="1"/>
  <c r="J140" i="5"/>
  <c r="Q139" i="5"/>
  <c r="P139" i="5"/>
  <c r="L139" i="5"/>
  <c r="N139" i="5" s="1"/>
  <c r="K139" i="5"/>
  <c r="M139" i="5" s="1"/>
  <c r="Q138" i="5"/>
  <c r="P138" i="5"/>
  <c r="L138" i="5"/>
  <c r="N138" i="5" s="1"/>
  <c r="K138" i="5"/>
  <c r="M138" i="5" s="1"/>
  <c r="Y138" i="5"/>
  <c r="Y137" i="5"/>
  <c r="Q137" i="5"/>
  <c r="P137" i="5"/>
  <c r="L137" i="5"/>
  <c r="N137" i="5" s="1"/>
  <c r="K137" i="5"/>
  <c r="M137" i="5" s="1"/>
  <c r="J137" i="5"/>
  <c r="Y136" i="5"/>
  <c r="Q136" i="5"/>
  <c r="P136" i="5"/>
  <c r="L136" i="5"/>
  <c r="N136" i="5" s="1"/>
  <c r="K136" i="5"/>
  <c r="M136" i="5" s="1"/>
  <c r="J136" i="5"/>
  <c r="Q135" i="5"/>
  <c r="P135" i="5"/>
  <c r="L135" i="5"/>
  <c r="N135" i="5" s="1"/>
  <c r="K135" i="5"/>
  <c r="M135" i="5" s="1"/>
  <c r="Y134" i="5"/>
  <c r="Q134" i="5"/>
  <c r="P134" i="5"/>
  <c r="L134" i="5"/>
  <c r="N134" i="5" s="1"/>
  <c r="K134" i="5"/>
  <c r="M134" i="5" s="1"/>
  <c r="J134" i="5"/>
  <c r="Y133" i="5"/>
  <c r="Q133" i="5"/>
  <c r="P133" i="5"/>
  <c r="L133" i="5"/>
  <c r="N133" i="5" s="1"/>
  <c r="K133" i="5"/>
  <c r="M133" i="5" s="1"/>
  <c r="J133" i="5"/>
  <c r="Q132" i="5"/>
  <c r="P132" i="5"/>
  <c r="L132" i="5"/>
  <c r="N132" i="5" s="1"/>
  <c r="K132" i="5"/>
  <c r="M132" i="5" s="1"/>
  <c r="Y132" i="5"/>
  <c r="Q131" i="5"/>
  <c r="P131" i="5"/>
  <c r="L131" i="5"/>
  <c r="N131" i="5" s="1"/>
  <c r="K131" i="5"/>
  <c r="M131" i="5" s="1"/>
  <c r="Y131" i="5"/>
  <c r="Y130" i="5"/>
  <c r="Q130" i="5"/>
  <c r="P130" i="5"/>
  <c r="L130" i="5"/>
  <c r="N130" i="5" s="1"/>
  <c r="K130" i="5"/>
  <c r="M130" i="5" s="1"/>
  <c r="J130" i="5"/>
  <c r="Q129" i="5"/>
  <c r="P129" i="5"/>
  <c r="L129" i="5"/>
  <c r="N129" i="5" s="1"/>
  <c r="K129" i="5"/>
  <c r="M129" i="5" s="1"/>
  <c r="Y129" i="5"/>
  <c r="Y128" i="5"/>
  <c r="Q128" i="5"/>
  <c r="P128" i="5"/>
  <c r="L128" i="5"/>
  <c r="N128" i="5" s="1"/>
  <c r="K128" i="5"/>
  <c r="M128" i="5" s="1"/>
  <c r="J128" i="5"/>
  <c r="Y127" i="5"/>
  <c r="Q127" i="5"/>
  <c r="P127" i="5"/>
  <c r="L127" i="5"/>
  <c r="N127" i="5" s="1"/>
  <c r="K127" i="5"/>
  <c r="M127" i="5" s="1"/>
  <c r="J127" i="5"/>
  <c r="Y126" i="5"/>
  <c r="Q126" i="5"/>
  <c r="P126" i="5"/>
  <c r="L126" i="5"/>
  <c r="N126" i="5" s="1"/>
  <c r="K126" i="5"/>
  <c r="M126" i="5" s="1"/>
  <c r="J126" i="5"/>
  <c r="Y125" i="5"/>
  <c r="Q125" i="5"/>
  <c r="P125" i="5"/>
  <c r="L125" i="5"/>
  <c r="N125" i="5" s="1"/>
  <c r="K125" i="5"/>
  <c r="M125" i="5" s="1"/>
  <c r="J125" i="5"/>
  <c r="Y124" i="5"/>
  <c r="Q124" i="5"/>
  <c r="P124" i="5"/>
  <c r="L124" i="5"/>
  <c r="N124" i="5" s="1"/>
  <c r="K124" i="5"/>
  <c r="M124" i="5" s="1"/>
  <c r="J124" i="5"/>
  <c r="Y123" i="5"/>
  <c r="Q123" i="5"/>
  <c r="P123" i="5"/>
  <c r="L123" i="5"/>
  <c r="N123" i="5" s="1"/>
  <c r="K123" i="5"/>
  <c r="M123" i="5" s="1"/>
  <c r="J123" i="5"/>
  <c r="Y122" i="5"/>
  <c r="Q122" i="5"/>
  <c r="P122" i="5"/>
  <c r="L122" i="5"/>
  <c r="N122" i="5" s="1"/>
  <c r="K122" i="5"/>
  <c r="M122" i="5" s="1"/>
  <c r="Q121" i="5"/>
  <c r="P121" i="5"/>
  <c r="L121" i="5"/>
  <c r="N121" i="5" s="1"/>
  <c r="K121" i="5"/>
  <c r="M121" i="5" s="1"/>
  <c r="Y120" i="5"/>
  <c r="Q120" i="5"/>
  <c r="P120" i="5"/>
  <c r="L120" i="5"/>
  <c r="N120" i="5" s="1"/>
  <c r="K120" i="5"/>
  <c r="M120" i="5" s="1"/>
  <c r="J120" i="5"/>
  <c r="Y119" i="5"/>
  <c r="Q119" i="5"/>
  <c r="P119" i="5"/>
  <c r="L119" i="5"/>
  <c r="N119" i="5" s="1"/>
  <c r="K119" i="5"/>
  <c r="M119" i="5" s="1"/>
  <c r="J119" i="5"/>
  <c r="Q118" i="5"/>
  <c r="P118" i="5"/>
  <c r="L118" i="5"/>
  <c r="N118" i="5" s="1"/>
  <c r="K118" i="5"/>
  <c r="M118" i="5" s="1"/>
  <c r="Q117" i="5"/>
  <c r="P117" i="5"/>
  <c r="L117" i="5"/>
  <c r="N117" i="5" s="1"/>
  <c r="K117" i="5"/>
  <c r="M117" i="5" s="1"/>
  <c r="Y117" i="5"/>
  <c r="Q116" i="5"/>
  <c r="P116" i="5"/>
  <c r="L116" i="5"/>
  <c r="N116" i="5" s="1"/>
  <c r="K116" i="5"/>
  <c r="M116" i="5" s="1"/>
  <c r="Y116" i="5"/>
  <c r="Q115" i="5"/>
  <c r="P115" i="5"/>
  <c r="L115" i="5"/>
  <c r="N115" i="5" s="1"/>
  <c r="K115" i="5"/>
  <c r="M115" i="5" s="1"/>
  <c r="Y114" i="5"/>
  <c r="Q114" i="5"/>
  <c r="P114" i="5"/>
  <c r="L114" i="5"/>
  <c r="N114" i="5" s="1"/>
  <c r="K114" i="5"/>
  <c r="M114" i="5" s="1"/>
  <c r="J114" i="5"/>
  <c r="Y113" i="5"/>
  <c r="Q113" i="5"/>
  <c r="P113" i="5"/>
  <c r="L113" i="5"/>
  <c r="N113" i="5" s="1"/>
  <c r="K113" i="5"/>
  <c r="M113" i="5" s="1"/>
  <c r="J113" i="5"/>
  <c r="Y112" i="5"/>
  <c r="Q112" i="5"/>
  <c r="P112" i="5"/>
  <c r="L112" i="5"/>
  <c r="N112" i="5" s="1"/>
  <c r="K112" i="5"/>
  <c r="M112" i="5" s="1"/>
  <c r="J112" i="5"/>
  <c r="Y111" i="5"/>
  <c r="Q111" i="5"/>
  <c r="P111" i="5"/>
  <c r="L111" i="5"/>
  <c r="N111" i="5" s="1"/>
  <c r="K111" i="5"/>
  <c r="M111" i="5" s="1"/>
  <c r="J111" i="5"/>
  <c r="Y110" i="5"/>
  <c r="Q110" i="5"/>
  <c r="P110" i="5"/>
  <c r="L110" i="5"/>
  <c r="N110" i="5" s="1"/>
  <c r="K110" i="5"/>
  <c r="M110" i="5" s="1"/>
  <c r="J110" i="5"/>
  <c r="Y109" i="5"/>
  <c r="Q109" i="5"/>
  <c r="P109" i="5"/>
  <c r="L109" i="5"/>
  <c r="N109" i="5" s="1"/>
  <c r="K109" i="5"/>
  <c r="M109" i="5" s="1"/>
  <c r="J109" i="5"/>
  <c r="Y108" i="5"/>
  <c r="Q108" i="5"/>
  <c r="P108" i="5"/>
  <c r="L108" i="5"/>
  <c r="N108" i="5" s="1"/>
  <c r="K108" i="5"/>
  <c r="M108" i="5" s="1"/>
  <c r="Y107" i="5"/>
  <c r="Q107" i="5"/>
  <c r="P107" i="5"/>
  <c r="L107" i="5"/>
  <c r="N107" i="5" s="1"/>
  <c r="K107" i="5"/>
  <c r="M107" i="5" s="1"/>
  <c r="J107" i="5"/>
  <c r="Y106" i="5"/>
  <c r="Q106" i="5"/>
  <c r="P106" i="5"/>
  <c r="L106" i="5"/>
  <c r="N106" i="5" s="1"/>
  <c r="K106" i="5"/>
  <c r="M106" i="5" s="1"/>
  <c r="J106" i="5"/>
  <c r="Y105" i="5"/>
  <c r="Q105" i="5"/>
  <c r="P105" i="5"/>
  <c r="L105" i="5"/>
  <c r="N105" i="5" s="1"/>
  <c r="K105" i="5"/>
  <c r="M105" i="5" s="1"/>
  <c r="Y104" i="5"/>
  <c r="Q104" i="5"/>
  <c r="P104" i="5"/>
  <c r="L104" i="5"/>
  <c r="N104" i="5" s="1"/>
  <c r="K104" i="5"/>
  <c r="M104" i="5" s="1"/>
  <c r="Q103" i="5"/>
  <c r="P103" i="5"/>
  <c r="L103" i="5"/>
  <c r="N103" i="5" s="1"/>
  <c r="K103" i="5"/>
  <c r="Y102" i="5"/>
  <c r="Q102" i="5"/>
  <c r="P102" i="5"/>
  <c r="L102" i="5"/>
  <c r="N102" i="5" s="1"/>
  <c r="K102" i="5"/>
  <c r="M102" i="5" s="1"/>
  <c r="J102" i="5"/>
  <c r="Q101" i="5"/>
  <c r="P101" i="5"/>
  <c r="L101" i="5"/>
  <c r="N101" i="5" s="1"/>
  <c r="K101" i="5"/>
  <c r="M101" i="5" s="1"/>
  <c r="Y100" i="5"/>
  <c r="Q100" i="5"/>
  <c r="P100" i="5"/>
  <c r="L100" i="5"/>
  <c r="N100" i="5" s="1"/>
  <c r="K100" i="5"/>
  <c r="M100" i="5" s="1"/>
  <c r="J100" i="5"/>
  <c r="Y99" i="5"/>
  <c r="Q99" i="5"/>
  <c r="P99" i="5"/>
  <c r="L99" i="5"/>
  <c r="N99" i="5" s="1"/>
  <c r="K99" i="5"/>
  <c r="M99" i="5" s="1"/>
  <c r="J99" i="5"/>
  <c r="Y98" i="5"/>
  <c r="Q98" i="5"/>
  <c r="P98" i="5"/>
  <c r="L98" i="5"/>
  <c r="N98" i="5" s="1"/>
  <c r="K98" i="5"/>
  <c r="M98" i="5" s="1"/>
  <c r="J98" i="5"/>
  <c r="Y97" i="5"/>
  <c r="Q97" i="5"/>
  <c r="P97" i="5"/>
  <c r="L97" i="5"/>
  <c r="N97" i="5" s="1"/>
  <c r="K97" i="5"/>
  <c r="M97" i="5" s="1"/>
  <c r="J97" i="5"/>
  <c r="Y96" i="5"/>
  <c r="Q96" i="5"/>
  <c r="P96" i="5"/>
  <c r="L96" i="5"/>
  <c r="N96" i="5" s="1"/>
  <c r="K96" i="5"/>
  <c r="M96" i="5" s="1"/>
  <c r="J96" i="5"/>
  <c r="Q95" i="5"/>
  <c r="P95" i="5"/>
  <c r="L95" i="5"/>
  <c r="N95" i="5" s="1"/>
  <c r="K95" i="5"/>
  <c r="M95" i="5" s="1"/>
  <c r="J95" i="5"/>
  <c r="Y94" i="5"/>
  <c r="Q94" i="5"/>
  <c r="P94" i="5"/>
  <c r="L94" i="5"/>
  <c r="K94" i="5"/>
  <c r="M94" i="5" s="1"/>
  <c r="Y93" i="5"/>
  <c r="Q93" i="5"/>
  <c r="P93" i="5"/>
  <c r="L93" i="5"/>
  <c r="N93" i="5" s="1"/>
  <c r="K93" i="5"/>
  <c r="M93" i="5" s="1"/>
  <c r="J93" i="5"/>
  <c r="Y92" i="5"/>
  <c r="Q92" i="5"/>
  <c r="P92" i="5"/>
  <c r="L92" i="5"/>
  <c r="N92" i="5" s="1"/>
  <c r="K92" i="5"/>
  <c r="M92" i="5" s="1"/>
  <c r="J92" i="5"/>
  <c r="Q91" i="5"/>
  <c r="P91" i="5"/>
  <c r="L91" i="5"/>
  <c r="N91" i="5" s="1"/>
  <c r="K91" i="5"/>
  <c r="M91" i="5" s="1"/>
  <c r="Y90" i="5"/>
  <c r="Q90" i="5"/>
  <c r="P90" i="5"/>
  <c r="L90" i="5"/>
  <c r="N90" i="5" s="1"/>
  <c r="K90" i="5"/>
  <c r="M90" i="5" s="1"/>
  <c r="J90" i="5"/>
  <c r="Y89" i="5"/>
  <c r="Q89" i="5"/>
  <c r="P89" i="5"/>
  <c r="L89" i="5"/>
  <c r="N89" i="5" s="1"/>
  <c r="K89" i="5"/>
  <c r="M89" i="5" s="1"/>
  <c r="J89" i="5"/>
  <c r="Y88" i="5"/>
  <c r="Q88" i="5"/>
  <c r="P88" i="5"/>
  <c r="L88" i="5"/>
  <c r="N88" i="5" s="1"/>
  <c r="K88" i="5"/>
  <c r="M88" i="5" s="1"/>
  <c r="J88" i="5"/>
  <c r="Y87" i="5"/>
  <c r="Q87" i="5"/>
  <c r="P87" i="5"/>
  <c r="L87" i="5"/>
  <c r="N87" i="5" s="1"/>
  <c r="K87" i="5"/>
  <c r="M87" i="5" s="1"/>
  <c r="J87" i="5"/>
  <c r="Y86" i="5"/>
  <c r="Q86" i="5"/>
  <c r="P86" i="5"/>
  <c r="L86" i="5"/>
  <c r="N86" i="5" s="1"/>
  <c r="K86" i="5"/>
  <c r="M86" i="5" s="1"/>
  <c r="J86" i="5"/>
  <c r="Y85" i="5"/>
  <c r="Q85" i="5"/>
  <c r="P85" i="5"/>
  <c r="L85" i="5"/>
  <c r="N85" i="5" s="1"/>
  <c r="K85" i="5"/>
  <c r="M85" i="5" s="1"/>
  <c r="J85" i="5"/>
  <c r="Y84" i="5"/>
  <c r="Q84" i="5"/>
  <c r="P84" i="5"/>
  <c r="L84" i="5"/>
  <c r="N84" i="5" s="1"/>
  <c r="K84" i="5"/>
  <c r="M84" i="5" s="1"/>
  <c r="J84" i="5"/>
  <c r="Q83" i="5"/>
  <c r="P83" i="5"/>
  <c r="L83" i="5"/>
  <c r="N83" i="5" s="1"/>
  <c r="K83" i="5"/>
  <c r="M83" i="5" s="1"/>
  <c r="Y82" i="5"/>
  <c r="Q82" i="5"/>
  <c r="P82" i="5"/>
  <c r="L82" i="5"/>
  <c r="N82" i="5" s="1"/>
  <c r="K82" i="5"/>
  <c r="M82" i="5" s="1"/>
  <c r="J82" i="5"/>
  <c r="Q81" i="5"/>
  <c r="P81" i="5"/>
  <c r="L81" i="5"/>
  <c r="N81" i="5" s="1"/>
  <c r="K81" i="5"/>
  <c r="M81" i="5" s="1"/>
  <c r="Y80" i="5"/>
  <c r="Q80" i="5"/>
  <c r="P80" i="5"/>
  <c r="L80" i="5"/>
  <c r="N80" i="5" s="1"/>
  <c r="K80" i="5"/>
  <c r="M80" i="5" s="1"/>
  <c r="J80" i="5"/>
  <c r="Y79" i="5"/>
  <c r="Q79" i="5"/>
  <c r="P79" i="5"/>
  <c r="L79" i="5"/>
  <c r="N79" i="5" s="1"/>
  <c r="K79" i="5"/>
  <c r="M79" i="5" s="1"/>
  <c r="J79" i="5"/>
  <c r="Y78" i="5"/>
  <c r="Q78" i="5"/>
  <c r="P78" i="5"/>
  <c r="L78" i="5"/>
  <c r="N78" i="5" s="1"/>
  <c r="K78" i="5"/>
  <c r="M78" i="5" s="1"/>
  <c r="J78" i="5"/>
  <c r="Q77" i="5"/>
  <c r="P77" i="5"/>
  <c r="L77" i="5"/>
  <c r="N77" i="5" s="1"/>
  <c r="K77" i="5"/>
  <c r="M77" i="5" s="1"/>
  <c r="Y77" i="5"/>
  <c r="Y76" i="5"/>
  <c r="Q76" i="5"/>
  <c r="P76" i="5"/>
  <c r="L76" i="5"/>
  <c r="N76" i="5" s="1"/>
  <c r="K76" i="5"/>
  <c r="M76" i="5" s="1"/>
  <c r="J76" i="5"/>
  <c r="Q75" i="5"/>
  <c r="P75" i="5"/>
  <c r="L75" i="5"/>
  <c r="N75" i="5" s="1"/>
  <c r="K75" i="5"/>
  <c r="M75" i="5" s="1"/>
  <c r="J75" i="5"/>
  <c r="Y74" i="5"/>
  <c r="Q74" i="5"/>
  <c r="P74" i="5"/>
  <c r="L74" i="5"/>
  <c r="N74" i="5" s="1"/>
  <c r="K74" i="5"/>
  <c r="M74" i="5" s="1"/>
  <c r="J74" i="5"/>
  <c r="Y73" i="5"/>
  <c r="Q73" i="5"/>
  <c r="P73" i="5"/>
  <c r="L73" i="5"/>
  <c r="N73" i="5" s="1"/>
  <c r="K73" i="5"/>
  <c r="M73" i="5" s="1"/>
  <c r="J73" i="5"/>
  <c r="Y72" i="5"/>
  <c r="Q72" i="5"/>
  <c r="P72" i="5"/>
  <c r="L72" i="5"/>
  <c r="N72" i="5" s="1"/>
  <c r="K72" i="5"/>
  <c r="M72" i="5" s="1"/>
  <c r="J72" i="5"/>
  <c r="Y71" i="5"/>
  <c r="Q71" i="5"/>
  <c r="P71" i="5"/>
  <c r="L71" i="5"/>
  <c r="N71" i="5" s="1"/>
  <c r="K71" i="5"/>
  <c r="M71" i="5" s="1"/>
  <c r="J71" i="5"/>
  <c r="Y70" i="5"/>
  <c r="Q70" i="5"/>
  <c r="P70" i="5"/>
  <c r="L70" i="5"/>
  <c r="N70" i="5" s="1"/>
  <c r="K70" i="5"/>
  <c r="M70" i="5" s="1"/>
  <c r="J70" i="5"/>
  <c r="Q69" i="5"/>
  <c r="P69" i="5"/>
  <c r="L69" i="5"/>
  <c r="N69" i="5" s="1"/>
  <c r="K69" i="5"/>
  <c r="M69" i="5" s="1"/>
  <c r="Y68" i="5"/>
  <c r="Q68" i="5"/>
  <c r="P68" i="5"/>
  <c r="L68" i="5"/>
  <c r="N68" i="5" s="1"/>
  <c r="K68" i="5"/>
  <c r="M68" i="5" s="1"/>
  <c r="J68" i="5"/>
  <c r="Q67" i="5"/>
  <c r="P67" i="5"/>
  <c r="L67" i="5"/>
  <c r="N67" i="5" s="1"/>
  <c r="K67" i="5"/>
  <c r="M67" i="5" s="1"/>
  <c r="Z368" i="4"/>
  <c r="R367" i="4"/>
  <c r="Q367" i="4"/>
  <c r="S367" i="4" s="1"/>
  <c r="M367" i="4"/>
  <c r="L367" i="4"/>
  <c r="H367" i="4"/>
  <c r="K367" i="4" s="1"/>
  <c r="S366" i="4"/>
  <c r="R366" i="4"/>
  <c r="Q366" i="4"/>
  <c r="M366" i="4"/>
  <c r="L366" i="4"/>
  <c r="H366" i="4"/>
  <c r="Z365" i="4"/>
  <c r="S364" i="4"/>
  <c r="U364" i="4" s="1"/>
  <c r="R364" i="4"/>
  <c r="Q364" i="4"/>
  <c r="M364" i="4"/>
  <c r="L364" i="4"/>
  <c r="H364" i="4"/>
  <c r="Z364" i="4" s="1"/>
  <c r="Z363" i="4"/>
  <c r="R363" i="4"/>
  <c r="Q363" i="4"/>
  <c r="S363" i="4" s="1"/>
  <c r="N363" i="4"/>
  <c r="M363" i="4"/>
  <c r="O363" i="4" s="1"/>
  <c r="L363" i="4"/>
  <c r="Z362" i="4"/>
  <c r="R361" i="4"/>
  <c r="Q361" i="4"/>
  <c r="S361" i="4" s="1"/>
  <c r="M361" i="4"/>
  <c r="L361" i="4"/>
  <c r="H361" i="4"/>
  <c r="K361" i="4" s="1"/>
  <c r="Z360" i="4"/>
  <c r="R359" i="4"/>
  <c r="Q359" i="4"/>
  <c r="S359" i="4" s="1"/>
  <c r="M359" i="4"/>
  <c r="L359" i="4"/>
  <c r="H359" i="4"/>
  <c r="O359" i="4" s="1"/>
  <c r="Z358" i="4"/>
  <c r="R358" i="4"/>
  <c r="Q358" i="4"/>
  <c r="S358" i="4" s="1"/>
  <c r="U358" i="4" s="1"/>
  <c r="O358" i="4"/>
  <c r="M358" i="4"/>
  <c r="L358" i="4"/>
  <c r="N358" i="4" s="1"/>
  <c r="K358" i="4"/>
  <c r="Z357" i="4"/>
  <c r="R357" i="4"/>
  <c r="Q357" i="4"/>
  <c r="S357" i="4" s="1"/>
  <c r="M357" i="4"/>
  <c r="O357" i="4" s="1"/>
  <c r="L357" i="4"/>
  <c r="N357" i="4" s="1"/>
  <c r="K357" i="4"/>
  <c r="Z356" i="4"/>
  <c r="R356" i="4"/>
  <c r="Q356" i="4"/>
  <c r="S356" i="4" s="1"/>
  <c r="M356" i="4"/>
  <c r="O356" i="4" s="1"/>
  <c r="L356" i="4"/>
  <c r="N356" i="4" s="1"/>
  <c r="K356" i="4"/>
  <c r="Z355" i="4"/>
  <c r="R355" i="4"/>
  <c r="Q355" i="4"/>
  <c r="M355" i="4"/>
  <c r="O355" i="4" s="1"/>
  <c r="L355" i="4"/>
  <c r="N355" i="4" s="1"/>
  <c r="K355" i="4"/>
  <c r="Z354" i="4"/>
  <c r="T354" i="4"/>
  <c r="S354" i="4"/>
  <c r="R354" i="4"/>
  <c r="Q354" i="4"/>
  <c r="N354" i="4"/>
  <c r="M354" i="4"/>
  <c r="O354" i="4" s="1"/>
  <c r="L354" i="4"/>
  <c r="K354" i="4"/>
  <c r="AC353" i="4"/>
  <c r="AC371" i="4" s="1"/>
  <c r="AB353" i="4"/>
  <c r="AB371" i="4" s="1"/>
  <c r="Z351" i="4"/>
  <c r="R351" i="4"/>
  <c r="Q351" i="4"/>
  <c r="S351" i="4" s="1"/>
  <c r="U351" i="4" s="1"/>
  <c r="N351" i="4"/>
  <c r="M351" i="4"/>
  <c r="O351" i="4" s="1"/>
  <c r="L351" i="4"/>
  <c r="K351" i="4"/>
  <c r="Z350" i="4"/>
  <c r="Z349" i="4"/>
  <c r="R348" i="4"/>
  <c r="S348" i="4" s="1"/>
  <c r="Q348" i="4"/>
  <c r="M348" i="4"/>
  <c r="L348" i="4"/>
  <c r="H348" i="4"/>
  <c r="O348" i="4" s="1"/>
  <c r="Z347" i="4"/>
  <c r="Z346" i="4"/>
  <c r="Z345" i="4"/>
  <c r="R344" i="4"/>
  <c r="Q344" i="4"/>
  <c r="S344" i="4" s="1"/>
  <c r="M344" i="4"/>
  <c r="L344" i="4"/>
  <c r="H344" i="4"/>
  <c r="O344" i="4" s="1"/>
  <c r="Z343" i="4"/>
  <c r="R343" i="4"/>
  <c r="S343" i="4" s="1"/>
  <c r="Q343" i="4"/>
  <c r="O343" i="4"/>
  <c r="N343" i="4"/>
  <c r="M343" i="4"/>
  <c r="L343" i="4"/>
  <c r="K343" i="4"/>
  <c r="Z342" i="4"/>
  <c r="R342" i="4"/>
  <c r="Q342" i="4"/>
  <c r="S342" i="4" s="1"/>
  <c r="M342" i="4"/>
  <c r="O342" i="4" s="1"/>
  <c r="L342" i="4"/>
  <c r="N342" i="4" s="1"/>
  <c r="K342" i="4"/>
  <c r="Z341" i="4"/>
  <c r="R340" i="4"/>
  <c r="Q340" i="4"/>
  <c r="N340" i="4"/>
  <c r="M340" i="4"/>
  <c r="O340" i="4" s="1"/>
  <c r="L340" i="4"/>
  <c r="H340" i="4"/>
  <c r="K340" i="4" s="1"/>
  <c r="AC339" i="4"/>
  <c r="AB339" i="4"/>
  <c r="Z338" i="4"/>
  <c r="R337" i="4"/>
  <c r="Q337" i="4"/>
  <c r="S337" i="4" s="1"/>
  <c r="M337" i="4"/>
  <c r="L337" i="4"/>
  <c r="H337" i="4"/>
  <c r="Z336" i="4"/>
  <c r="Z335" i="4"/>
  <c r="Z334" i="4"/>
  <c r="R333" i="4"/>
  <c r="Q333" i="4"/>
  <c r="S333" i="4" s="1"/>
  <c r="M333" i="4"/>
  <c r="O333" i="4" s="1"/>
  <c r="L333" i="4"/>
  <c r="K333" i="4"/>
  <c r="H333" i="4"/>
  <c r="Z332" i="4"/>
  <c r="S331" i="4"/>
  <c r="T331" i="4" s="1"/>
  <c r="M331" i="4"/>
  <c r="L331" i="4"/>
  <c r="K331" i="4"/>
  <c r="H331" i="4"/>
  <c r="Z331" i="4" s="1"/>
  <c r="H330" i="4"/>
  <c r="Z330" i="4" s="1"/>
  <c r="Z329" i="4"/>
  <c r="S328" i="4"/>
  <c r="U328" i="4" s="1"/>
  <c r="R328" i="4"/>
  <c r="Q328" i="4"/>
  <c r="M328" i="4"/>
  <c r="L328" i="4"/>
  <c r="K328" i="4"/>
  <c r="H328" i="4"/>
  <c r="Z327" i="4"/>
  <c r="R327" i="4"/>
  <c r="S327" i="4" s="1"/>
  <c r="Q327" i="4"/>
  <c r="O327" i="4"/>
  <c r="N327" i="4"/>
  <c r="M327" i="4"/>
  <c r="L327" i="4"/>
  <c r="K327" i="4"/>
  <c r="Z326" i="4"/>
  <c r="Z325" i="4"/>
  <c r="S324" i="4"/>
  <c r="U324" i="4" s="1"/>
  <c r="R324" i="4"/>
  <c r="Q324" i="4"/>
  <c r="M324" i="4"/>
  <c r="L324" i="4"/>
  <c r="K324" i="4"/>
  <c r="H324" i="4"/>
  <c r="O324" i="4" s="1"/>
  <c r="Z323" i="4"/>
  <c r="R323" i="4"/>
  <c r="Q323" i="4"/>
  <c r="M323" i="4"/>
  <c r="O323" i="4" s="1"/>
  <c r="L323" i="4"/>
  <c r="N323" i="4" s="1"/>
  <c r="K323" i="4"/>
  <c r="Z322" i="4"/>
  <c r="T322" i="4"/>
  <c r="S322" i="4"/>
  <c r="U322" i="4" s="1"/>
  <c r="R322" i="4"/>
  <c r="Q322" i="4"/>
  <c r="N322" i="4"/>
  <c r="M322" i="4"/>
  <c r="O322" i="4" s="1"/>
  <c r="L322" i="4"/>
  <c r="K322" i="4"/>
  <c r="Z321" i="4"/>
  <c r="R321" i="4"/>
  <c r="Q321" i="4"/>
  <c r="M321" i="4"/>
  <c r="O321" i="4" s="1"/>
  <c r="L321" i="4"/>
  <c r="N321" i="4" s="1"/>
  <c r="K321" i="4"/>
  <c r="Z320" i="4"/>
  <c r="S319" i="4"/>
  <c r="R319" i="4"/>
  <c r="Q319" i="4"/>
  <c r="M319" i="4"/>
  <c r="L319" i="4"/>
  <c r="H319" i="4"/>
  <c r="AC318" i="4"/>
  <c r="AB318" i="4"/>
  <c r="Z316" i="4"/>
  <c r="R315" i="4"/>
  <c r="Q315" i="4"/>
  <c r="M315" i="4"/>
  <c r="L315" i="4"/>
  <c r="H315" i="4"/>
  <c r="Z315" i="4" s="1"/>
  <c r="Z314" i="4"/>
  <c r="R313" i="4"/>
  <c r="Q313" i="4"/>
  <c r="S313" i="4" s="1"/>
  <c r="M313" i="4"/>
  <c r="L313" i="4"/>
  <c r="H313" i="4"/>
  <c r="Z312" i="4"/>
  <c r="R312" i="4"/>
  <c r="Q312" i="4"/>
  <c r="M312" i="4"/>
  <c r="O312" i="4" s="1"/>
  <c r="L312" i="4"/>
  <c r="N312" i="4" s="1"/>
  <c r="K312" i="4"/>
  <c r="Z311" i="4"/>
  <c r="R311" i="4"/>
  <c r="Q311" i="4"/>
  <c r="S311" i="4" s="1"/>
  <c r="O311" i="4"/>
  <c r="M311" i="4"/>
  <c r="L311" i="4"/>
  <c r="N311" i="4" s="1"/>
  <c r="K311" i="4"/>
  <c r="Z310" i="4"/>
  <c r="Z309" i="4"/>
  <c r="R308" i="4"/>
  <c r="Q308" i="4"/>
  <c r="N308" i="4"/>
  <c r="M308" i="4"/>
  <c r="O308" i="4" s="1"/>
  <c r="L308" i="4"/>
  <c r="H308" i="4"/>
  <c r="K308" i="4" s="1"/>
  <c r="Z307" i="4"/>
  <c r="R307" i="4"/>
  <c r="S307" i="4" s="1"/>
  <c r="Q307" i="4"/>
  <c r="M307" i="4"/>
  <c r="O307" i="4" s="1"/>
  <c r="L307" i="4"/>
  <c r="N307" i="4" s="1"/>
  <c r="K307" i="4"/>
  <c r="Z306" i="4"/>
  <c r="Z305" i="4"/>
  <c r="R304" i="4"/>
  <c r="S304" i="4" s="1"/>
  <c r="Q304" i="4"/>
  <c r="M304" i="4"/>
  <c r="L304" i="4"/>
  <c r="H304" i="4"/>
  <c r="Z303" i="4"/>
  <c r="R303" i="4"/>
  <c r="S303" i="4" s="1"/>
  <c r="Q303" i="4"/>
  <c r="N303" i="4"/>
  <c r="M303" i="4"/>
  <c r="O303" i="4" s="1"/>
  <c r="L303" i="4"/>
  <c r="K303" i="4"/>
  <c r="Z302" i="4"/>
  <c r="R302" i="4"/>
  <c r="Q302" i="4"/>
  <c r="M302" i="4"/>
  <c r="O302" i="4" s="1"/>
  <c r="L302" i="4"/>
  <c r="N302" i="4" s="1"/>
  <c r="K302" i="4"/>
  <c r="Z301" i="4"/>
  <c r="R300" i="4"/>
  <c r="Q300" i="4"/>
  <c r="M300" i="4"/>
  <c r="L300" i="4"/>
  <c r="K300" i="4"/>
  <c r="H300" i="4"/>
  <c r="Z300" i="4" s="1"/>
  <c r="AC299" i="4"/>
  <c r="AB299" i="4"/>
  <c r="Z297" i="4"/>
  <c r="S297" i="4"/>
  <c r="R297" i="4"/>
  <c r="Q297" i="4"/>
  <c r="N297" i="4"/>
  <c r="M297" i="4"/>
  <c r="O297" i="4" s="1"/>
  <c r="L297" i="4"/>
  <c r="K297" i="4"/>
  <c r="Z296" i="4"/>
  <c r="Z295" i="4"/>
  <c r="R295" i="4"/>
  <c r="Q295" i="4"/>
  <c r="S295" i="4" s="1"/>
  <c r="U295" i="4" s="1"/>
  <c r="N295" i="4"/>
  <c r="M295" i="4"/>
  <c r="L295" i="4"/>
  <c r="H295" i="4"/>
  <c r="K295" i="4" s="1"/>
  <c r="Z294" i="4"/>
  <c r="S294" i="4"/>
  <c r="M294" i="4"/>
  <c r="O294" i="4" s="1"/>
  <c r="L294" i="4"/>
  <c r="N294" i="4" s="1"/>
  <c r="K294" i="4"/>
  <c r="Z293" i="4"/>
  <c r="S293" i="4"/>
  <c r="U293" i="4" s="1"/>
  <c r="M293" i="4"/>
  <c r="O293" i="4" s="1"/>
  <c r="L293" i="4"/>
  <c r="N293" i="4" s="1"/>
  <c r="K293" i="4"/>
  <c r="Z292" i="4"/>
  <c r="S292" i="4"/>
  <c r="U292" i="4" s="1"/>
  <c r="N292" i="4"/>
  <c r="M292" i="4"/>
  <c r="O292" i="4" s="1"/>
  <c r="L292" i="4"/>
  <c r="K292" i="4"/>
  <c r="Z291" i="4"/>
  <c r="R290" i="4"/>
  <c r="Q290" i="4"/>
  <c r="S290" i="4" s="1"/>
  <c r="U290" i="4" s="1"/>
  <c r="M290" i="4"/>
  <c r="L290" i="4"/>
  <c r="H290" i="4"/>
  <c r="K290" i="4" s="1"/>
  <c r="Z289" i="4"/>
  <c r="R288" i="4"/>
  <c r="S288" i="4" s="1"/>
  <c r="Q288" i="4"/>
  <c r="M288" i="4"/>
  <c r="L288" i="4"/>
  <c r="K288" i="4"/>
  <c r="H288" i="4"/>
  <c r="Z287" i="4"/>
  <c r="S287" i="4"/>
  <c r="U287" i="4" s="1"/>
  <c r="R287" i="4"/>
  <c r="Q287" i="4"/>
  <c r="O287" i="4"/>
  <c r="N287" i="4"/>
  <c r="M287" i="4"/>
  <c r="L287" i="4"/>
  <c r="Z286" i="4"/>
  <c r="R285" i="4"/>
  <c r="Q285" i="4"/>
  <c r="S285" i="4" s="1"/>
  <c r="M285" i="4"/>
  <c r="L285" i="4"/>
  <c r="H285" i="4"/>
  <c r="Z284" i="4"/>
  <c r="R283" i="4"/>
  <c r="Q283" i="4"/>
  <c r="S283" i="4" s="1"/>
  <c r="O283" i="4"/>
  <c r="M283" i="4"/>
  <c r="L283" i="4"/>
  <c r="H283" i="4"/>
  <c r="H299" i="4" s="1"/>
  <c r="X299" i="4" s="1"/>
  <c r="AC282" i="4"/>
  <c r="AB282" i="4"/>
  <c r="Z281" i="4"/>
  <c r="R280" i="4"/>
  <c r="Q280" i="4"/>
  <c r="M280" i="4"/>
  <c r="L280" i="4"/>
  <c r="K280" i="4"/>
  <c r="H280" i="4"/>
  <c r="Z279" i="4"/>
  <c r="Z278" i="4"/>
  <c r="R278" i="4"/>
  <c r="Q278" i="4"/>
  <c r="M278" i="4"/>
  <c r="L278" i="4"/>
  <c r="N278" i="4" s="1"/>
  <c r="K278" i="4"/>
  <c r="H278" i="4"/>
  <c r="Z277" i="4"/>
  <c r="R277" i="4"/>
  <c r="Q277" i="4"/>
  <c r="M277" i="4"/>
  <c r="O277" i="4" s="1"/>
  <c r="L277" i="4"/>
  <c r="N277" i="4" s="1"/>
  <c r="K277" i="4"/>
  <c r="Z276" i="4"/>
  <c r="R276" i="4"/>
  <c r="Q276" i="4"/>
  <c r="S276" i="4" s="1"/>
  <c r="O276" i="4"/>
  <c r="M276" i="4"/>
  <c r="L276" i="4"/>
  <c r="N276" i="4" s="1"/>
  <c r="K276" i="4"/>
  <c r="Z275" i="4"/>
  <c r="R275" i="4"/>
  <c r="Q275" i="4"/>
  <c r="S275" i="4" s="1"/>
  <c r="O275" i="4"/>
  <c r="M275" i="4"/>
  <c r="L275" i="4"/>
  <c r="N275" i="4" s="1"/>
  <c r="K275" i="4"/>
  <c r="Z274" i="4"/>
  <c r="R274" i="4"/>
  <c r="S274" i="4" s="1"/>
  <c r="U274" i="4" s="1"/>
  <c r="Q274" i="4"/>
  <c r="M274" i="4"/>
  <c r="O274" i="4" s="1"/>
  <c r="L274" i="4"/>
  <c r="N274" i="4" s="1"/>
  <c r="K274" i="4"/>
  <c r="Z273" i="4"/>
  <c r="Z272" i="4"/>
  <c r="S272" i="4"/>
  <c r="R272" i="4"/>
  <c r="Q272" i="4"/>
  <c r="M272" i="4"/>
  <c r="O272" i="4" s="1"/>
  <c r="L272" i="4"/>
  <c r="N272" i="4" s="1"/>
  <c r="K272" i="4"/>
  <c r="Z271" i="4"/>
  <c r="R271" i="4"/>
  <c r="Q271" i="4"/>
  <c r="M271" i="4"/>
  <c r="O271" i="4" s="1"/>
  <c r="L271" i="4"/>
  <c r="N271" i="4" s="1"/>
  <c r="K271" i="4"/>
  <c r="Z270" i="4"/>
  <c r="R270" i="4"/>
  <c r="Q270" i="4"/>
  <c r="S270" i="4" s="1"/>
  <c r="O270" i="4"/>
  <c r="M270" i="4"/>
  <c r="L270" i="4"/>
  <c r="N270" i="4" s="1"/>
  <c r="K270" i="4"/>
  <c r="Z269" i="4"/>
  <c r="R269" i="4"/>
  <c r="Q269" i="4"/>
  <c r="S269" i="4" s="1"/>
  <c r="O269" i="4"/>
  <c r="M269" i="4"/>
  <c r="L269" i="4"/>
  <c r="N269" i="4" s="1"/>
  <c r="K269" i="4"/>
  <c r="Z268" i="4"/>
  <c r="R268" i="4"/>
  <c r="S268" i="4" s="1"/>
  <c r="U268" i="4" s="1"/>
  <c r="Q268" i="4"/>
  <c r="M268" i="4"/>
  <c r="O268" i="4" s="1"/>
  <c r="L268" i="4"/>
  <c r="N268" i="4" s="1"/>
  <c r="K268" i="4"/>
  <c r="Z267" i="4"/>
  <c r="R267" i="4"/>
  <c r="Q267" i="4"/>
  <c r="S267" i="4" s="1"/>
  <c r="M267" i="4"/>
  <c r="O267" i="4" s="1"/>
  <c r="L267" i="4"/>
  <c r="N267" i="4" s="1"/>
  <c r="K267" i="4"/>
  <c r="Z266" i="4"/>
  <c r="U266" i="4"/>
  <c r="R266" i="4"/>
  <c r="Q266" i="4"/>
  <c r="S266" i="4" s="1"/>
  <c r="T266" i="4" s="1"/>
  <c r="O266" i="4"/>
  <c r="M266" i="4"/>
  <c r="L266" i="4"/>
  <c r="N266" i="4" s="1"/>
  <c r="K266" i="4"/>
  <c r="Z265" i="4"/>
  <c r="R265" i="4"/>
  <c r="Q265" i="4"/>
  <c r="S265" i="4" s="1"/>
  <c r="O265" i="4"/>
  <c r="M265" i="4"/>
  <c r="L265" i="4"/>
  <c r="N265" i="4" s="1"/>
  <c r="K265" i="4"/>
  <c r="Z264" i="4"/>
  <c r="R264" i="4"/>
  <c r="S264" i="4" s="1"/>
  <c r="Q264" i="4"/>
  <c r="M264" i="4"/>
  <c r="O264" i="4" s="1"/>
  <c r="L264" i="4"/>
  <c r="N264" i="4" s="1"/>
  <c r="K264" i="4"/>
  <c r="AC263" i="4"/>
  <c r="AB263" i="4"/>
  <c r="H263" i="4"/>
  <c r="X263" i="4" s="1"/>
  <c r="Z262" i="4"/>
  <c r="R262" i="4"/>
  <c r="Q262" i="4"/>
  <c r="S262" i="4" s="1"/>
  <c r="M262" i="4"/>
  <c r="O262" i="4" s="1"/>
  <c r="L262" i="4"/>
  <c r="N262" i="4" s="1"/>
  <c r="K262" i="4"/>
  <c r="Z261" i="4"/>
  <c r="Z260" i="4"/>
  <c r="R260" i="4"/>
  <c r="Q260" i="4"/>
  <c r="M260" i="4"/>
  <c r="O260" i="4" s="1"/>
  <c r="L260" i="4"/>
  <c r="N260" i="4" s="1"/>
  <c r="K260" i="4"/>
  <c r="Z259" i="4"/>
  <c r="R259" i="4"/>
  <c r="Q259" i="4"/>
  <c r="S259" i="4" s="1"/>
  <c r="T259" i="4" s="1"/>
  <c r="N259" i="4"/>
  <c r="L259" i="4"/>
  <c r="K259" i="4"/>
  <c r="Z258" i="4"/>
  <c r="R258" i="4"/>
  <c r="Q258" i="4"/>
  <c r="M258" i="4"/>
  <c r="O258" i="4" s="1"/>
  <c r="L258" i="4"/>
  <c r="N258" i="4" s="1"/>
  <c r="K258" i="4"/>
  <c r="Z257" i="4"/>
  <c r="R257" i="4"/>
  <c r="Q257" i="4"/>
  <c r="S257" i="4" s="1"/>
  <c r="O257" i="4"/>
  <c r="M257" i="4"/>
  <c r="L257" i="4"/>
  <c r="N257" i="4" s="1"/>
  <c r="K257" i="4"/>
  <c r="Z256" i="4"/>
  <c r="R256" i="4"/>
  <c r="Q256" i="4"/>
  <c r="S256" i="4" s="1"/>
  <c r="N256" i="4"/>
  <c r="M256" i="4"/>
  <c r="O256" i="4" s="1"/>
  <c r="L256" i="4"/>
  <c r="K256" i="4"/>
  <c r="Z255" i="4"/>
  <c r="R255" i="4"/>
  <c r="S255" i="4" s="1"/>
  <c r="U255" i="4" s="1"/>
  <c r="Q255" i="4"/>
  <c r="N255" i="4"/>
  <c r="M255" i="4"/>
  <c r="O255" i="4" s="1"/>
  <c r="L255" i="4"/>
  <c r="K255" i="4"/>
  <c r="Z254" i="4"/>
  <c r="R254" i="4"/>
  <c r="Q254" i="4"/>
  <c r="M254" i="4"/>
  <c r="O254" i="4" s="1"/>
  <c r="L254" i="4"/>
  <c r="N254" i="4" s="1"/>
  <c r="K254" i="4"/>
  <c r="Z252" i="4"/>
  <c r="R251" i="4"/>
  <c r="Q251" i="4"/>
  <c r="S251" i="4" s="1"/>
  <c r="U251" i="4" s="1"/>
  <c r="M251" i="4"/>
  <c r="L251" i="4"/>
  <c r="H251" i="4"/>
  <c r="K251" i="4" s="1"/>
  <c r="Z250" i="4"/>
  <c r="R250" i="4"/>
  <c r="Q250" i="4"/>
  <c r="S250" i="4" s="1"/>
  <c r="M250" i="4"/>
  <c r="O250" i="4" s="1"/>
  <c r="L250" i="4"/>
  <c r="N250" i="4" s="1"/>
  <c r="K250" i="4"/>
  <c r="Z249" i="4"/>
  <c r="Z248" i="4"/>
  <c r="R248" i="4"/>
  <c r="S248" i="4" s="1"/>
  <c r="U248" i="4" s="1"/>
  <c r="Q248" i="4"/>
  <c r="N248" i="4"/>
  <c r="M248" i="4"/>
  <c r="O248" i="4" s="1"/>
  <c r="L248" i="4"/>
  <c r="K248" i="4"/>
  <c r="Z247" i="4"/>
  <c r="R247" i="4"/>
  <c r="Q247" i="4"/>
  <c r="M247" i="4"/>
  <c r="O247" i="4" s="1"/>
  <c r="L247" i="4"/>
  <c r="N247" i="4" s="1"/>
  <c r="K247" i="4"/>
  <c r="Z246" i="4"/>
  <c r="R246" i="4"/>
  <c r="Q246" i="4"/>
  <c r="S246" i="4" s="1"/>
  <c r="T246" i="4" s="1"/>
  <c r="O246" i="4"/>
  <c r="M246" i="4"/>
  <c r="L246" i="4"/>
  <c r="N246" i="4" s="1"/>
  <c r="K246" i="4"/>
  <c r="Z245" i="4"/>
  <c r="R244" i="4"/>
  <c r="Q244" i="4"/>
  <c r="S244" i="4" s="1"/>
  <c r="M244" i="4"/>
  <c r="L244" i="4"/>
  <c r="H244" i="4"/>
  <c r="N244" i="4" s="1"/>
  <c r="Z243" i="4"/>
  <c r="R242" i="4"/>
  <c r="Q242" i="4"/>
  <c r="S242" i="4" s="1"/>
  <c r="M242" i="4"/>
  <c r="O242" i="4" s="1"/>
  <c r="L242" i="4"/>
  <c r="H242" i="4"/>
  <c r="K242" i="4" s="1"/>
  <c r="Z241" i="4"/>
  <c r="R241" i="4"/>
  <c r="Q241" i="4"/>
  <c r="M241" i="4"/>
  <c r="O241" i="4" s="1"/>
  <c r="L241" i="4"/>
  <c r="N241" i="4" s="1"/>
  <c r="K241" i="4"/>
  <c r="Z240" i="4"/>
  <c r="R240" i="4"/>
  <c r="Q240" i="4"/>
  <c r="M240" i="4"/>
  <c r="O240" i="4" s="1"/>
  <c r="L240" i="4"/>
  <c r="N240" i="4" s="1"/>
  <c r="K240" i="4"/>
  <c r="Z239" i="4"/>
  <c r="R238" i="4"/>
  <c r="Q238" i="4"/>
  <c r="S238" i="4" s="1"/>
  <c r="N238" i="4"/>
  <c r="M238" i="4"/>
  <c r="L238" i="4"/>
  <c r="H238" i="4"/>
  <c r="Z238" i="4" s="1"/>
  <c r="Z237" i="4"/>
  <c r="R237" i="4"/>
  <c r="S237" i="4" s="1"/>
  <c r="T237" i="4" s="1"/>
  <c r="Q237" i="4"/>
  <c r="M237" i="4"/>
  <c r="O237" i="4" s="1"/>
  <c r="L237" i="4"/>
  <c r="N237" i="4" s="1"/>
  <c r="K237" i="4"/>
  <c r="AC236" i="4"/>
  <c r="AB236" i="4"/>
  <c r="Z235" i="4"/>
  <c r="Z234" i="4"/>
  <c r="R233" i="4"/>
  <c r="Q233" i="4"/>
  <c r="M233" i="4"/>
  <c r="L233" i="4"/>
  <c r="K233" i="4"/>
  <c r="H233" i="4"/>
  <c r="O233" i="4" s="1"/>
  <c r="Z232" i="4"/>
  <c r="R232" i="4"/>
  <c r="Q232" i="4"/>
  <c r="S232" i="4" s="1"/>
  <c r="T232" i="4" s="1"/>
  <c r="M232" i="4"/>
  <c r="O232" i="4" s="1"/>
  <c r="L232" i="4"/>
  <c r="N232" i="4" s="1"/>
  <c r="K232" i="4"/>
  <c r="Z231" i="4"/>
  <c r="R231" i="4"/>
  <c r="Q231" i="4"/>
  <c r="M231" i="4"/>
  <c r="O231" i="4" s="1"/>
  <c r="L231" i="4"/>
  <c r="N231" i="4" s="1"/>
  <c r="K231" i="4"/>
  <c r="Z230" i="4"/>
  <c r="T230" i="4"/>
  <c r="S230" i="4"/>
  <c r="U230" i="4" s="1"/>
  <c r="R230" i="4"/>
  <c r="Q230" i="4"/>
  <c r="O230" i="4"/>
  <c r="N230" i="4"/>
  <c r="M230" i="4"/>
  <c r="L230" i="4"/>
  <c r="K230" i="4"/>
  <c r="Z229" i="4"/>
  <c r="R229" i="4"/>
  <c r="Q229" i="4"/>
  <c r="S229" i="4" s="1"/>
  <c r="U229" i="4" s="1"/>
  <c r="N229" i="4"/>
  <c r="M229" i="4"/>
  <c r="O229" i="4" s="1"/>
  <c r="L229" i="4"/>
  <c r="K229" i="4"/>
  <c r="Z228" i="4"/>
  <c r="R227" i="4"/>
  <c r="S227" i="4" s="1"/>
  <c r="Q227" i="4"/>
  <c r="M227" i="4"/>
  <c r="L227" i="4"/>
  <c r="H227" i="4"/>
  <c r="Z226" i="4"/>
  <c r="S226" i="4"/>
  <c r="U226" i="4" s="1"/>
  <c r="R226" i="4"/>
  <c r="Q226" i="4"/>
  <c r="M226" i="4"/>
  <c r="O226" i="4" s="1"/>
  <c r="L226" i="4"/>
  <c r="N226" i="4" s="1"/>
  <c r="Z225" i="4"/>
  <c r="R225" i="4"/>
  <c r="Q225" i="4"/>
  <c r="N225" i="4"/>
  <c r="M225" i="4"/>
  <c r="O225" i="4" s="1"/>
  <c r="L225" i="4"/>
  <c r="K225" i="4"/>
  <c r="AC224" i="4"/>
  <c r="AB224" i="4"/>
  <c r="Z223" i="4"/>
  <c r="R223" i="4"/>
  <c r="S223" i="4" s="1"/>
  <c r="T223" i="4" s="1"/>
  <c r="Q223" i="4"/>
  <c r="M223" i="4"/>
  <c r="O223" i="4" s="1"/>
  <c r="L223" i="4"/>
  <c r="N223" i="4" s="1"/>
  <c r="K223" i="4"/>
  <c r="Z222" i="4"/>
  <c r="R222" i="4"/>
  <c r="Q222" i="4"/>
  <c r="S222" i="4" s="1"/>
  <c r="O222" i="4"/>
  <c r="M222" i="4"/>
  <c r="L222" i="4"/>
  <c r="N222" i="4" s="1"/>
  <c r="K222" i="4"/>
  <c r="Z221" i="4"/>
  <c r="R221" i="4"/>
  <c r="Q221" i="4"/>
  <c r="S221" i="4" s="1"/>
  <c r="O221" i="4"/>
  <c r="M221" i="4"/>
  <c r="L221" i="4"/>
  <c r="N221" i="4" s="1"/>
  <c r="K221" i="4"/>
  <c r="Z220" i="4"/>
  <c r="Z219" i="4"/>
  <c r="R219" i="4"/>
  <c r="S219" i="4" s="1"/>
  <c r="Q219" i="4"/>
  <c r="M219" i="4"/>
  <c r="O219" i="4" s="1"/>
  <c r="L219" i="4"/>
  <c r="N219" i="4" s="1"/>
  <c r="K219" i="4"/>
  <c r="Z218" i="4"/>
  <c r="S218" i="4"/>
  <c r="R218" i="4"/>
  <c r="Q218" i="4"/>
  <c r="N218" i="4"/>
  <c r="M218" i="4"/>
  <c r="O218" i="4" s="1"/>
  <c r="L218" i="4"/>
  <c r="K218" i="4"/>
  <c r="Z217" i="4"/>
  <c r="R217" i="4"/>
  <c r="S217" i="4" s="1"/>
  <c r="T217" i="4" s="1"/>
  <c r="Q217" i="4"/>
  <c r="M217" i="4"/>
  <c r="O217" i="4" s="1"/>
  <c r="L217" i="4"/>
  <c r="N217" i="4" s="1"/>
  <c r="K217" i="4"/>
  <c r="Z216" i="4"/>
  <c r="R215" i="4"/>
  <c r="Q215" i="4"/>
  <c r="M215" i="4"/>
  <c r="L215" i="4"/>
  <c r="H215" i="4"/>
  <c r="H224" i="4" s="1"/>
  <c r="X224" i="4" s="1"/>
  <c r="Z214" i="4"/>
  <c r="R214" i="4"/>
  <c r="S214" i="4" s="1"/>
  <c r="U214" i="4" s="1"/>
  <c r="Q214" i="4"/>
  <c r="O214" i="4"/>
  <c r="M214" i="4"/>
  <c r="L214" i="4"/>
  <c r="N214" i="4" s="1"/>
  <c r="K214" i="4"/>
  <c r="Z213" i="4"/>
  <c r="S213" i="4"/>
  <c r="T213" i="4" s="1"/>
  <c r="R213" i="4"/>
  <c r="Q213" i="4"/>
  <c r="M213" i="4"/>
  <c r="O213" i="4" s="1"/>
  <c r="L213" i="4"/>
  <c r="N213" i="4" s="1"/>
  <c r="K213" i="4"/>
  <c r="AC212" i="4"/>
  <c r="AB212" i="4"/>
  <c r="Z211" i="4"/>
  <c r="R210" i="4"/>
  <c r="S210" i="4" s="1"/>
  <c r="Q210" i="4"/>
  <c r="O210" i="4"/>
  <c r="N210" i="4"/>
  <c r="M210" i="4"/>
  <c r="L210" i="4"/>
  <c r="K210" i="4"/>
  <c r="H210" i="4"/>
  <c r="Z210" i="4" s="1"/>
  <c r="Z209" i="4"/>
  <c r="R209" i="4"/>
  <c r="Q209" i="4"/>
  <c r="N209" i="4"/>
  <c r="M209" i="4"/>
  <c r="O209" i="4" s="1"/>
  <c r="L209" i="4"/>
  <c r="K209" i="4"/>
  <c r="Z208" i="4"/>
  <c r="R208" i="4"/>
  <c r="Q208" i="4"/>
  <c r="N208" i="4"/>
  <c r="M208" i="4"/>
  <c r="O208" i="4" s="1"/>
  <c r="L208" i="4"/>
  <c r="K208" i="4"/>
  <c r="Z207" i="4"/>
  <c r="Z206" i="4"/>
  <c r="R206" i="4"/>
  <c r="Q206" i="4"/>
  <c r="S206" i="4" s="1"/>
  <c r="M206" i="4"/>
  <c r="O206" i="4" s="1"/>
  <c r="L206" i="4"/>
  <c r="N206" i="4" s="1"/>
  <c r="K206" i="4"/>
  <c r="Z205" i="4"/>
  <c r="Z204" i="4"/>
  <c r="R204" i="4"/>
  <c r="Q204" i="4"/>
  <c r="S204" i="4" s="1"/>
  <c r="N204" i="4"/>
  <c r="M204" i="4"/>
  <c r="O204" i="4" s="1"/>
  <c r="L204" i="4"/>
  <c r="K204" i="4"/>
  <c r="Z203" i="4"/>
  <c r="R203" i="4"/>
  <c r="Q203" i="4"/>
  <c r="M203" i="4"/>
  <c r="O203" i="4" s="1"/>
  <c r="L203" i="4"/>
  <c r="N203" i="4" s="1"/>
  <c r="K203" i="4"/>
  <c r="Z202" i="4"/>
  <c r="R202" i="4"/>
  <c r="Q202" i="4"/>
  <c r="M202" i="4"/>
  <c r="O202" i="4" s="1"/>
  <c r="L202" i="4"/>
  <c r="N202" i="4" s="1"/>
  <c r="K202" i="4"/>
  <c r="Z201" i="4"/>
  <c r="S200" i="4"/>
  <c r="U200" i="4" s="1"/>
  <c r="R200" i="4"/>
  <c r="Q200" i="4"/>
  <c r="M200" i="4"/>
  <c r="L200" i="4"/>
  <c r="H200" i="4"/>
  <c r="O200" i="4" s="1"/>
  <c r="Z199" i="4"/>
  <c r="R199" i="4"/>
  <c r="Q199" i="4"/>
  <c r="S199" i="4" s="1"/>
  <c r="M199" i="4"/>
  <c r="O199" i="4" s="1"/>
  <c r="L199" i="4"/>
  <c r="N199" i="4" s="1"/>
  <c r="K199" i="4"/>
  <c r="Z198" i="4"/>
  <c r="R197" i="4"/>
  <c r="S197" i="4" s="1"/>
  <c r="U197" i="4" s="1"/>
  <c r="Q197" i="4"/>
  <c r="M197" i="4"/>
  <c r="L197" i="4"/>
  <c r="H197" i="4"/>
  <c r="Z196" i="4"/>
  <c r="R196" i="4"/>
  <c r="Q196" i="4"/>
  <c r="S196" i="4" s="1"/>
  <c r="O196" i="4"/>
  <c r="M196" i="4"/>
  <c r="L196" i="4"/>
  <c r="N196" i="4" s="1"/>
  <c r="K196" i="4"/>
  <c r="Z195" i="4"/>
  <c r="R195" i="4"/>
  <c r="Q195" i="4"/>
  <c r="O195" i="4"/>
  <c r="M195" i="4"/>
  <c r="L195" i="4"/>
  <c r="N195" i="4" s="1"/>
  <c r="K195" i="4"/>
  <c r="AC194" i="4"/>
  <c r="AB194" i="4"/>
  <c r="Z193" i="4"/>
  <c r="R193" i="4"/>
  <c r="S193" i="4" s="1"/>
  <c r="Q193" i="4"/>
  <c r="M193" i="4"/>
  <c r="O193" i="4" s="1"/>
  <c r="L193" i="4"/>
  <c r="N193" i="4" s="1"/>
  <c r="K193" i="4"/>
  <c r="Z192" i="4"/>
  <c r="R192" i="4"/>
  <c r="Q192" i="4"/>
  <c r="S192" i="4" s="1"/>
  <c r="M192" i="4"/>
  <c r="O192" i="4" s="1"/>
  <c r="L192" i="4"/>
  <c r="N192" i="4" s="1"/>
  <c r="K192" i="4"/>
  <c r="Z191" i="4"/>
  <c r="Z190" i="4"/>
  <c r="S190" i="4"/>
  <c r="T190" i="4" s="1"/>
  <c r="R190" i="4"/>
  <c r="Q190" i="4"/>
  <c r="M190" i="4"/>
  <c r="O190" i="4" s="1"/>
  <c r="L190" i="4"/>
  <c r="N190" i="4" s="1"/>
  <c r="K190" i="4"/>
  <c r="Z189" i="4"/>
  <c r="R189" i="4"/>
  <c r="Q189" i="4"/>
  <c r="S189" i="4" s="1"/>
  <c r="M189" i="4"/>
  <c r="O189" i="4" s="1"/>
  <c r="L189" i="4"/>
  <c r="N189" i="4" s="1"/>
  <c r="K189" i="4"/>
  <c r="Z188" i="4"/>
  <c r="R188" i="4"/>
  <c r="Q188" i="4"/>
  <c r="S188" i="4" s="1"/>
  <c r="U188" i="4" s="1"/>
  <c r="M188" i="4"/>
  <c r="O188" i="4" s="1"/>
  <c r="L188" i="4"/>
  <c r="N188" i="4" s="1"/>
  <c r="K188" i="4"/>
  <c r="Z187" i="4"/>
  <c r="R187" i="4"/>
  <c r="S187" i="4" s="1"/>
  <c r="Q187" i="4"/>
  <c r="M187" i="4"/>
  <c r="O187" i="4" s="1"/>
  <c r="L187" i="4"/>
  <c r="N187" i="4" s="1"/>
  <c r="K187" i="4"/>
  <c r="Z186" i="4"/>
  <c r="R186" i="4"/>
  <c r="Q186" i="4"/>
  <c r="S186" i="4" s="1"/>
  <c r="M186" i="4"/>
  <c r="O186" i="4" s="1"/>
  <c r="L186" i="4"/>
  <c r="N186" i="4" s="1"/>
  <c r="K186" i="4"/>
  <c r="Z185" i="4"/>
  <c r="R185" i="4"/>
  <c r="Q185" i="4"/>
  <c r="S185" i="4" s="1"/>
  <c r="M185" i="4"/>
  <c r="O185" i="4" s="1"/>
  <c r="L185" i="4"/>
  <c r="N185" i="4" s="1"/>
  <c r="K185" i="4"/>
  <c r="Z184" i="4"/>
  <c r="R184" i="4"/>
  <c r="Q184" i="4"/>
  <c r="S184" i="4" s="1"/>
  <c r="N184" i="4"/>
  <c r="M184" i="4"/>
  <c r="O184" i="4" s="1"/>
  <c r="L184" i="4"/>
  <c r="K184" i="4"/>
  <c r="Z183" i="4"/>
  <c r="R182" i="4"/>
  <c r="S182" i="4" s="1"/>
  <c r="Q182" i="4"/>
  <c r="M182" i="4"/>
  <c r="L182" i="4"/>
  <c r="H182" i="4"/>
  <c r="Y245" i="3"/>
  <c r="G245" i="3"/>
  <c r="W245" i="3" s="1"/>
  <c r="J243" i="3"/>
  <c r="Q242" i="3"/>
  <c r="P242" i="3"/>
  <c r="R242" i="3" s="1"/>
  <c r="N242" i="3"/>
  <c r="M242" i="3"/>
  <c r="L242" i="3"/>
  <c r="K242" i="3"/>
  <c r="J242" i="3"/>
  <c r="Q241" i="3"/>
  <c r="P241" i="3"/>
  <c r="R241" i="3" s="1"/>
  <c r="M241" i="3"/>
  <c r="L241" i="3"/>
  <c r="N241" i="3" s="1"/>
  <c r="K241" i="3"/>
  <c r="J241" i="3"/>
  <c r="AB239" i="3"/>
  <c r="AB245" i="3" s="1"/>
  <c r="AA239" i="3"/>
  <c r="AA245" i="3" s="1"/>
  <c r="Y239" i="3"/>
  <c r="S239" i="3"/>
  <c r="R239" i="3"/>
  <c r="R248" i="3" s="1"/>
  <c r="G239" i="3"/>
  <c r="W239" i="3" s="1"/>
  <c r="AB236" i="3"/>
  <c r="AA236" i="3"/>
  <c r="Y236" i="3"/>
  <c r="W236" i="3"/>
  <c r="R236" i="3"/>
  <c r="S236" i="3" s="1"/>
  <c r="AB231" i="3"/>
  <c r="AA231" i="3"/>
  <c r="G231" i="3"/>
  <c r="W231" i="3" s="1"/>
  <c r="Y229" i="3"/>
  <c r="R229" i="3"/>
  <c r="T229" i="3" s="1"/>
  <c r="Q229" i="3"/>
  <c r="P229" i="3"/>
  <c r="L229" i="3"/>
  <c r="N229" i="3" s="1"/>
  <c r="K229" i="3"/>
  <c r="M229" i="3" s="1"/>
  <c r="J229" i="3"/>
  <c r="Y228" i="3"/>
  <c r="Y227" i="3"/>
  <c r="Y226" i="3"/>
  <c r="Q225" i="3"/>
  <c r="P225" i="3"/>
  <c r="R225" i="3" s="1"/>
  <c r="M225" i="3"/>
  <c r="L225" i="3"/>
  <c r="K225" i="3"/>
  <c r="J225" i="3"/>
  <c r="G225" i="3"/>
  <c r="N225" i="3" s="1"/>
  <c r="Y224" i="3"/>
  <c r="T224" i="3"/>
  <c r="R224" i="3"/>
  <c r="S224" i="3" s="1"/>
  <c r="Q224" i="3"/>
  <c r="P224" i="3"/>
  <c r="L224" i="3"/>
  <c r="N224" i="3" s="1"/>
  <c r="K224" i="3"/>
  <c r="M224" i="3" s="1"/>
  <c r="J224" i="3"/>
  <c r="Y223" i="3"/>
  <c r="Q223" i="3"/>
  <c r="P223" i="3"/>
  <c r="R223" i="3" s="1"/>
  <c r="N223" i="3"/>
  <c r="L223" i="3"/>
  <c r="K223" i="3"/>
  <c r="M223" i="3" s="1"/>
  <c r="J223" i="3"/>
  <c r="AB222" i="3"/>
  <c r="AA222" i="3"/>
  <c r="Y220" i="3"/>
  <c r="T220" i="3"/>
  <c r="R220" i="3"/>
  <c r="S220" i="3" s="1"/>
  <c r="L220" i="3"/>
  <c r="N220" i="3" s="1"/>
  <c r="K220" i="3"/>
  <c r="M220" i="3" s="1"/>
  <c r="J220" i="3"/>
  <c r="Y219" i="3"/>
  <c r="Q218" i="3"/>
  <c r="P218" i="3"/>
  <c r="R218" i="3" s="1"/>
  <c r="N218" i="3"/>
  <c r="M218" i="3"/>
  <c r="L218" i="3"/>
  <c r="K218" i="3"/>
  <c r="J218" i="3"/>
  <c r="G218" i="3"/>
  <c r="Y218" i="3" s="1"/>
  <c r="Y217" i="3"/>
  <c r="Y216" i="3"/>
  <c r="Y215" i="3"/>
  <c r="T215" i="3"/>
  <c r="R215" i="3"/>
  <c r="S215" i="3" s="1"/>
  <c r="Q215" i="3"/>
  <c r="P215" i="3"/>
  <c r="L215" i="3"/>
  <c r="N215" i="3" s="1"/>
  <c r="K215" i="3"/>
  <c r="G215" i="3"/>
  <c r="J215" i="3" s="1"/>
  <c r="Y214" i="3"/>
  <c r="Q214" i="3"/>
  <c r="P214" i="3"/>
  <c r="R214" i="3" s="1"/>
  <c r="M214" i="3"/>
  <c r="L214" i="3"/>
  <c r="N214" i="3" s="1"/>
  <c r="K214" i="3"/>
  <c r="J214" i="3"/>
  <c r="Y213" i="3"/>
  <c r="Q213" i="3"/>
  <c r="P213" i="3"/>
  <c r="R213" i="3" s="1"/>
  <c r="L213" i="3"/>
  <c r="N213" i="3" s="1"/>
  <c r="K213" i="3"/>
  <c r="M213" i="3" s="1"/>
  <c r="J213" i="3"/>
  <c r="AB212" i="3"/>
  <c r="AA212" i="3"/>
  <c r="G212" i="3"/>
  <c r="W212" i="3" s="1"/>
  <c r="Y211" i="3"/>
  <c r="Q210" i="3"/>
  <c r="P210" i="3"/>
  <c r="R210" i="3" s="1"/>
  <c r="N210" i="3"/>
  <c r="L210" i="3"/>
  <c r="K210" i="3"/>
  <c r="G210" i="3"/>
  <c r="M210" i="3" s="1"/>
  <c r="AB208" i="3"/>
  <c r="AA208" i="3"/>
  <c r="Y208" i="3"/>
  <c r="R208" i="3"/>
  <c r="G208" i="3"/>
  <c r="W208" i="3" s="1"/>
  <c r="AB206" i="3"/>
  <c r="AA206" i="3"/>
  <c r="G206" i="3"/>
  <c r="W206" i="3" s="1"/>
  <c r="G205" i="3"/>
  <c r="Y205" i="3" s="1"/>
  <c r="Y206" i="3" s="1"/>
  <c r="Y203" i="3"/>
  <c r="Q203" i="3"/>
  <c r="P203" i="3"/>
  <c r="R203" i="3" s="1"/>
  <c r="N203" i="3"/>
  <c r="M203" i="3"/>
  <c r="L203" i="3"/>
  <c r="K203" i="3"/>
  <c r="J203" i="3"/>
  <c r="Y202" i="3"/>
  <c r="Q202" i="3"/>
  <c r="R202" i="3" s="1"/>
  <c r="P202" i="3"/>
  <c r="N202" i="3"/>
  <c r="L202" i="3"/>
  <c r="K202" i="3"/>
  <c r="M202" i="3" s="1"/>
  <c r="J202" i="3"/>
  <c r="Y201" i="3"/>
  <c r="T201" i="3"/>
  <c r="R201" i="3"/>
  <c r="S201" i="3" s="1"/>
  <c r="Q201" i="3"/>
  <c r="P201" i="3"/>
  <c r="L201" i="3"/>
  <c r="N201" i="3" s="1"/>
  <c r="K201" i="3"/>
  <c r="M201" i="3" s="1"/>
  <c r="J201" i="3"/>
  <c r="Y200" i="3"/>
  <c r="Q200" i="3"/>
  <c r="P200" i="3"/>
  <c r="R200" i="3" s="1"/>
  <c r="N200" i="3"/>
  <c r="L200" i="3"/>
  <c r="K200" i="3"/>
  <c r="M200" i="3" s="1"/>
  <c r="J200" i="3"/>
  <c r="Y199" i="3"/>
  <c r="R199" i="3"/>
  <c r="Q199" i="3"/>
  <c r="P199" i="3"/>
  <c r="L199" i="3"/>
  <c r="N199" i="3" s="1"/>
  <c r="K199" i="3"/>
  <c r="M199" i="3" s="1"/>
  <c r="J199" i="3"/>
  <c r="AB198" i="3"/>
  <c r="AA198" i="3"/>
  <c r="Y197" i="3"/>
  <c r="Q197" i="3"/>
  <c r="P197" i="3"/>
  <c r="R197" i="3" s="1"/>
  <c r="N197" i="3"/>
  <c r="M197" i="3"/>
  <c r="L197" i="3"/>
  <c r="K197" i="3"/>
  <c r="J197" i="3"/>
  <c r="Y196" i="3"/>
  <c r="Y195" i="3"/>
  <c r="R195" i="3"/>
  <c r="T195" i="3" s="1"/>
  <c r="Q195" i="3"/>
  <c r="P195" i="3"/>
  <c r="L195" i="3"/>
  <c r="N195" i="3" s="1"/>
  <c r="K195" i="3"/>
  <c r="M195" i="3" s="1"/>
  <c r="J195" i="3"/>
  <c r="Y194" i="3"/>
  <c r="Y193" i="3"/>
  <c r="Q192" i="3"/>
  <c r="P192" i="3"/>
  <c r="R192" i="3" s="1"/>
  <c r="N192" i="3"/>
  <c r="L192" i="3"/>
  <c r="K192" i="3"/>
  <c r="G192" i="3"/>
  <c r="M192" i="3" s="1"/>
  <c r="Y191" i="3"/>
  <c r="Y190" i="3"/>
  <c r="T190" i="3"/>
  <c r="R190" i="3"/>
  <c r="S190" i="3" s="1"/>
  <c r="Q190" i="3"/>
  <c r="P190" i="3"/>
  <c r="L190" i="3"/>
  <c r="N190" i="3" s="1"/>
  <c r="K190" i="3"/>
  <c r="G190" i="3"/>
  <c r="J190" i="3" s="1"/>
  <c r="Y189" i="3"/>
  <c r="Y188" i="3"/>
  <c r="R187" i="3"/>
  <c r="T187" i="3" s="1"/>
  <c r="Q187" i="3"/>
  <c r="P187" i="3"/>
  <c r="L187" i="3"/>
  <c r="K187" i="3"/>
  <c r="G187" i="3"/>
  <c r="Y187" i="3" s="1"/>
  <c r="Y186" i="3"/>
  <c r="Q186" i="3"/>
  <c r="P186" i="3"/>
  <c r="R186" i="3" s="1"/>
  <c r="N186" i="3"/>
  <c r="M186" i="3"/>
  <c r="L186" i="3"/>
  <c r="K186" i="3"/>
  <c r="Y185" i="3"/>
  <c r="Q185" i="3"/>
  <c r="R185" i="3" s="1"/>
  <c r="P185" i="3"/>
  <c r="N185" i="3"/>
  <c r="L185" i="3"/>
  <c r="K185" i="3"/>
  <c r="M185" i="3" s="1"/>
  <c r="J185" i="3"/>
  <c r="Y184" i="3"/>
  <c r="Y183" i="3"/>
  <c r="Q183" i="3"/>
  <c r="P183" i="3"/>
  <c r="R183" i="3" s="1"/>
  <c r="M183" i="3"/>
  <c r="L183" i="3"/>
  <c r="K183" i="3"/>
  <c r="J183" i="3"/>
  <c r="G183" i="3"/>
  <c r="N183" i="3" s="1"/>
  <c r="AB182" i="3"/>
  <c r="AA182" i="3"/>
  <c r="G182" i="3"/>
  <c r="Y181" i="3"/>
  <c r="Q181" i="3"/>
  <c r="P181" i="3"/>
  <c r="R181" i="3" s="1"/>
  <c r="N181" i="3"/>
  <c r="M181" i="3"/>
  <c r="L181" i="3"/>
  <c r="K181" i="3"/>
  <c r="J181" i="3"/>
  <c r="Y180" i="3"/>
  <c r="Y179" i="3"/>
  <c r="Q178" i="3"/>
  <c r="R178" i="3" s="1"/>
  <c r="P178" i="3"/>
  <c r="L178" i="3"/>
  <c r="K178" i="3"/>
  <c r="M178" i="3" s="1"/>
  <c r="J178" i="3"/>
  <c r="G178" i="3"/>
  <c r="N178" i="3" s="1"/>
  <c r="Y177" i="3"/>
  <c r="Y176" i="3"/>
  <c r="Y175" i="3"/>
  <c r="Q175" i="3"/>
  <c r="R175" i="3" s="1"/>
  <c r="P175" i="3"/>
  <c r="N175" i="3"/>
  <c r="L175" i="3"/>
  <c r="K175" i="3"/>
  <c r="M175" i="3" s="1"/>
  <c r="J175" i="3"/>
  <c r="Y174" i="3"/>
  <c r="Y173" i="3"/>
  <c r="Q173" i="3"/>
  <c r="P173" i="3"/>
  <c r="R173" i="3" s="1"/>
  <c r="M173" i="3"/>
  <c r="L173" i="3"/>
  <c r="N173" i="3" s="1"/>
  <c r="K173" i="3"/>
  <c r="J173" i="3"/>
  <c r="G173" i="3"/>
  <c r="Y172" i="3"/>
  <c r="R171" i="3"/>
  <c r="T171" i="3" s="1"/>
  <c r="Q171" i="3"/>
  <c r="P171" i="3"/>
  <c r="L171" i="3"/>
  <c r="K171" i="3"/>
  <c r="G171" i="3"/>
  <c r="Y171" i="3" s="1"/>
  <c r="Y170" i="3"/>
  <c r="Y169" i="3"/>
  <c r="Q168" i="3"/>
  <c r="P168" i="3"/>
  <c r="R168" i="3" s="1"/>
  <c r="M168" i="3"/>
  <c r="L168" i="3"/>
  <c r="L182" i="3" s="1"/>
  <c r="K168" i="3"/>
  <c r="J168" i="3"/>
  <c r="G168" i="3"/>
  <c r="N168" i="3" s="1"/>
  <c r="AB167" i="3"/>
  <c r="AA167" i="3"/>
  <c r="Y166" i="3"/>
  <c r="Q166" i="3"/>
  <c r="R166" i="3" s="1"/>
  <c r="P166" i="3"/>
  <c r="N166" i="3"/>
  <c r="L166" i="3"/>
  <c r="K166" i="3"/>
  <c r="M166" i="3" s="1"/>
  <c r="J166" i="3"/>
  <c r="Y165" i="3"/>
  <c r="T165" i="3"/>
  <c r="R165" i="3"/>
  <c r="S165" i="3" s="1"/>
  <c r="Q165" i="3"/>
  <c r="P165" i="3"/>
  <c r="L165" i="3"/>
  <c r="N165" i="3" s="1"/>
  <c r="K165" i="3"/>
  <c r="M165" i="3" s="1"/>
  <c r="J165" i="3"/>
  <c r="Y164" i="3"/>
  <c r="Q163" i="3"/>
  <c r="P163" i="3"/>
  <c r="R163" i="3" s="1"/>
  <c r="M163" i="3"/>
  <c r="L163" i="3"/>
  <c r="N163" i="3" s="1"/>
  <c r="K163" i="3"/>
  <c r="J163" i="3"/>
  <c r="G163" i="3"/>
  <c r="Y163" i="3" s="1"/>
  <c r="Y162" i="3"/>
  <c r="Y161" i="3"/>
  <c r="Q161" i="3"/>
  <c r="P161" i="3"/>
  <c r="R161" i="3" s="1"/>
  <c r="M161" i="3"/>
  <c r="L161" i="3"/>
  <c r="N161" i="3" s="1"/>
  <c r="K161" i="3"/>
  <c r="J161" i="3"/>
  <c r="Y160" i="3"/>
  <c r="Q160" i="3"/>
  <c r="P160" i="3"/>
  <c r="R160" i="3" s="1"/>
  <c r="M160" i="3"/>
  <c r="L160" i="3"/>
  <c r="N160" i="3" s="1"/>
  <c r="K160" i="3"/>
  <c r="J160" i="3"/>
  <c r="Y159" i="3"/>
  <c r="Q159" i="3"/>
  <c r="P159" i="3"/>
  <c r="R159" i="3" s="1"/>
  <c r="L159" i="3"/>
  <c r="N159" i="3" s="1"/>
  <c r="K159" i="3"/>
  <c r="M159" i="3" s="1"/>
  <c r="J159" i="3"/>
  <c r="Y158" i="3"/>
  <c r="Q157" i="3"/>
  <c r="P157" i="3"/>
  <c r="R157" i="3" s="1"/>
  <c r="N157" i="3"/>
  <c r="L157" i="3"/>
  <c r="K157" i="3"/>
  <c r="G157" i="3"/>
  <c r="M157" i="3" s="1"/>
  <c r="Y156" i="3"/>
  <c r="Q156" i="3"/>
  <c r="P156" i="3"/>
  <c r="R156" i="3" s="1"/>
  <c r="L156" i="3"/>
  <c r="N156" i="3" s="1"/>
  <c r="K156" i="3"/>
  <c r="M156" i="3" s="1"/>
  <c r="J156" i="3"/>
  <c r="Y155" i="3"/>
  <c r="Q155" i="3"/>
  <c r="P155" i="3"/>
  <c r="R155" i="3" s="1"/>
  <c r="N155" i="3"/>
  <c r="M155" i="3"/>
  <c r="L155" i="3"/>
  <c r="K155" i="3"/>
  <c r="J155" i="3"/>
  <c r="Y154" i="3"/>
  <c r="Q154" i="3"/>
  <c r="R154" i="3" s="1"/>
  <c r="P154" i="3"/>
  <c r="N154" i="3"/>
  <c r="L154" i="3"/>
  <c r="L167" i="3" s="1"/>
  <c r="K154" i="3"/>
  <c r="K167" i="3" s="1"/>
  <c r="J154" i="3"/>
  <c r="AB153" i="3"/>
  <c r="AA153" i="3"/>
  <c r="Y152" i="3"/>
  <c r="Y151" i="3"/>
  <c r="Y150" i="3"/>
  <c r="Q150" i="3"/>
  <c r="R150" i="3" s="1"/>
  <c r="P150" i="3"/>
  <c r="L150" i="3"/>
  <c r="N150" i="3" s="1"/>
  <c r="K150" i="3"/>
  <c r="M150" i="3" s="1"/>
  <c r="J150" i="3"/>
  <c r="Y149" i="3"/>
  <c r="Q149" i="3"/>
  <c r="P149" i="3"/>
  <c r="R149" i="3" s="1"/>
  <c r="N149" i="3"/>
  <c r="M149" i="3"/>
  <c r="L149" i="3"/>
  <c r="K149" i="3"/>
  <c r="J149" i="3"/>
  <c r="Y148" i="3"/>
  <c r="Q148" i="3"/>
  <c r="R148" i="3" s="1"/>
  <c r="P148" i="3"/>
  <c r="N148" i="3"/>
  <c r="L148" i="3"/>
  <c r="K148" i="3"/>
  <c r="M148" i="3" s="1"/>
  <c r="J148" i="3"/>
  <c r="Y147" i="3"/>
  <c r="T147" i="3"/>
  <c r="R147" i="3"/>
  <c r="S147" i="3" s="1"/>
  <c r="Q147" i="3"/>
  <c r="P147" i="3"/>
  <c r="L147" i="3"/>
  <c r="N147" i="3" s="1"/>
  <c r="K147" i="3"/>
  <c r="M147" i="3" s="1"/>
  <c r="J147" i="3"/>
  <c r="Y146" i="3"/>
  <c r="Q145" i="3"/>
  <c r="P145" i="3"/>
  <c r="R145" i="3" s="1"/>
  <c r="M145" i="3"/>
  <c r="L145" i="3"/>
  <c r="K145" i="3"/>
  <c r="J145" i="3"/>
  <c r="G145" i="3"/>
  <c r="N145" i="3" s="1"/>
  <c r="Y144" i="3"/>
  <c r="T144" i="3"/>
  <c r="R144" i="3"/>
  <c r="S144" i="3" s="1"/>
  <c r="Q144" i="3"/>
  <c r="P144" i="3"/>
  <c r="L144" i="3"/>
  <c r="N144" i="3" s="1"/>
  <c r="K144" i="3"/>
  <c r="M144" i="3" s="1"/>
  <c r="J144" i="3"/>
  <c r="Y143" i="3"/>
  <c r="Q143" i="3"/>
  <c r="P143" i="3"/>
  <c r="R143" i="3" s="1"/>
  <c r="N143" i="3"/>
  <c r="L143" i="3"/>
  <c r="L153" i="3" s="1"/>
  <c r="K143" i="3"/>
  <c r="M143" i="3" s="1"/>
  <c r="J143" i="3"/>
  <c r="Q101" i="2"/>
  <c r="P101" i="2"/>
  <c r="L101" i="2"/>
  <c r="N101" i="2" s="1"/>
  <c r="K101" i="2"/>
  <c r="M101" i="2" s="1"/>
  <c r="J101" i="2"/>
  <c r="Q100" i="2"/>
  <c r="P100" i="2"/>
  <c r="L100" i="2"/>
  <c r="N100" i="2" s="1"/>
  <c r="K100" i="2"/>
  <c r="M100" i="2" s="1"/>
  <c r="J100" i="2"/>
  <c r="Q99" i="2"/>
  <c r="P99" i="2"/>
  <c r="L99" i="2"/>
  <c r="N99" i="2" s="1"/>
  <c r="K99" i="2"/>
  <c r="M99" i="2" s="1"/>
  <c r="J99" i="2"/>
  <c r="Q98" i="2"/>
  <c r="P98" i="2"/>
  <c r="L98" i="2"/>
  <c r="N98" i="2" s="1"/>
  <c r="K98" i="2"/>
  <c r="M98" i="2" s="1"/>
  <c r="J98" i="2"/>
  <c r="Q97" i="2"/>
  <c r="P97" i="2"/>
  <c r="L97" i="2"/>
  <c r="N97" i="2" s="1"/>
  <c r="K97" i="2"/>
  <c r="M97" i="2" s="1"/>
  <c r="J97" i="2"/>
  <c r="Q96" i="2"/>
  <c r="P96" i="2"/>
  <c r="L96" i="2"/>
  <c r="N96" i="2" s="1"/>
  <c r="K96" i="2"/>
  <c r="M96" i="2" s="1"/>
  <c r="J96" i="2"/>
  <c r="Q95" i="2"/>
  <c r="P95" i="2"/>
  <c r="L95" i="2"/>
  <c r="K95" i="2"/>
  <c r="J95" i="2"/>
  <c r="Q94" i="2"/>
  <c r="P94" i="2"/>
  <c r="L94" i="2"/>
  <c r="N94" i="2" s="1"/>
  <c r="K94" i="2"/>
  <c r="M94" i="2" s="1"/>
  <c r="J94" i="2"/>
  <c r="Q93" i="2"/>
  <c r="P93" i="2"/>
  <c r="L93" i="2"/>
  <c r="N93" i="2" s="1"/>
  <c r="K93" i="2"/>
  <c r="M93" i="2" s="1"/>
  <c r="J93" i="2"/>
  <c r="Q92" i="2"/>
  <c r="P92" i="2"/>
  <c r="L92" i="2"/>
  <c r="N92" i="2" s="1"/>
  <c r="K92" i="2"/>
  <c r="M92" i="2" s="1"/>
  <c r="J92" i="2"/>
  <c r="P91" i="2"/>
  <c r="L91" i="2"/>
  <c r="N91" i="2" s="1"/>
  <c r="K91" i="2"/>
  <c r="M91" i="2" s="1"/>
  <c r="J91" i="2"/>
  <c r="Q90" i="2"/>
  <c r="Q91" i="2"/>
  <c r="L90" i="2"/>
  <c r="N90" i="2" s="1"/>
  <c r="Q89" i="2"/>
  <c r="P89" i="2"/>
  <c r="L89" i="2"/>
  <c r="N89" i="2" s="1"/>
  <c r="K89" i="2"/>
  <c r="M89" i="2" s="1"/>
  <c r="J89" i="2"/>
  <c r="Q88" i="2"/>
  <c r="P88" i="2"/>
  <c r="L88" i="2"/>
  <c r="N88" i="2" s="1"/>
  <c r="K88" i="2"/>
  <c r="M88" i="2" s="1"/>
  <c r="J88" i="2"/>
  <c r="Q87" i="2"/>
  <c r="P87" i="2"/>
  <c r="L87" i="2"/>
  <c r="N87" i="2" s="1"/>
  <c r="K87" i="2"/>
  <c r="M87" i="2" s="1"/>
  <c r="J87" i="2"/>
  <c r="Q86" i="2"/>
  <c r="P86" i="2"/>
  <c r="L86" i="2"/>
  <c r="N86" i="2" s="1"/>
  <c r="K86" i="2"/>
  <c r="M86" i="2" s="1"/>
  <c r="J86" i="2"/>
  <c r="Q85" i="2"/>
  <c r="P85" i="2"/>
  <c r="L85" i="2"/>
  <c r="N85" i="2" s="1"/>
  <c r="K85" i="2"/>
  <c r="M85" i="2" s="1"/>
  <c r="J85" i="2"/>
  <c r="Q84" i="2"/>
  <c r="P84" i="2"/>
  <c r="L84" i="2"/>
  <c r="N84" i="2" s="1"/>
  <c r="K84" i="2"/>
  <c r="M84" i="2" s="1"/>
  <c r="J84" i="2"/>
  <c r="Q83" i="2"/>
  <c r="P83" i="2"/>
  <c r="L83" i="2"/>
  <c r="N83" i="2" s="1"/>
  <c r="K83" i="2"/>
  <c r="M83" i="2" s="1"/>
  <c r="J83" i="2"/>
  <c r="Q82" i="2"/>
  <c r="P82" i="2"/>
  <c r="L82" i="2"/>
  <c r="N82" i="2" s="1"/>
  <c r="K82" i="2"/>
  <c r="M82" i="2" s="1"/>
  <c r="J82" i="2"/>
  <c r="Q81" i="2"/>
  <c r="P81" i="2"/>
  <c r="L81" i="2"/>
  <c r="N81" i="2" s="1"/>
  <c r="K81" i="2"/>
  <c r="M81" i="2" s="1"/>
  <c r="J81" i="2"/>
  <c r="R80" i="2"/>
  <c r="T80" i="2" s="1"/>
  <c r="L80" i="2"/>
  <c r="N80" i="2" s="1"/>
  <c r="K80" i="2"/>
  <c r="M80" i="2" s="1"/>
  <c r="J80" i="2"/>
  <c r="Q79" i="2"/>
  <c r="P79" i="2"/>
  <c r="L79" i="2"/>
  <c r="N79" i="2" s="1"/>
  <c r="K79" i="2"/>
  <c r="M79" i="2" s="1"/>
  <c r="J79" i="2"/>
  <c r="Q78" i="2"/>
  <c r="P78" i="2"/>
  <c r="L78" i="2"/>
  <c r="N78" i="2" s="1"/>
  <c r="K78" i="2"/>
  <c r="M78" i="2" s="1"/>
  <c r="J78" i="2"/>
  <c r="Q77" i="2"/>
  <c r="P77" i="2"/>
  <c r="L77" i="2"/>
  <c r="N77" i="2" s="1"/>
  <c r="K77" i="2"/>
  <c r="M77" i="2" s="1"/>
  <c r="J77" i="2"/>
  <c r="Q76" i="2"/>
  <c r="P76" i="2"/>
  <c r="L76" i="2"/>
  <c r="N76" i="2" s="1"/>
  <c r="K76" i="2"/>
  <c r="M76" i="2" s="1"/>
  <c r="J76" i="2"/>
  <c r="Q75" i="2"/>
  <c r="P75" i="2"/>
  <c r="L75" i="2"/>
  <c r="N75" i="2" s="1"/>
  <c r="K75" i="2"/>
  <c r="M75" i="2" s="1"/>
  <c r="Q74" i="2"/>
  <c r="P74" i="2"/>
  <c r="L74" i="2"/>
  <c r="N74" i="2" s="1"/>
  <c r="K74" i="2"/>
  <c r="M74" i="2" s="1"/>
  <c r="J74" i="2"/>
  <c r="Q73" i="2"/>
  <c r="P73" i="2"/>
  <c r="L73" i="2"/>
  <c r="N73" i="2" s="1"/>
  <c r="K73" i="2"/>
  <c r="M73" i="2" s="1"/>
  <c r="J73" i="2"/>
  <c r="Q72" i="2"/>
  <c r="P72" i="2"/>
  <c r="L72" i="2"/>
  <c r="N72" i="2" s="1"/>
  <c r="K72" i="2"/>
  <c r="M72" i="2" s="1"/>
  <c r="J72" i="2"/>
  <c r="Q71" i="2"/>
  <c r="P71" i="2"/>
  <c r="L71" i="2"/>
  <c r="N71" i="2" s="1"/>
  <c r="K71" i="2"/>
  <c r="M71" i="2" s="1"/>
  <c r="J71" i="2"/>
  <c r="Q70" i="2"/>
  <c r="P70" i="2"/>
  <c r="L70" i="2"/>
  <c r="N70" i="2" s="1"/>
  <c r="K70" i="2"/>
  <c r="M70" i="2" s="1"/>
  <c r="J70" i="2"/>
  <c r="Q69" i="2"/>
  <c r="P69" i="2"/>
  <c r="L69" i="2"/>
  <c r="N69" i="2" s="1"/>
  <c r="K69" i="2"/>
  <c r="M69" i="2" s="1"/>
  <c r="J69" i="2"/>
  <c r="Q68" i="2"/>
  <c r="P68" i="2"/>
  <c r="L68" i="2"/>
  <c r="N68" i="2" s="1"/>
  <c r="K68" i="2"/>
  <c r="M68" i="2" s="1"/>
  <c r="J68" i="2"/>
  <c r="Q67" i="2"/>
  <c r="P67" i="2"/>
  <c r="L67" i="2"/>
  <c r="N67" i="2" s="1"/>
  <c r="K67" i="2"/>
  <c r="M67" i="2" s="1"/>
  <c r="J67" i="2"/>
  <c r="Q66" i="2"/>
  <c r="P66" i="2"/>
  <c r="L66" i="2"/>
  <c r="N66" i="2" s="1"/>
  <c r="K66" i="2"/>
  <c r="M66" i="2" s="1"/>
  <c r="J66" i="2"/>
  <c r="Q65" i="2"/>
  <c r="P65" i="2"/>
  <c r="L65" i="2"/>
  <c r="N65" i="2" s="1"/>
  <c r="K65" i="2"/>
  <c r="M65" i="2" s="1"/>
  <c r="J65" i="2"/>
  <c r="Q64" i="2"/>
  <c r="P64" i="2"/>
  <c r="L64" i="2"/>
  <c r="N64" i="2" s="1"/>
  <c r="K64" i="2"/>
  <c r="M64" i="2" s="1"/>
  <c r="J64" i="2"/>
  <c r="Q63" i="2"/>
  <c r="P63" i="2"/>
  <c r="L63" i="2"/>
  <c r="N63" i="2" s="1"/>
  <c r="K63" i="2"/>
  <c r="M63" i="2" s="1"/>
  <c r="J63" i="2"/>
  <c r="Q62" i="2"/>
  <c r="P62" i="2"/>
  <c r="L62" i="2"/>
  <c r="N62" i="2" s="1"/>
  <c r="K62" i="2"/>
  <c r="M62" i="2" s="1"/>
  <c r="R61" i="2"/>
  <c r="T61" i="2" s="1"/>
  <c r="K61" i="2"/>
  <c r="M61" i="2" s="1"/>
  <c r="Q60" i="2"/>
  <c r="P60" i="2"/>
  <c r="L60" i="2"/>
  <c r="N60" i="2" s="1"/>
  <c r="K60" i="2"/>
  <c r="M60" i="2" s="1"/>
  <c r="Q59" i="2"/>
  <c r="P59" i="2"/>
  <c r="L59" i="2"/>
  <c r="N59" i="2" s="1"/>
  <c r="K59" i="2"/>
  <c r="M59" i="2" s="1"/>
  <c r="Q58" i="2"/>
  <c r="P58" i="2"/>
  <c r="L58" i="2"/>
  <c r="N58" i="2" s="1"/>
  <c r="K58" i="2"/>
  <c r="M58" i="2" s="1"/>
  <c r="Q57" i="2"/>
  <c r="P57" i="2"/>
  <c r="L57" i="2"/>
  <c r="N57" i="2" s="1"/>
  <c r="K57" i="2"/>
  <c r="M57" i="2" s="1"/>
  <c r="Q56" i="2"/>
  <c r="P56" i="2"/>
  <c r="L56" i="2"/>
  <c r="N56" i="2" s="1"/>
  <c r="K56" i="2"/>
  <c r="M56" i="2" s="1"/>
  <c r="Q55" i="2"/>
  <c r="P55" i="2"/>
  <c r="L55" i="2"/>
  <c r="N55" i="2" s="1"/>
  <c r="K55" i="2"/>
  <c r="M55" i="2" s="1"/>
  <c r="Q54" i="2"/>
  <c r="P54" i="2"/>
  <c r="L54" i="2"/>
  <c r="N54" i="2" s="1"/>
  <c r="K54" i="2"/>
  <c r="M54" i="2" s="1"/>
  <c r="Q53" i="2"/>
  <c r="P53" i="2"/>
  <c r="L53" i="2"/>
  <c r="N53" i="2" s="1"/>
  <c r="K53" i="2"/>
  <c r="M53" i="2" s="1"/>
  <c r="Q52" i="2"/>
  <c r="P52" i="2"/>
  <c r="L52" i="2"/>
  <c r="N52" i="2" s="1"/>
  <c r="K52" i="2"/>
  <c r="M52" i="2" s="1"/>
  <c r="Q51" i="2"/>
  <c r="P51" i="2"/>
  <c r="L51" i="2"/>
  <c r="N51" i="2" s="1"/>
  <c r="K51" i="2"/>
  <c r="M51" i="2" s="1"/>
  <c r="Q50" i="2"/>
  <c r="P50" i="2"/>
  <c r="L50" i="2"/>
  <c r="N50" i="2" s="1"/>
  <c r="K50" i="2"/>
  <c r="M50" i="2" s="1"/>
  <c r="Q49" i="2"/>
  <c r="P49" i="2"/>
  <c r="L49" i="2"/>
  <c r="N49" i="2" s="1"/>
  <c r="K49" i="2"/>
  <c r="M49" i="2" s="1"/>
  <c r="Q48" i="2"/>
  <c r="P48" i="2"/>
  <c r="L48" i="2"/>
  <c r="N48" i="2" s="1"/>
  <c r="K48" i="2"/>
  <c r="M48" i="2" s="1"/>
  <c r="Q47" i="2"/>
  <c r="P47" i="2"/>
  <c r="L47" i="2"/>
  <c r="N47" i="2" s="1"/>
  <c r="K47" i="2"/>
  <c r="M47" i="2" s="1"/>
  <c r="Q46" i="2"/>
  <c r="P46" i="2"/>
  <c r="L46" i="2"/>
  <c r="N46" i="2" s="1"/>
  <c r="K46" i="2"/>
  <c r="M46" i="2" s="1"/>
  <c r="Q66" i="5"/>
  <c r="P66" i="5"/>
  <c r="L66" i="5"/>
  <c r="N66" i="5" s="1"/>
  <c r="K66" i="5"/>
  <c r="M66" i="5" s="1"/>
  <c r="Y65" i="5"/>
  <c r="Q65" i="5"/>
  <c r="P65" i="5"/>
  <c r="L65" i="5"/>
  <c r="N65" i="5" s="1"/>
  <c r="K65" i="5"/>
  <c r="M65" i="5" s="1"/>
  <c r="Y64" i="5"/>
  <c r="Q64" i="5"/>
  <c r="P64" i="5"/>
  <c r="L64" i="5"/>
  <c r="N64" i="5" s="1"/>
  <c r="K64" i="5"/>
  <c r="M64" i="5" s="1"/>
  <c r="J64" i="5"/>
  <c r="Q63" i="5"/>
  <c r="P63" i="5"/>
  <c r="L63" i="5"/>
  <c r="N63" i="5" s="1"/>
  <c r="K63" i="5"/>
  <c r="M63" i="5" s="1"/>
  <c r="Y62" i="5"/>
  <c r="Q62" i="5"/>
  <c r="P62" i="5"/>
  <c r="L62" i="5"/>
  <c r="N62" i="5" s="1"/>
  <c r="K62" i="5"/>
  <c r="M62" i="5" s="1"/>
  <c r="J62" i="5"/>
  <c r="Y61" i="5"/>
  <c r="Q61" i="5"/>
  <c r="P61" i="5"/>
  <c r="L61" i="5"/>
  <c r="N61" i="5" s="1"/>
  <c r="K61" i="5"/>
  <c r="M61" i="5" s="1"/>
  <c r="J61" i="5"/>
  <c r="Y60" i="5"/>
  <c r="Q60" i="5"/>
  <c r="P60" i="5"/>
  <c r="L60" i="5"/>
  <c r="N60" i="5" s="1"/>
  <c r="K60" i="5"/>
  <c r="M60" i="5" s="1"/>
  <c r="J60" i="5"/>
  <c r="Q59" i="5"/>
  <c r="P59" i="5"/>
  <c r="L59" i="5"/>
  <c r="N59" i="5" s="1"/>
  <c r="K59" i="5"/>
  <c r="M59" i="5" s="1"/>
  <c r="Y58" i="5"/>
  <c r="Q58" i="5"/>
  <c r="P58" i="5"/>
  <c r="L58" i="5"/>
  <c r="N58" i="5" s="1"/>
  <c r="K58" i="5"/>
  <c r="M58" i="5" s="1"/>
  <c r="J58" i="5"/>
  <c r="Y57" i="5"/>
  <c r="Q57" i="5"/>
  <c r="P57" i="5"/>
  <c r="L57" i="5"/>
  <c r="N57" i="5" s="1"/>
  <c r="K57" i="5"/>
  <c r="M57" i="5" s="1"/>
  <c r="Y56" i="5"/>
  <c r="Q56" i="5"/>
  <c r="P56" i="5"/>
  <c r="L56" i="5"/>
  <c r="N56" i="5" s="1"/>
  <c r="K56" i="5"/>
  <c r="M56" i="5" s="1"/>
  <c r="J56" i="5"/>
  <c r="Q55" i="5"/>
  <c r="P55" i="5"/>
  <c r="L55" i="5"/>
  <c r="N55" i="5" s="1"/>
  <c r="K55" i="5"/>
  <c r="M55" i="5" s="1"/>
  <c r="Y54" i="5"/>
  <c r="Q54" i="5"/>
  <c r="P54" i="5"/>
  <c r="L54" i="5"/>
  <c r="N54" i="5" s="1"/>
  <c r="K54" i="5"/>
  <c r="M54" i="5" s="1"/>
  <c r="J54" i="5"/>
  <c r="Y53" i="5"/>
  <c r="Q53" i="5"/>
  <c r="P53" i="5"/>
  <c r="L53" i="5"/>
  <c r="N53" i="5" s="1"/>
  <c r="K53" i="5"/>
  <c r="M53" i="5" s="1"/>
  <c r="J53" i="5"/>
  <c r="Y52" i="5"/>
  <c r="Q52" i="5"/>
  <c r="P52" i="5"/>
  <c r="L52" i="5"/>
  <c r="N52" i="5" s="1"/>
  <c r="K52" i="5"/>
  <c r="M52" i="5" s="1"/>
  <c r="J52" i="5"/>
  <c r="Q51" i="5"/>
  <c r="P51" i="5"/>
  <c r="L51" i="5"/>
  <c r="N51" i="5" s="1"/>
  <c r="K51" i="5"/>
  <c r="M51" i="5" s="1"/>
  <c r="J51" i="5"/>
  <c r="Y50" i="5"/>
  <c r="Q50" i="5"/>
  <c r="P50" i="5"/>
  <c r="L50" i="5"/>
  <c r="N50" i="5" s="1"/>
  <c r="K50" i="5"/>
  <c r="M50" i="5" s="1"/>
  <c r="Q49" i="5"/>
  <c r="P49" i="5"/>
  <c r="L49" i="5"/>
  <c r="N49" i="5" s="1"/>
  <c r="K49" i="5"/>
  <c r="M49" i="5" s="1"/>
  <c r="Y48" i="5"/>
  <c r="Q48" i="5"/>
  <c r="P48" i="5"/>
  <c r="L48" i="5"/>
  <c r="N48" i="5" s="1"/>
  <c r="K48" i="5"/>
  <c r="M48" i="5" s="1"/>
  <c r="J48" i="5"/>
  <c r="Q47" i="5"/>
  <c r="P47" i="5"/>
  <c r="L47" i="5"/>
  <c r="N47" i="5" s="1"/>
  <c r="K47" i="5"/>
  <c r="M47" i="5" s="1"/>
  <c r="Q46" i="5"/>
  <c r="P46" i="5"/>
  <c r="L46" i="5"/>
  <c r="N46" i="5" s="1"/>
  <c r="K46" i="5"/>
  <c r="M46" i="5" s="1"/>
  <c r="Y46" i="5"/>
  <c r="Q45" i="5"/>
  <c r="P45" i="5"/>
  <c r="L45" i="5"/>
  <c r="N45" i="5" s="1"/>
  <c r="K45" i="5"/>
  <c r="M45" i="5" s="1"/>
  <c r="Y45" i="5"/>
  <c r="Y44" i="5"/>
  <c r="Q44" i="5"/>
  <c r="P44" i="5"/>
  <c r="L44" i="5"/>
  <c r="N44" i="5" s="1"/>
  <c r="K44" i="5"/>
  <c r="M44" i="5" s="1"/>
  <c r="J44" i="5"/>
  <c r="AB43" i="5"/>
  <c r="Y43" i="5"/>
  <c r="Q43" i="5"/>
  <c r="P43" i="5"/>
  <c r="L43" i="5"/>
  <c r="N43" i="5" s="1"/>
  <c r="K43" i="5"/>
  <c r="M43" i="5" s="1"/>
  <c r="Y42" i="5"/>
  <c r="Q42" i="5"/>
  <c r="P42" i="5"/>
  <c r="L42" i="5"/>
  <c r="N42" i="5" s="1"/>
  <c r="K42" i="5"/>
  <c r="M42" i="5" s="1"/>
  <c r="Q41" i="5"/>
  <c r="P41" i="5"/>
  <c r="L41" i="5"/>
  <c r="N41" i="5" s="1"/>
  <c r="K41" i="5"/>
  <c r="M41" i="5" s="1"/>
  <c r="Q40" i="5"/>
  <c r="P40" i="5"/>
  <c r="L40" i="5"/>
  <c r="N40" i="5" s="1"/>
  <c r="K40" i="5"/>
  <c r="M40" i="5" s="1"/>
  <c r="AC39" i="5"/>
  <c r="Y39" i="5"/>
  <c r="Q39" i="5"/>
  <c r="P39" i="5"/>
  <c r="L39" i="5"/>
  <c r="N39" i="5" s="1"/>
  <c r="K39" i="5"/>
  <c r="M39" i="5" s="1"/>
  <c r="J39" i="5"/>
  <c r="AC38" i="5"/>
  <c r="Y38" i="5"/>
  <c r="R38" i="5"/>
  <c r="T38" i="5" s="1"/>
  <c r="L38" i="5"/>
  <c r="N38" i="5" s="1"/>
  <c r="K38" i="5"/>
  <c r="M38" i="5" s="1"/>
  <c r="J38" i="5"/>
  <c r="R37" i="5"/>
  <c r="L37" i="5"/>
  <c r="N37" i="5" s="1"/>
  <c r="K37" i="5"/>
  <c r="M37" i="5" s="1"/>
  <c r="AC37" i="5"/>
  <c r="AC36" i="5"/>
  <c r="Y36" i="5"/>
  <c r="R36" i="5"/>
  <c r="S36" i="5" s="1"/>
  <c r="L36" i="5"/>
  <c r="N36" i="5" s="1"/>
  <c r="K36" i="5"/>
  <c r="M36" i="5" s="1"/>
  <c r="J36" i="5"/>
  <c r="AC35" i="5"/>
  <c r="Y35" i="5"/>
  <c r="R35" i="5"/>
  <c r="T35" i="5" s="1"/>
  <c r="L35" i="5"/>
  <c r="N35" i="5" s="1"/>
  <c r="K35" i="5"/>
  <c r="M35" i="5" s="1"/>
  <c r="J35" i="5"/>
  <c r="AC34" i="5"/>
  <c r="Y34" i="5"/>
  <c r="R34" i="5"/>
  <c r="L34" i="5"/>
  <c r="N34" i="5" s="1"/>
  <c r="K34" i="5"/>
  <c r="M34" i="5" s="1"/>
  <c r="J34" i="5"/>
  <c r="AC33" i="5"/>
  <c r="Y33" i="5"/>
  <c r="R33" i="5"/>
  <c r="T33" i="5" s="1"/>
  <c r="L33" i="5"/>
  <c r="N33" i="5" s="1"/>
  <c r="K33" i="5"/>
  <c r="M33" i="5" s="1"/>
  <c r="J33" i="5"/>
  <c r="AC32" i="5"/>
  <c r="Y32" i="5"/>
  <c r="R32" i="5"/>
  <c r="T32" i="5" s="1"/>
  <c r="L32" i="5"/>
  <c r="N32" i="5" s="1"/>
  <c r="K32" i="5"/>
  <c r="M32" i="5" s="1"/>
  <c r="J32" i="5"/>
  <c r="AC31" i="5"/>
  <c r="Y31" i="5"/>
  <c r="R31" i="5"/>
  <c r="T31" i="5" s="1"/>
  <c r="L31" i="5"/>
  <c r="N31" i="5" s="1"/>
  <c r="K31" i="5"/>
  <c r="M31" i="5" s="1"/>
  <c r="J31" i="5"/>
  <c r="AC30" i="5"/>
  <c r="Y30" i="5"/>
  <c r="R30" i="5"/>
  <c r="T30" i="5" s="1"/>
  <c r="L30" i="5"/>
  <c r="N30" i="5" s="1"/>
  <c r="K30" i="5"/>
  <c r="M30" i="5" s="1"/>
  <c r="J30" i="5"/>
  <c r="AC29" i="5"/>
  <c r="Y29" i="5"/>
  <c r="R29" i="5"/>
  <c r="T29" i="5" s="1"/>
  <c r="L29" i="5"/>
  <c r="N29" i="5" s="1"/>
  <c r="K29" i="5"/>
  <c r="M29" i="5" s="1"/>
  <c r="J29" i="5"/>
  <c r="AC28" i="5"/>
  <c r="Y28" i="5"/>
  <c r="R28" i="5"/>
  <c r="S28" i="5" s="1"/>
  <c r="L28" i="5"/>
  <c r="N28" i="5" s="1"/>
  <c r="K28" i="5"/>
  <c r="M28" i="5" s="1"/>
  <c r="J28" i="5"/>
  <c r="AC27" i="5"/>
  <c r="Y27" i="5"/>
  <c r="R27" i="5"/>
  <c r="S27" i="5" s="1"/>
  <c r="L27" i="5"/>
  <c r="N27" i="5" s="1"/>
  <c r="K27" i="5"/>
  <c r="M27" i="5" s="1"/>
  <c r="J27" i="5"/>
  <c r="AC26" i="5"/>
  <c r="Y26" i="5"/>
  <c r="R26" i="5"/>
  <c r="T26" i="5" s="1"/>
  <c r="L26" i="5"/>
  <c r="N26" i="5" s="1"/>
  <c r="K26" i="5"/>
  <c r="M26" i="5" s="1"/>
  <c r="J26" i="5"/>
  <c r="AC25" i="5"/>
  <c r="Y25" i="5"/>
  <c r="R25" i="5"/>
  <c r="S25" i="5" s="1"/>
  <c r="L25" i="5"/>
  <c r="N25" i="5" s="1"/>
  <c r="K25" i="5"/>
  <c r="M25" i="5" s="1"/>
  <c r="J25" i="5"/>
  <c r="AC24" i="5"/>
  <c r="Y24" i="5"/>
  <c r="R24" i="5"/>
  <c r="L24" i="5"/>
  <c r="N24" i="5" s="1"/>
  <c r="K24" i="5"/>
  <c r="M24" i="5" s="1"/>
  <c r="J24" i="5"/>
  <c r="AC23" i="5"/>
  <c r="Y23" i="5"/>
  <c r="R23" i="5"/>
  <c r="T23" i="5" s="1"/>
  <c r="L23" i="5"/>
  <c r="N23" i="5" s="1"/>
  <c r="K23" i="5"/>
  <c r="M23" i="5" s="1"/>
  <c r="J23" i="5"/>
  <c r="AC22" i="5"/>
  <c r="Y22" i="5"/>
  <c r="R22" i="5"/>
  <c r="T22" i="5" s="1"/>
  <c r="L22" i="5"/>
  <c r="N22" i="5" s="1"/>
  <c r="K22" i="5"/>
  <c r="M22" i="5" s="1"/>
  <c r="J22" i="5"/>
  <c r="AC21" i="5"/>
  <c r="Y21" i="5"/>
  <c r="R21" i="5"/>
  <c r="T21" i="5" s="1"/>
  <c r="L21" i="5"/>
  <c r="N21" i="5" s="1"/>
  <c r="K21" i="5"/>
  <c r="M21" i="5" s="1"/>
  <c r="J21" i="5"/>
  <c r="AC20" i="5"/>
  <c r="Y20" i="5"/>
  <c r="R20" i="5"/>
  <c r="S20" i="5" s="1"/>
  <c r="L20" i="5"/>
  <c r="N20" i="5" s="1"/>
  <c r="K20" i="5"/>
  <c r="M20" i="5" s="1"/>
  <c r="J20" i="5"/>
  <c r="AC19" i="5"/>
  <c r="Y19" i="5"/>
  <c r="R19" i="5"/>
  <c r="L19" i="5"/>
  <c r="N19" i="5" s="1"/>
  <c r="K19" i="5"/>
  <c r="M19" i="5" s="1"/>
  <c r="J19" i="5"/>
  <c r="AC18" i="5"/>
  <c r="Y18" i="5"/>
  <c r="R18" i="5"/>
  <c r="S18" i="5" s="1"/>
  <c r="L18" i="5"/>
  <c r="N18" i="5" s="1"/>
  <c r="K18" i="5"/>
  <c r="M18" i="5" s="1"/>
  <c r="J18" i="5"/>
  <c r="AC17" i="5"/>
  <c r="Y17" i="5"/>
  <c r="R17" i="5"/>
  <c r="L17" i="5"/>
  <c r="N17" i="5" s="1"/>
  <c r="K17" i="5"/>
  <c r="M17" i="5" s="1"/>
  <c r="AC16" i="5"/>
  <c r="Y16" i="5"/>
  <c r="R16" i="5"/>
  <c r="T16" i="5" s="1"/>
  <c r="L16" i="5"/>
  <c r="N16" i="5" s="1"/>
  <c r="K16" i="5"/>
  <c r="M16" i="5" s="1"/>
  <c r="J16" i="5"/>
  <c r="AC15" i="5"/>
  <c r="Y15" i="5"/>
  <c r="R15" i="5"/>
  <c r="T15" i="5" s="1"/>
  <c r="L15" i="5"/>
  <c r="N15" i="5" s="1"/>
  <c r="K15" i="5"/>
  <c r="M15" i="5" s="1"/>
  <c r="J15" i="5"/>
  <c r="AC14" i="5"/>
  <c r="Y14" i="5"/>
  <c r="R14" i="5"/>
  <c r="T14" i="5" s="1"/>
  <c r="L14" i="5"/>
  <c r="N14" i="5" s="1"/>
  <c r="K14" i="5"/>
  <c r="M14" i="5" s="1"/>
  <c r="J14" i="5"/>
  <c r="AC13" i="5"/>
  <c r="Y13" i="5"/>
  <c r="R13" i="5"/>
  <c r="T13" i="5" s="1"/>
  <c r="L13" i="5"/>
  <c r="N13" i="5" s="1"/>
  <c r="K13" i="5"/>
  <c r="M13" i="5" s="1"/>
  <c r="J13" i="5"/>
  <c r="AC12" i="5"/>
  <c r="Y12" i="5"/>
  <c r="R12" i="5"/>
  <c r="S12" i="5" s="1"/>
  <c r="L12" i="5"/>
  <c r="N12" i="5" s="1"/>
  <c r="K12" i="5"/>
  <c r="M12" i="5" s="1"/>
  <c r="J12" i="5"/>
  <c r="AC11" i="5"/>
  <c r="Y11" i="5"/>
  <c r="R11" i="5"/>
  <c r="T11" i="5" s="1"/>
  <c r="L11" i="5"/>
  <c r="N11" i="5" s="1"/>
  <c r="K11" i="5"/>
  <c r="M11" i="5" s="1"/>
  <c r="J11" i="5"/>
  <c r="AC10" i="5"/>
  <c r="Y10" i="5"/>
  <c r="R10" i="5"/>
  <c r="T10" i="5" s="1"/>
  <c r="L10" i="5"/>
  <c r="N10" i="5" s="1"/>
  <c r="K10" i="5"/>
  <c r="M10" i="5" s="1"/>
  <c r="J10" i="5"/>
  <c r="AC9" i="5"/>
  <c r="Y9" i="5"/>
  <c r="R9" i="5"/>
  <c r="T9" i="5" s="1"/>
  <c r="L9" i="5"/>
  <c r="N9" i="5" s="1"/>
  <c r="K9" i="5"/>
  <c r="M9" i="5" s="1"/>
  <c r="J9" i="5"/>
  <c r="AC8" i="5"/>
  <c r="Y8" i="5"/>
  <c r="R8" i="5"/>
  <c r="L8" i="5"/>
  <c r="N8" i="5" s="1"/>
  <c r="K8" i="5"/>
  <c r="M8" i="5" s="1"/>
  <c r="J8" i="5"/>
  <c r="AC7" i="5"/>
  <c r="Y7" i="5"/>
  <c r="R7" i="5"/>
  <c r="L7" i="5"/>
  <c r="N7" i="5" s="1"/>
  <c r="K7" i="5"/>
  <c r="M7" i="5" s="1"/>
  <c r="J7" i="5"/>
  <c r="AC6" i="5"/>
  <c r="Y6" i="5"/>
  <c r="R6" i="5"/>
  <c r="T6" i="5" s="1"/>
  <c r="L6" i="5"/>
  <c r="N6" i="5" s="1"/>
  <c r="K6" i="5"/>
  <c r="M6" i="5" s="1"/>
  <c r="J6" i="5"/>
  <c r="AC5" i="5"/>
  <c r="Y5" i="5"/>
  <c r="R5" i="5"/>
  <c r="S5" i="5" s="1"/>
  <c r="L5" i="5"/>
  <c r="N5" i="5" s="1"/>
  <c r="K5" i="5"/>
  <c r="M5" i="5" s="1"/>
  <c r="J5" i="5"/>
  <c r="AC4" i="5"/>
  <c r="Y4" i="5"/>
  <c r="R4" i="5"/>
  <c r="T4" i="5" s="1"/>
  <c r="L4" i="5"/>
  <c r="N4" i="5" s="1"/>
  <c r="K4" i="5"/>
  <c r="M4" i="5" s="1"/>
  <c r="J4" i="5"/>
  <c r="AC3" i="5"/>
  <c r="Y3" i="5"/>
  <c r="R3" i="5"/>
  <c r="T3" i="5" s="1"/>
  <c r="L3" i="5"/>
  <c r="N3" i="5" s="1"/>
  <c r="K3" i="5"/>
  <c r="M3" i="5" s="1"/>
  <c r="J3" i="5"/>
  <c r="AC2" i="5"/>
  <c r="Y2" i="5"/>
  <c r="R2" i="5"/>
  <c r="S2" i="5" s="1"/>
  <c r="L2" i="5"/>
  <c r="N2" i="5" s="1"/>
  <c r="K2" i="5"/>
  <c r="M2" i="5" s="1"/>
  <c r="J2" i="5"/>
  <c r="K8" i="4"/>
  <c r="L8" i="4"/>
  <c r="N8" i="4" s="1"/>
  <c r="M8" i="4"/>
  <c r="O8" i="4"/>
  <c r="S8" i="4"/>
  <c r="T8" i="4" s="1"/>
  <c r="U8" i="4"/>
  <c r="Z8" i="4"/>
  <c r="AC8" i="4"/>
  <c r="K9" i="4"/>
  <c r="L9" i="4"/>
  <c r="N9" i="4" s="1"/>
  <c r="M9" i="4"/>
  <c r="O9" i="4" s="1"/>
  <c r="S9" i="4"/>
  <c r="T9" i="4" s="1"/>
  <c r="Z9" i="4"/>
  <c r="AC9" i="4"/>
  <c r="K10" i="4"/>
  <c r="L10" i="4"/>
  <c r="N10" i="4" s="1"/>
  <c r="M10" i="4"/>
  <c r="O10" i="4" s="1"/>
  <c r="S10" i="4"/>
  <c r="T10" i="4" s="1"/>
  <c r="U10" i="4"/>
  <c r="Z10" i="4"/>
  <c r="AC10" i="4"/>
  <c r="K11" i="4"/>
  <c r="L11" i="4"/>
  <c r="N11" i="4" s="1"/>
  <c r="M11" i="4"/>
  <c r="O11" i="4" s="1"/>
  <c r="S11" i="4"/>
  <c r="T11" i="4" s="1"/>
  <c r="Z11" i="4"/>
  <c r="AC11" i="4"/>
  <c r="K12" i="4"/>
  <c r="L12" i="4"/>
  <c r="M12" i="4"/>
  <c r="O12" i="4" s="1"/>
  <c r="N12" i="4"/>
  <c r="S12" i="4"/>
  <c r="T12" i="4"/>
  <c r="U12" i="4"/>
  <c r="Z12" i="4"/>
  <c r="AC12" i="4"/>
  <c r="K13" i="4"/>
  <c r="L13" i="4"/>
  <c r="N13" i="4" s="1"/>
  <c r="M13" i="4"/>
  <c r="O13" i="4" s="1"/>
  <c r="S13" i="4"/>
  <c r="T13" i="4" s="1"/>
  <c r="Z13" i="4"/>
  <c r="AC13" i="4"/>
  <c r="K14" i="4"/>
  <c r="L14" i="4"/>
  <c r="N14" i="4" s="1"/>
  <c r="M14" i="4"/>
  <c r="O14" i="4" s="1"/>
  <c r="S14" i="4"/>
  <c r="U14" i="4" s="1"/>
  <c r="T14" i="4"/>
  <c r="Z14" i="4"/>
  <c r="AC14" i="4"/>
  <c r="K15" i="4"/>
  <c r="L15" i="4"/>
  <c r="N15" i="4" s="1"/>
  <c r="M15" i="4"/>
  <c r="O15" i="4" s="1"/>
  <c r="S15" i="4"/>
  <c r="T15" i="4" s="1"/>
  <c r="Z15" i="4"/>
  <c r="AC15" i="4"/>
  <c r="K16" i="4"/>
  <c r="L16" i="4"/>
  <c r="N16" i="4" s="1"/>
  <c r="M16" i="4"/>
  <c r="O16" i="4" s="1"/>
  <c r="S16" i="4"/>
  <c r="T16" i="4" s="1"/>
  <c r="Z16" i="4"/>
  <c r="AC16" i="4"/>
  <c r="Z17" i="4"/>
  <c r="AC17" i="4"/>
  <c r="K18" i="4"/>
  <c r="L18" i="4"/>
  <c r="N18" i="4" s="1"/>
  <c r="M18" i="4"/>
  <c r="O18" i="4"/>
  <c r="S18" i="4"/>
  <c r="T18" i="4"/>
  <c r="U18" i="4"/>
  <c r="Z18" i="4"/>
  <c r="AC18" i="4"/>
  <c r="Z19" i="4"/>
  <c r="AC19" i="4"/>
  <c r="H20" i="4"/>
  <c r="X20" i="4" s="1"/>
  <c r="AB20" i="4"/>
  <c r="K21" i="4"/>
  <c r="L21" i="4"/>
  <c r="N21" i="4" s="1"/>
  <c r="M21" i="4"/>
  <c r="O21" i="4" s="1"/>
  <c r="S21" i="4"/>
  <c r="S28" i="4" s="1"/>
  <c r="T28" i="4" s="1"/>
  <c r="Z21" i="4"/>
  <c r="AC21" i="4"/>
  <c r="K22" i="4"/>
  <c r="L22" i="4"/>
  <c r="N22" i="4" s="1"/>
  <c r="M22" i="4"/>
  <c r="O22" i="4"/>
  <c r="S22" i="4"/>
  <c r="T22" i="4" s="1"/>
  <c r="Z22" i="4"/>
  <c r="AC22" i="4"/>
  <c r="AC28" i="4" s="1"/>
  <c r="K23" i="4"/>
  <c r="L23" i="4"/>
  <c r="N23" i="4" s="1"/>
  <c r="M23" i="4"/>
  <c r="O23" i="4" s="1"/>
  <c r="S23" i="4"/>
  <c r="U23" i="4" s="1"/>
  <c r="T23" i="4"/>
  <c r="Z23" i="4"/>
  <c r="AC23" i="4"/>
  <c r="K24" i="4"/>
  <c r="L24" i="4"/>
  <c r="N24" i="4" s="1"/>
  <c r="M24" i="4"/>
  <c r="O24" i="4" s="1"/>
  <c r="S24" i="4"/>
  <c r="T24" i="4" s="1"/>
  <c r="Z24" i="4"/>
  <c r="AC24" i="4"/>
  <c r="K25" i="4"/>
  <c r="L25" i="4"/>
  <c r="N25" i="4" s="1"/>
  <c r="M25" i="4"/>
  <c r="O25" i="4" s="1"/>
  <c r="S25" i="4"/>
  <c r="T25" i="4"/>
  <c r="U25" i="4"/>
  <c r="Z25" i="4"/>
  <c r="AC25" i="4"/>
  <c r="Z26" i="4"/>
  <c r="AC26" i="4"/>
  <c r="H27" i="4"/>
  <c r="Z27" i="4" s="1"/>
  <c r="H28" i="4"/>
  <c r="X28" i="4" s="1"/>
  <c r="AB28" i="4"/>
  <c r="K29" i="4"/>
  <c r="L29" i="4"/>
  <c r="N29" i="4" s="1"/>
  <c r="M29" i="4"/>
  <c r="O29" i="4" s="1"/>
  <c r="S29" i="4"/>
  <c r="T29" i="4"/>
  <c r="U29" i="4"/>
  <c r="Z29" i="4"/>
  <c r="AC29" i="4"/>
  <c r="K30" i="4"/>
  <c r="L30" i="4"/>
  <c r="N30" i="4" s="1"/>
  <c r="M30" i="4"/>
  <c r="O30" i="4" s="1"/>
  <c r="S30" i="4"/>
  <c r="T30" i="4" s="1"/>
  <c r="Z30" i="4"/>
  <c r="AC30" i="4"/>
  <c r="K31" i="4"/>
  <c r="L31" i="4"/>
  <c r="N31" i="4" s="1"/>
  <c r="M31" i="4"/>
  <c r="O31" i="4" s="1"/>
  <c r="S31" i="4"/>
  <c r="T31" i="4" s="1"/>
  <c r="Z31" i="4"/>
  <c r="AC31" i="4"/>
  <c r="K32" i="4"/>
  <c r="L32" i="4"/>
  <c r="N32" i="4" s="1"/>
  <c r="M32" i="4"/>
  <c r="O32" i="4" s="1"/>
  <c r="S32" i="4"/>
  <c r="T32" i="4" s="1"/>
  <c r="Z32" i="4"/>
  <c r="AC32" i="4"/>
  <c r="K33" i="4"/>
  <c r="L33" i="4"/>
  <c r="N33" i="4" s="1"/>
  <c r="M33" i="4"/>
  <c r="O33" i="4" s="1"/>
  <c r="S33" i="4"/>
  <c r="T33" i="4"/>
  <c r="U33" i="4"/>
  <c r="Z33" i="4"/>
  <c r="AC33" i="4"/>
  <c r="K34" i="4"/>
  <c r="L34" i="4"/>
  <c r="N34" i="4" s="1"/>
  <c r="M34" i="4"/>
  <c r="O34" i="4" s="1"/>
  <c r="S34" i="4"/>
  <c r="T34" i="4" s="1"/>
  <c r="Z34" i="4"/>
  <c r="AC34" i="4"/>
  <c r="K35" i="4"/>
  <c r="L35" i="4"/>
  <c r="N35" i="4" s="1"/>
  <c r="M35" i="4"/>
  <c r="O35" i="4" s="1"/>
  <c r="S35" i="4"/>
  <c r="U35" i="4" s="1"/>
  <c r="T35" i="4"/>
  <c r="Z35" i="4"/>
  <c r="AC35" i="4"/>
  <c r="K36" i="4"/>
  <c r="L36" i="4"/>
  <c r="N36" i="4" s="1"/>
  <c r="M36" i="4"/>
  <c r="O36" i="4" s="1"/>
  <c r="S36" i="4"/>
  <c r="T36" i="4" s="1"/>
  <c r="Z36" i="4"/>
  <c r="AC36" i="4"/>
  <c r="K37" i="4"/>
  <c r="L37" i="4"/>
  <c r="N37" i="4" s="1"/>
  <c r="M37" i="4"/>
  <c r="O37" i="4" s="1"/>
  <c r="S37" i="4"/>
  <c r="T37" i="4"/>
  <c r="U37" i="4"/>
  <c r="Z37" i="4"/>
  <c r="AC37" i="4"/>
  <c r="Z38" i="4"/>
  <c r="Z42" i="4" s="1"/>
  <c r="AC38" i="4"/>
  <c r="K39" i="4"/>
  <c r="L39" i="4"/>
  <c r="M39" i="4"/>
  <c r="O39" i="4" s="1"/>
  <c r="N39" i="4"/>
  <c r="S39" i="4"/>
  <c r="T39" i="4"/>
  <c r="U39" i="4"/>
  <c r="Z39" i="4"/>
  <c r="AC39" i="4"/>
  <c r="K40" i="4"/>
  <c r="L40" i="4"/>
  <c r="N40" i="4" s="1"/>
  <c r="M40" i="4"/>
  <c r="O40" i="4" s="1"/>
  <c r="S40" i="4"/>
  <c r="T40" i="4" s="1"/>
  <c r="Z40" i="4"/>
  <c r="AC40" i="4"/>
  <c r="Z41" i="4"/>
  <c r="AC41" i="4"/>
  <c r="H42" i="4"/>
  <c r="X42" i="4"/>
  <c r="AB42" i="4"/>
  <c r="K43" i="4"/>
  <c r="L43" i="4"/>
  <c r="N43" i="4" s="1"/>
  <c r="M43" i="4"/>
  <c r="O43" i="4" s="1"/>
  <c r="S43" i="4"/>
  <c r="T43" i="4" s="1"/>
  <c r="Z43" i="4"/>
  <c r="AC43" i="4"/>
  <c r="K44" i="4"/>
  <c r="L44" i="4"/>
  <c r="N44" i="4" s="1"/>
  <c r="M44" i="4"/>
  <c r="O44" i="4" s="1"/>
  <c r="S44" i="4"/>
  <c r="T44" i="4" s="1"/>
  <c r="Z44" i="4"/>
  <c r="AC44" i="4"/>
  <c r="K45" i="4"/>
  <c r="L45" i="4"/>
  <c r="N45" i="4" s="1"/>
  <c r="M45" i="4"/>
  <c r="O45" i="4" s="1"/>
  <c r="S45" i="4"/>
  <c r="T45" i="4" s="1"/>
  <c r="Z45" i="4"/>
  <c r="AC45" i="4"/>
  <c r="K46" i="4"/>
  <c r="L46" i="4"/>
  <c r="N46" i="4" s="1"/>
  <c r="M46" i="4"/>
  <c r="O46" i="4" s="1"/>
  <c r="S46" i="4"/>
  <c r="T46" i="4"/>
  <c r="U46" i="4"/>
  <c r="Z46" i="4"/>
  <c r="AC46" i="4"/>
  <c r="K47" i="4"/>
  <c r="L47" i="4"/>
  <c r="N47" i="4" s="1"/>
  <c r="M47" i="4"/>
  <c r="O47" i="4" s="1"/>
  <c r="S47" i="4"/>
  <c r="T47" i="4" s="1"/>
  <c r="Z47" i="4"/>
  <c r="AC47" i="4"/>
  <c r="K48" i="4"/>
  <c r="L48" i="4"/>
  <c r="N48" i="4" s="1"/>
  <c r="M48" i="4"/>
  <c r="O48" i="4" s="1"/>
  <c r="S48" i="4"/>
  <c r="U48" i="4" s="1"/>
  <c r="T48" i="4"/>
  <c r="Z48" i="4"/>
  <c r="AC48" i="4"/>
  <c r="K49" i="4"/>
  <c r="L49" i="4"/>
  <c r="N49" i="4" s="1"/>
  <c r="M49" i="4"/>
  <c r="O49" i="4" s="1"/>
  <c r="S49" i="4"/>
  <c r="T49" i="4" s="1"/>
  <c r="Z49" i="4"/>
  <c r="AC49" i="4"/>
  <c r="K50" i="4"/>
  <c r="L50" i="4"/>
  <c r="N50" i="4" s="1"/>
  <c r="M50" i="4"/>
  <c r="O50" i="4" s="1"/>
  <c r="S50" i="4"/>
  <c r="T50" i="4"/>
  <c r="U50" i="4"/>
  <c r="Z50" i="4"/>
  <c r="AC50" i="4"/>
  <c r="Z51" i="4"/>
  <c r="AC51" i="4"/>
  <c r="H52" i="4"/>
  <c r="X52" i="4" s="1"/>
  <c r="V52" i="4"/>
  <c r="AB52" i="4"/>
  <c r="K53" i="4"/>
  <c r="L53" i="4"/>
  <c r="N53" i="4" s="1"/>
  <c r="M53" i="4"/>
  <c r="O53" i="4" s="1"/>
  <c r="S53" i="4"/>
  <c r="T53" i="4" s="1"/>
  <c r="Z53" i="4"/>
  <c r="AC53" i="4"/>
  <c r="K54" i="4"/>
  <c r="L54" i="4"/>
  <c r="N54" i="4" s="1"/>
  <c r="M54" i="4"/>
  <c r="O54" i="4" s="1"/>
  <c r="S54" i="4"/>
  <c r="T54" i="4" s="1"/>
  <c r="Z54" i="4"/>
  <c r="AC54" i="4"/>
  <c r="K55" i="4"/>
  <c r="L55" i="4"/>
  <c r="N55" i="4" s="1"/>
  <c r="M55" i="4"/>
  <c r="O55" i="4" s="1"/>
  <c r="S55" i="4"/>
  <c r="T55" i="4" s="1"/>
  <c r="U55" i="4"/>
  <c r="Z55" i="4"/>
  <c r="Z64" i="4" s="1"/>
  <c r="AC55" i="4"/>
  <c r="K56" i="4"/>
  <c r="L56" i="4"/>
  <c r="N56" i="4" s="1"/>
  <c r="M56" i="4"/>
  <c r="O56" i="4" s="1"/>
  <c r="S56" i="4"/>
  <c r="U56" i="4" s="1"/>
  <c r="Z56" i="4"/>
  <c r="AC56" i="4"/>
  <c r="K57" i="4"/>
  <c r="L57" i="4"/>
  <c r="M57" i="4"/>
  <c r="O57" i="4" s="1"/>
  <c r="N57" i="4"/>
  <c r="S57" i="4"/>
  <c r="T57" i="4" s="1"/>
  <c r="Z57" i="4"/>
  <c r="AC57" i="4"/>
  <c r="K58" i="4"/>
  <c r="L58" i="4"/>
  <c r="N58" i="4" s="1"/>
  <c r="M58" i="4"/>
  <c r="O58" i="4" s="1"/>
  <c r="S58" i="4"/>
  <c r="T58" i="4" s="1"/>
  <c r="Z58" i="4"/>
  <c r="AC58" i="4"/>
  <c r="K59" i="4"/>
  <c r="L59" i="4"/>
  <c r="M59" i="4"/>
  <c r="O59" i="4" s="1"/>
  <c r="N59" i="4"/>
  <c r="S59" i="4"/>
  <c r="U59" i="4" s="1"/>
  <c r="T59" i="4"/>
  <c r="Z59" i="4"/>
  <c r="AC59" i="4"/>
  <c r="K60" i="4"/>
  <c r="L60" i="4"/>
  <c r="N60" i="4" s="1"/>
  <c r="M60" i="4"/>
  <c r="O60" i="4" s="1"/>
  <c r="S60" i="4"/>
  <c r="U60" i="4" s="1"/>
  <c r="T60" i="4"/>
  <c r="Z60" i="4"/>
  <c r="AC60" i="4"/>
  <c r="Z61" i="4"/>
  <c r="AC61" i="4"/>
  <c r="K62" i="4"/>
  <c r="L62" i="4"/>
  <c r="N62" i="4" s="1"/>
  <c r="M62" i="4"/>
  <c r="O62" i="4" s="1"/>
  <c r="S62" i="4"/>
  <c r="T62" i="4" s="1"/>
  <c r="Z62" i="4"/>
  <c r="AC62" i="4"/>
  <c r="K63" i="4"/>
  <c r="L63" i="4"/>
  <c r="M63" i="4"/>
  <c r="O63" i="4" s="1"/>
  <c r="N63" i="4"/>
  <c r="S63" i="4"/>
  <c r="T63" i="4" s="1"/>
  <c r="U63" i="4"/>
  <c r="Z63" i="4"/>
  <c r="AC63" i="4"/>
  <c r="H64" i="4"/>
  <c r="X64" i="4" s="1"/>
  <c r="AB64" i="4"/>
  <c r="K65" i="4"/>
  <c r="L65" i="4"/>
  <c r="N65" i="4" s="1"/>
  <c r="M65" i="4"/>
  <c r="O65" i="4"/>
  <c r="S65" i="4"/>
  <c r="T65" i="4" s="1"/>
  <c r="Z65" i="4"/>
  <c r="AC65" i="4"/>
  <c r="K66" i="4"/>
  <c r="L66" i="4"/>
  <c r="N66" i="4" s="1"/>
  <c r="M66" i="4"/>
  <c r="O66" i="4" s="1"/>
  <c r="S66" i="4"/>
  <c r="T66" i="4"/>
  <c r="U66" i="4"/>
  <c r="Z66" i="4"/>
  <c r="AC66" i="4"/>
  <c r="K67" i="4"/>
  <c r="L67" i="4"/>
  <c r="N67" i="4" s="1"/>
  <c r="M67" i="4"/>
  <c r="O67" i="4" s="1"/>
  <c r="S67" i="4"/>
  <c r="T67" i="4" s="1"/>
  <c r="Z67" i="4"/>
  <c r="AC67" i="4"/>
  <c r="K68" i="4"/>
  <c r="L68" i="4"/>
  <c r="N68" i="4" s="1"/>
  <c r="M68" i="4"/>
  <c r="O68" i="4" s="1"/>
  <c r="S68" i="4"/>
  <c r="T68" i="4" s="1"/>
  <c r="Z68" i="4"/>
  <c r="AC68" i="4"/>
  <c r="K69" i="4"/>
  <c r="L69" i="4"/>
  <c r="N69" i="4" s="1"/>
  <c r="M69" i="4"/>
  <c r="O69" i="4"/>
  <c r="S69" i="4"/>
  <c r="T69" i="4" s="1"/>
  <c r="Z69" i="4"/>
  <c r="AC69" i="4"/>
  <c r="K70" i="4"/>
  <c r="L70" i="4"/>
  <c r="N70" i="4" s="1"/>
  <c r="M70" i="4"/>
  <c r="O70" i="4" s="1"/>
  <c r="S70" i="4"/>
  <c r="U70" i="4" s="1"/>
  <c r="T70" i="4"/>
  <c r="Z70" i="4"/>
  <c r="AC70" i="4"/>
  <c r="K71" i="4"/>
  <c r="L71" i="4"/>
  <c r="N71" i="4" s="1"/>
  <c r="M71" i="4"/>
  <c r="O71" i="4"/>
  <c r="S71" i="4"/>
  <c r="T71" i="4" s="1"/>
  <c r="Z71" i="4"/>
  <c r="AC71" i="4"/>
  <c r="K72" i="4"/>
  <c r="L72" i="4"/>
  <c r="N72" i="4" s="1"/>
  <c r="M72" i="4"/>
  <c r="O72" i="4" s="1"/>
  <c r="S72" i="4"/>
  <c r="T72" i="4"/>
  <c r="U72" i="4"/>
  <c r="Z72" i="4"/>
  <c r="AC72" i="4"/>
  <c r="K73" i="4"/>
  <c r="L73" i="4"/>
  <c r="N73" i="4" s="1"/>
  <c r="M73" i="4"/>
  <c r="O73" i="4" s="1"/>
  <c r="S73" i="4"/>
  <c r="T73" i="4" s="1"/>
  <c r="Z73" i="4"/>
  <c r="AC73" i="4"/>
  <c r="K74" i="4"/>
  <c r="L74" i="4"/>
  <c r="N74" i="4" s="1"/>
  <c r="M74" i="4"/>
  <c r="O74" i="4" s="1"/>
  <c r="S74" i="4"/>
  <c r="T74" i="4" s="1"/>
  <c r="U74" i="4"/>
  <c r="Z74" i="4"/>
  <c r="AC74" i="4"/>
  <c r="Z75" i="4"/>
  <c r="AC75" i="4"/>
  <c r="K76" i="4"/>
  <c r="L76" i="4"/>
  <c r="N76" i="4" s="1"/>
  <c r="M76" i="4"/>
  <c r="O76" i="4" s="1"/>
  <c r="S76" i="4"/>
  <c r="U76" i="4" s="1"/>
  <c r="T76" i="4"/>
  <c r="Z76" i="4"/>
  <c r="AC76" i="4"/>
  <c r="K77" i="4"/>
  <c r="L77" i="4"/>
  <c r="N77" i="4" s="1"/>
  <c r="M77" i="4"/>
  <c r="O77" i="4" s="1"/>
  <c r="S77" i="4"/>
  <c r="T77" i="4" s="1"/>
  <c r="Z77" i="4"/>
  <c r="AC77" i="4"/>
  <c r="H78" i="4"/>
  <c r="X78" i="4" s="1"/>
  <c r="AB78" i="4"/>
  <c r="K79" i="4"/>
  <c r="L79" i="4"/>
  <c r="N79" i="4" s="1"/>
  <c r="M79" i="4"/>
  <c r="O79" i="4" s="1"/>
  <c r="S79" i="4"/>
  <c r="U79" i="4" s="1"/>
  <c r="T79" i="4"/>
  <c r="Z79" i="4"/>
  <c r="AC79" i="4"/>
  <c r="K80" i="4"/>
  <c r="L80" i="4"/>
  <c r="N80" i="4" s="1"/>
  <c r="M80" i="4"/>
  <c r="O80" i="4" s="1"/>
  <c r="S80" i="4"/>
  <c r="T80" i="4" s="1"/>
  <c r="Z80" i="4"/>
  <c r="AC80" i="4"/>
  <c r="K81" i="4"/>
  <c r="L81" i="4"/>
  <c r="N81" i="4" s="1"/>
  <c r="M81" i="4"/>
  <c r="O81" i="4" s="1"/>
  <c r="S81" i="4"/>
  <c r="T81" i="4" s="1"/>
  <c r="U81" i="4"/>
  <c r="Z81" i="4"/>
  <c r="AC81" i="4"/>
  <c r="K82" i="4"/>
  <c r="L82" i="4"/>
  <c r="N82" i="4" s="1"/>
  <c r="M82" i="4"/>
  <c r="O82" i="4" s="1"/>
  <c r="S82" i="4"/>
  <c r="Z82" i="4"/>
  <c r="AC82" i="4"/>
  <c r="K83" i="4"/>
  <c r="L83" i="4"/>
  <c r="N83" i="4" s="1"/>
  <c r="M83" i="4"/>
  <c r="O83" i="4" s="1"/>
  <c r="S83" i="4"/>
  <c r="T83" i="4"/>
  <c r="U83" i="4"/>
  <c r="Z83" i="4"/>
  <c r="AC83" i="4"/>
  <c r="K84" i="4"/>
  <c r="L84" i="4"/>
  <c r="N84" i="4" s="1"/>
  <c r="M84" i="4"/>
  <c r="O84" i="4" s="1"/>
  <c r="S84" i="4"/>
  <c r="T84" i="4" s="1"/>
  <c r="Z84" i="4"/>
  <c r="AC84" i="4"/>
  <c r="K85" i="4"/>
  <c r="L85" i="4"/>
  <c r="N85" i="4" s="1"/>
  <c r="M85" i="4"/>
  <c r="O85" i="4" s="1"/>
  <c r="S85" i="4"/>
  <c r="T85" i="4" s="1"/>
  <c r="Z85" i="4"/>
  <c r="AC85" i="4"/>
  <c r="K86" i="4"/>
  <c r="L86" i="4"/>
  <c r="N86" i="4" s="1"/>
  <c r="M86" i="4"/>
  <c r="O86" i="4" s="1"/>
  <c r="S86" i="4"/>
  <c r="Z86" i="4"/>
  <c r="AC86" i="4"/>
  <c r="K87" i="4"/>
  <c r="L87" i="4"/>
  <c r="N87" i="4" s="1"/>
  <c r="M87" i="4"/>
  <c r="O87" i="4" s="1"/>
  <c r="S87" i="4"/>
  <c r="T87" i="4"/>
  <c r="U87" i="4"/>
  <c r="Z87" i="4"/>
  <c r="AC87" i="4"/>
  <c r="K88" i="4"/>
  <c r="L88" i="4"/>
  <c r="N88" i="4" s="1"/>
  <c r="M88" i="4"/>
  <c r="O88" i="4" s="1"/>
  <c r="S88" i="4"/>
  <c r="T88" i="4" s="1"/>
  <c r="Z88" i="4"/>
  <c r="AC88" i="4"/>
  <c r="H90" i="4"/>
  <c r="X90" i="4"/>
  <c r="AB90" i="4"/>
  <c r="K91" i="4"/>
  <c r="L91" i="4"/>
  <c r="N91" i="4" s="1"/>
  <c r="M91" i="4"/>
  <c r="O91" i="4"/>
  <c r="S91" i="4"/>
  <c r="T91" i="4" s="1"/>
  <c r="U91" i="4"/>
  <c r="Z91" i="4"/>
  <c r="AC91" i="4"/>
  <c r="K92" i="4"/>
  <c r="L92" i="4"/>
  <c r="N92" i="4" s="1"/>
  <c r="M92" i="4"/>
  <c r="O92" i="4" s="1"/>
  <c r="Q92" i="4"/>
  <c r="S92" i="4" s="1"/>
  <c r="R92" i="4"/>
  <c r="Z92" i="4"/>
  <c r="AC92" i="4"/>
  <c r="H93" i="4"/>
  <c r="Z93" i="4" s="1"/>
  <c r="K93" i="4"/>
  <c r="L93" i="4"/>
  <c r="M93" i="4"/>
  <c r="O93" i="4" s="1"/>
  <c r="Q93" i="4"/>
  <c r="S93" i="4" s="1"/>
  <c r="T93" i="4" s="1"/>
  <c r="R93" i="4"/>
  <c r="AC93" i="4"/>
  <c r="Z94" i="4"/>
  <c r="AC94" i="4"/>
  <c r="K95" i="4"/>
  <c r="L95" i="4"/>
  <c r="N95" i="4" s="1"/>
  <c r="M95" i="4"/>
  <c r="O95" i="4" s="1"/>
  <c r="Q95" i="4"/>
  <c r="R95" i="4"/>
  <c r="Z95" i="4"/>
  <c r="AC95" i="4"/>
  <c r="K96" i="4"/>
  <c r="L96" i="4"/>
  <c r="N96" i="4" s="1"/>
  <c r="M96" i="4"/>
  <c r="O96" i="4" s="1"/>
  <c r="Q96" i="4"/>
  <c r="S96" i="4" s="1"/>
  <c r="R96" i="4"/>
  <c r="Z96" i="4"/>
  <c r="AC96" i="4"/>
  <c r="Z97" i="4"/>
  <c r="AC97" i="4"/>
  <c r="L98" i="4"/>
  <c r="N98" i="4" s="1"/>
  <c r="M98" i="4"/>
  <c r="O98" i="4" s="1"/>
  <c r="Q98" i="4"/>
  <c r="S98" i="4" s="1"/>
  <c r="R98" i="4"/>
  <c r="Z98" i="4"/>
  <c r="AC98" i="4"/>
  <c r="Z99" i="4"/>
  <c r="AC99" i="4"/>
  <c r="K100" i="4"/>
  <c r="L100" i="4"/>
  <c r="N100" i="4" s="1"/>
  <c r="M100" i="4"/>
  <c r="O100" i="4" s="1"/>
  <c r="Q100" i="4"/>
  <c r="R100" i="4"/>
  <c r="S100" i="4" s="1"/>
  <c r="T100" i="4" s="1"/>
  <c r="Z100" i="4"/>
  <c r="AC100" i="4"/>
  <c r="K101" i="4"/>
  <c r="L101" i="4"/>
  <c r="N101" i="4" s="1"/>
  <c r="M101" i="4"/>
  <c r="O101" i="4" s="1"/>
  <c r="Q101" i="4"/>
  <c r="R101" i="4"/>
  <c r="S101" i="4" s="1"/>
  <c r="Z101" i="4"/>
  <c r="AC101" i="4"/>
  <c r="K102" i="4"/>
  <c r="L102" i="4"/>
  <c r="M102" i="4"/>
  <c r="O102" i="4" s="1"/>
  <c r="N102" i="4"/>
  <c r="Q102" i="4"/>
  <c r="R102" i="4"/>
  <c r="S102" i="4"/>
  <c r="T102" i="4" s="1"/>
  <c r="Z102" i="4"/>
  <c r="AC102" i="4"/>
  <c r="Z103" i="4"/>
  <c r="H104" i="4"/>
  <c r="X104" i="4" s="1"/>
  <c r="AB104" i="4"/>
  <c r="K105" i="4"/>
  <c r="L105" i="4"/>
  <c r="N105" i="4" s="1"/>
  <c r="M105" i="4"/>
  <c r="O105" i="4" s="1"/>
  <c r="Q105" i="4"/>
  <c r="S105" i="4" s="1"/>
  <c r="R105" i="4"/>
  <c r="Z105" i="4"/>
  <c r="AC105" i="4"/>
  <c r="K106" i="4"/>
  <c r="L106" i="4"/>
  <c r="N106" i="4" s="1"/>
  <c r="M106" i="4"/>
  <c r="O106" i="4" s="1"/>
  <c r="Q106" i="4"/>
  <c r="R106" i="4"/>
  <c r="S106" i="4" s="1"/>
  <c r="T106" i="4" s="1"/>
  <c r="Z106" i="4"/>
  <c r="AC106" i="4"/>
  <c r="K107" i="4"/>
  <c r="L107" i="4"/>
  <c r="N107" i="4" s="1"/>
  <c r="M107" i="4"/>
  <c r="O107" i="4" s="1"/>
  <c r="Q107" i="4"/>
  <c r="R107" i="4"/>
  <c r="S107" i="4" s="1"/>
  <c r="Z107" i="4"/>
  <c r="AC107" i="4"/>
  <c r="K108" i="4"/>
  <c r="L108" i="4"/>
  <c r="N108" i="4" s="1"/>
  <c r="M108" i="4"/>
  <c r="O108" i="4" s="1"/>
  <c r="Q108" i="4"/>
  <c r="S108" i="4" s="1"/>
  <c r="T108" i="4" s="1"/>
  <c r="R108" i="4"/>
  <c r="Z108" i="4"/>
  <c r="AC108" i="4"/>
  <c r="K109" i="4"/>
  <c r="L109" i="4"/>
  <c r="M109" i="4"/>
  <c r="O109" i="4" s="1"/>
  <c r="N109" i="4"/>
  <c r="Q109" i="4"/>
  <c r="R109" i="4"/>
  <c r="S109" i="4"/>
  <c r="U109" i="4" s="1"/>
  <c r="Z109" i="4"/>
  <c r="K110" i="4"/>
  <c r="L110" i="4"/>
  <c r="N110" i="4" s="1"/>
  <c r="M110" i="4"/>
  <c r="O110" i="4" s="1"/>
  <c r="Q110" i="4"/>
  <c r="R110" i="4"/>
  <c r="Z110" i="4"/>
  <c r="H111" i="4"/>
  <c r="K111" i="4"/>
  <c r="L111" i="4"/>
  <c r="N111" i="4" s="1"/>
  <c r="M111" i="4"/>
  <c r="O111" i="4"/>
  <c r="Q111" i="4"/>
  <c r="R111" i="4"/>
  <c r="S111" i="4"/>
  <c r="T111" i="4" s="1"/>
  <c r="Z111" i="4"/>
  <c r="Z112" i="4"/>
  <c r="K113" i="4"/>
  <c r="L113" i="4"/>
  <c r="N113" i="4" s="1"/>
  <c r="M113" i="4"/>
  <c r="O113" i="4" s="1"/>
  <c r="Q113" i="4"/>
  <c r="S113" i="4" s="1"/>
  <c r="R113" i="4"/>
  <c r="Z113" i="4"/>
  <c r="H114" i="4"/>
  <c r="Z114" i="4" s="1"/>
  <c r="L114" i="4"/>
  <c r="N114" i="4" s="1"/>
  <c r="M114" i="4"/>
  <c r="Q114" i="4"/>
  <c r="R114" i="4"/>
  <c r="S114" i="4" s="1"/>
  <c r="T114" i="4" s="1"/>
  <c r="Z115" i="4"/>
  <c r="K116" i="4"/>
  <c r="L116" i="4"/>
  <c r="N116" i="4" s="1"/>
  <c r="M116" i="4"/>
  <c r="O116" i="4" s="1"/>
  <c r="Q116" i="4"/>
  <c r="R116" i="4"/>
  <c r="Z116" i="4"/>
  <c r="K117" i="4"/>
  <c r="L117" i="4"/>
  <c r="N117" i="4" s="1"/>
  <c r="M117" i="4"/>
  <c r="O117" i="4" s="1"/>
  <c r="Q117" i="4"/>
  <c r="R117" i="4"/>
  <c r="Z117" i="4"/>
  <c r="Z118" i="4"/>
  <c r="K119" i="4"/>
  <c r="L119" i="4"/>
  <c r="N119" i="4" s="1"/>
  <c r="M119" i="4"/>
  <c r="O119" i="4" s="1"/>
  <c r="Q119" i="4"/>
  <c r="S119" i="4" s="1"/>
  <c r="R119" i="4"/>
  <c r="Z119" i="4"/>
  <c r="Z120" i="4"/>
  <c r="H121" i="4"/>
  <c r="X121" i="4"/>
  <c r="AB121" i="4"/>
  <c r="K122" i="4"/>
  <c r="L122" i="4"/>
  <c r="N122" i="4" s="1"/>
  <c r="M122" i="4"/>
  <c r="O122" i="4" s="1"/>
  <c r="Q122" i="4"/>
  <c r="R122" i="4"/>
  <c r="Z122" i="4"/>
  <c r="H123" i="4"/>
  <c r="L123" i="4"/>
  <c r="M123" i="4"/>
  <c r="Q123" i="4"/>
  <c r="S123" i="4" s="1"/>
  <c r="R123" i="4"/>
  <c r="Z124" i="4"/>
  <c r="H125" i="4"/>
  <c r="K125" i="4" s="1"/>
  <c r="L125" i="4"/>
  <c r="M125" i="4"/>
  <c r="Q125" i="4"/>
  <c r="R125" i="4"/>
  <c r="Z126" i="4"/>
  <c r="K127" i="4"/>
  <c r="L127" i="4"/>
  <c r="N127" i="4" s="1"/>
  <c r="M127" i="4"/>
  <c r="O127" i="4" s="1"/>
  <c r="Q127" i="4"/>
  <c r="R127" i="4"/>
  <c r="Z127" i="4"/>
  <c r="K128" i="4"/>
  <c r="L128" i="4"/>
  <c r="M128" i="4"/>
  <c r="O128" i="4" s="1"/>
  <c r="N128" i="4"/>
  <c r="Q128" i="4"/>
  <c r="R128" i="4"/>
  <c r="Z128" i="4"/>
  <c r="K129" i="4"/>
  <c r="L129" i="4"/>
  <c r="N129" i="4" s="1"/>
  <c r="M129" i="4"/>
  <c r="O129" i="4" s="1"/>
  <c r="Q129" i="4"/>
  <c r="S129" i="4" s="1"/>
  <c r="R129" i="4"/>
  <c r="Z129" i="4"/>
  <c r="K130" i="4"/>
  <c r="L130" i="4"/>
  <c r="N130" i="4" s="1"/>
  <c r="M130" i="4"/>
  <c r="O130" i="4"/>
  <c r="Q130" i="4"/>
  <c r="S130" i="4" s="1"/>
  <c r="R130" i="4"/>
  <c r="Z130" i="4"/>
  <c r="K131" i="4"/>
  <c r="L131" i="4"/>
  <c r="N131" i="4" s="1"/>
  <c r="M131" i="4"/>
  <c r="O131" i="4" s="1"/>
  <c r="Q131" i="4"/>
  <c r="R131" i="4"/>
  <c r="Z131" i="4"/>
  <c r="K132" i="4"/>
  <c r="L132" i="4"/>
  <c r="N132" i="4" s="1"/>
  <c r="M132" i="4"/>
  <c r="O132" i="4" s="1"/>
  <c r="Q132" i="4"/>
  <c r="R132" i="4"/>
  <c r="S132" i="4" s="1"/>
  <c r="Z132" i="4"/>
  <c r="K133" i="4"/>
  <c r="L133" i="4"/>
  <c r="M133" i="4"/>
  <c r="O133" i="4" s="1"/>
  <c r="N133" i="4"/>
  <c r="Q133" i="4"/>
  <c r="R133" i="4"/>
  <c r="S133" i="4"/>
  <c r="Z133" i="4"/>
  <c r="Z134" i="4"/>
  <c r="Z135" i="4"/>
  <c r="H136" i="4"/>
  <c r="K136" i="4"/>
  <c r="L136" i="4"/>
  <c r="M136" i="4"/>
  <c r="O136" i="4" s="1"/>
  <c r="Q136" i="4"/>
  <c r="R136" i="4"/>
  <c r="Z136" i="4"/>
  <c r="Z137" i="4"/>
  <c r="K138" i="4"/>
  <c r="L138" i="4"/>
  <c r="N138" i="4" s="1"/>
  <c r="M138" i="4"/>
  <c r="O138" i="4" s="1"/>
  <c r="Q138" i="4"/>
  <c r="R138" i="4"/>
  <c r="Z138" i="4"/>
  <c r="K139" i="4"/>
  <c r="L139" i="4"/>
  <c r="N139" i="4" s="1"/>
  <c r="M139" i="4"/>
  <c r="O139" i="4" s="1"/>
  <c r="Q139" i="4"/>
  <c r="R139" i="4"/>
  <c r="S139" i="4"/>
  <c r="Z139" i="4"/>
  <c r="Z140" i="4"/>
  <c r="AB141" i="4"/>
  <c r="AC141" i="4"/>
  <c r="H142" i="4"/>
  <c r="Z142" i="4" s="1"/>
  <c r="L142" i="4"/>
  <c r="M142" i="4"/>
  <c r="N142" i="4"/>
  <c r="Q142" i="4"/>
  <c r="R142" i="4"/>
  <c r="Z143" i="4"/>
  <c r="H144" i="4"/>
  <c r="Z144" i="4" s="1"/>
  <c r="L144" i="4"/>
  <c r="M144" i="4"/>
  <c r="O144" i="4" s="1"/>
  <c r="Q144" i="4"/>
  <c r="R144" i="4"/>
  <c r="Z145" i="4"/>
  <c r="K146" i="4"/>
  <c r="L146" i="4"/>
  <c r="N146" i="4" s="1"/>
  <c r="M146" i="4"/>
  <c r="O146" i="4" s="1"/>
  <c r="Q146" i="4"/>
  <c r="S146" i="4" s="1"/>
  <c r="T146" i="4" s="1"/>
  <c r="R146" i="4"/>
  <c r="Z146" i="4"/>
  <c r="H147" i="4"/>
  <c r="K147" i="4"/>
  <c r="L147" i="4"/>
  <c r="M147" i="4"/>
  <c r="O147" i="4" s="1"/>
  <c r="Q147" i="4"/>
  <c r="R147" i="4"/>
  <c r="Z147" i="4"/>
  <c r="Z148" i="4"/>
  <c r="K149" i="4"/>
  <c r="L149" i="4"/>
  <c r="N149" i="4" s="1"/>
  <c r="M149" i="4"/>
  <c r="O149" i="4" s="1"/>
  <c r="Q149" i="4"/>
  <c r="R149" i="4"/>
  <c r="Z149" i="4"/>
  <c r="K150" i="4"/>
  <c r="L150" i="4"/>
  <c r="M150" i="4"/>
  <c r="O150" i="4" s="1"/>
  <c r="N150" i="4"/>
  <c r="Q150" i="4"/>
  <c r="R150" i="4"/>
  <c r="S150" i="4" s="1"/>
  <c r="Z150" i="4"/>
  <c r="Z151" i="4"/>
  <c r="H152" i="4"/>
  <c r="Z152" i="4" s="1"/>
  <c r="K152" i="4"/>
  <c r="L152" i="4"/>
  <c r="N152" i="4" s="1"/>
  <c r="M152" i="4"/>
  <c r="O152" i="4" s="1"/>
  <c r="Q152" i="4"/>
  <c r="R152" i="4"/>
  <c r="Z153" i="4"/>
  <c r="K154" i="4"/>
  <c r="L154" i="4"/>
  <c r="N154" i="4" s="1"/>
  <c r="M154" i="4"/>
  <c r="O154" i="4" s="1"/>
  <c r="Q154" i="4"/>
  <c r="R154" i="4"/>
  <c r="Z154" i="4"/>
  <c r="K155" i="4"/>
  <c r="L155" i="4"/>
  <c r="N155" i="4" s="1"/>
  <c r="M155" i="4"/>
  <c r="O155" i="4" s="1"/>
  <c r="Q155" i="4"/>
  <c r="R155" i="4"/>
  <c r="S155" i="4" s="1"/>
  <c r="Z155" i="4"/>
  <c r="AB156" i="4"/>
  <c r="AC156" i="4"/>
  <c r="K157" i="4"/>
  <c r="L157" i="4"/>
  <c r="N157" i="4" s="1"/>
  <c r="M157" i="4"/>
  <c r="O157" i="4" s="1"/>
  <c r="Q157" i="4"/>
  <c r="R157" i="4"/>
  <c r="Z157" i="4"/>
  <c r="K158" i="4"/>
  <c r="L158" i="4"/>
  <c r="N158" i="4" s="1"/>
  <c r="M158" i="4"/>
  <c r="O158" i="4" s="1"/>
  <c r="Q158" i="4"/>
  <c r="R158" i="4"/>
  <c r="Z158" i="4"/>
  <c r="K159" i="4"/>
  <c r="L159" i="4"/>
  <c r="N159" i="4" s="1"/>
  <c r="M159" i="4"/>
  <c r="O159" i="4" s="1"/>
  <c r="Q159" i="4"/>
  <c r="R159" i="4"/>
  <c r="S159" i="4" s="1"/>
  <c r="Z159" i="4"/>
  <c r="K160" i="4"/>
  <c r="L160" i="4"/>
  <c r="N160" i="4" s="1"/>
  <c r="M160" i="4"/>
  <c r="O160" i="4" s="1"/>
  <c r="Q160" i="4"/>
  <c r="R160" i="4"/>
  <c r="S160" i="4"/>
  <c r="U160" i="4" s="1"/>
  <c r="Z160" i="4"/>
  <c r="K161" i="4"/>
  <c r="L161" i="4"/>
  <c r="N161" i="4" s="1"/>
  <c r="M161" i="4"/>
  <c r="O161" i="4" s="1"/>
  <c r="Q161" i="4"/>
  <c r="S161" i="4" s="1"/>
  <c r="U161" i="4" s="1"/>
  <c r="R161" i="4"/>
  <c r="Z161" i="4"/>
  <c r="H162" i="4"/>
  <c r="Z162" i="4" s="1"/>
  <c r="L162" i="4"/>
  <c r="M162" i="4"/>
  <c r="Q162" i="4"/>
  <c r="S162" i="4" s="1"/>
  <c r="R162" i="4"/>
  <c r="Z163" i="4"/>
  <c r="H164" i="4"/>
  <c r="L164" i="4"/>
  <c r="M164" i="4"/>
  <c r="N164" i="4"/>
  <c r="Q164" i="4"/>
  <c r="S164" i="4" s="1"/>
  <c r="R164" i="4"/>
  <c r="Z165" i="4"/>
  <c r="K166" i="4"/>
  <c r="L166" i="4"/>
  <c r="M166" i="4"/>
  <c r="O166" i="4" s="1"/>
  <c r="N166" i="4"/>
  <c r="Q166" i="4"/>
  <c r="S166" i="4" s="1"/>
  <c r="R166" i="4"/>
  <c r="Z166" i="4"/>
  <c r="K167" i="4"/>
  <c r="L167" i="4"/>
  <c r="N167" i="4" s="1"/>
  <c r="M167" i="4"/>
  <c r="O167" i="4" s="1"/>
  <c r="Q167" i="4"/>
  <c r="S167" i="4" s="1"/>
  <c r="U167" i="4" s="1"/>
  <c r="R167" i="4"/>
  <c r="Z167" i="4"/>
  <c r="K168" i="4"/>
  <c r="L168" i="4"/>
  <c r="N168" i="4" s="1"/>
  <c r="M168" i="4"/>
  <c r="O168" i="4" s="1"/>
  <c r="Q168" i="4"/>
  <c r="S168" i="4" s="1"/>
  <c r="T168" i="4" s="1"/>
  <c r="R168" i="4"/>
  <c r="Z168" i="4"/>
  <c r="K169" i="4"/>
  <c r="L169" i="4"/>
  <c r="N169" i="4" s="1"/>
  <c r="M169" i="4"/>
  <c r="O169" i="4" s="1"/>
  <c r="Q169" i="4"/>
  <c r="R169" i="4"/>
  <c r="S169" i="4" s="1"/>
  <c r="Z169" i="4"/>
  <c r="Z170" i="4"/>
  <c r="K171" i="4"/>
  <c r="L171" i="4"/>
  <c r="N171" i="4" s="1"/>
  <c r="M171" i="4"/>
  <c r="O171" i="4" s="1"/>
  <c r="Q171" i="4"/>
  <c r="R171" i="4"/>
  <c r="Z171" i="4"/>
  <c r="K172" i="4"/>
  <c r="L172" i="4"/>
  <c r="N172" i="4" s="1"/>
  <c r="M172" i="4"/>
  <c r="O172" i="4" s="1"/>
  <c r="Q172" i="4"/>
  <c r="S172" i="4" s="1"/>
  <c r="R172" i="4"/>
  <c r="Z172" i="4"/>
  <c r="H173" i="4"/>
  <c r="N173" i="4" s="1"/>
  <c r="L173" i="4"/>
  <c r="M173" i="4"/>
  <c r="Q173" i="4"/>
  <c r="S173" i="4" s="1"/>
  <c r="R173" i="4"/>
  <c r="Z174" i="4"/>
  <c r="AB175" i="4"/>
  <c r="AC175" i="4"/>
  <c r="AB135" i="3"/>
  <c r="AA135" i="3"/>
  <c r="Y134" i="3"/>
  <c r="Q133" i="3"/>
  <c r="P133" i="3"/>
  <c r="R133" i="3" s="1"/>
  <c r="N133" i="3"/>
  <c r="M133" i="3"/>
  <c r="L133" i="3"/>
  <c r="K133" i="3"/>
  <c r="J133" i="3"/>
  <c r="G133" i="3"/>
  <c r="Y133" i="3" s="1"/>
  <c r="Y132" i="3"/>
  <c r="R132" i="3"/>
  <c r="T132" i="3" s="1"/>
  <c r="Q132" i="3"/>
  <c r="P132" i="3"/>
  <c r="N132" i="3"/>
  <c r="L132" i="3"/>
  <c r="K132" i="3"/>
  <c r="M132" i="3" s="1"/>
  <c r="J132" i="3"/>
  <c r="Y131" i="3"/>
  <c r="R131" i="3"/>
  <c r="T131" i="3" s="1"/>
  <c r="Q131" i="3"/>
  <c r="P131" i="3"/>
  <c r="M131" i="3"/>
  <c r="L131" i="3"/>
  <c r="N131" i="3" s="1"/>
  <c r="K131" i="3"/>
  <c r="J131" i="3"/>
  <c r="Y130" i="3"/>
  <c r="Q130" i="3"/>
  <c r="P130" i="3"/>
  <c r="R130" i="3" s="1"/>
  <c r="L130" i="3"/>
  <c r="N130" i="3" s="1"/>
  <c r="K130" i="3"/>
  <c r="M130" i="3" s="1"/>
  <c r="J130" i="3"/>
  <c r="Y129" i="3"/>
  <c r="Y128" i="3"/>
  <c r="Q128" i="3"/>
  <c r="P128" i="3"/>
  <c r="R128" i="3" s="1"/>
  <c r="N128" i="3"/>
  <c r="L128" i="3"/>
  <c r="K128" i="3"/>
  <c r="G128" i="3"/>
  <c r="Y127" i="3"/>
  <c r="Q126" i="3"/>
  <c r="R126" i="3" s="1"/>
  <c r="P126" i="3"/>
  <c r="L126" i="3"/>
  <c r="K126" i="3"/>
  <c r="M126" i="3" s="1"/>
  <c r="G126" i="3"/>
  <c r="Y126" i="3" s="1"/>
  <c r="Y125" i="3"/>
  <c r="Q124" i="3"/>
  <c r="R124" i="3" s="1"/>
  <c r="P124" i="3"/>
  <c r="L124" i="3"/>
  <c r="N124" i="3" s="1"/>
  <c r="K124" i="3"/>
  <c r="M124" i="3" s="1"/>
  <c r="J124" i="3"/>
  <c r="G124" i="3"/>
  <c r="Y124" i="3" s="1"/>
  <c r="Y123" i="3"/>
  <c r="Q122" i="3"/>
  <c r="P122" i="3"/>
  <c r="R122" i="3" s="1"/>
  <c r="L122" i="3"/>
  <c r="N122" i="3" s="1"/>
  <c r="K122" i="3"/>
  <c r="M122" i="3" s="1"/>
  <c r="J122" i="3"/>
  <c r="G122" i="3"/>
  <c r="Y122" i="3" s="1"/>
  <c r="AB121" i="3"/>
  <c r="AA121" i="3"/>
  <c r="Y120" i="3"/>
  <c r="Y119" i="3"/>
  <c r="Y118" i="3"/>
  <c r="R118" i="3"/>
  <c r="T118" i="3" s="1"/>
  <c r="Q118" i="3"/>
  <c r="P118" i="3"/>
  <c r="N118" i="3"/>
  <c r="M118" i="3"/>
  <c r="L118" i="3"/>
  <c r="K118" i="3"/>
  <c r="J118" i="3"/>
  <c r="Y117" i="3"/>
  <c r="R117" i="3"/>
  <c r="T117" i="3" s="1"/>
  <c r="Q117" i="3"/>
  <c r="P117" i="3"/>
  <c r="M117" i="3"/>
  <c r="L117" i="3"/>
  <c r="N117" i="3" s="1"/>
  <c r="K117" i="3"/>
  <c r="J117" i="3"/>
  <c r="Y116" i="3"/>
  <c r="Q115" i="3"/>
  <c r="R115" i="3" s="1"/>
  <c r="P115" i="3"/>
  <c r="M115" i="3"/>
  <c r="L115" i="3"/>
  <c r="K115" i="3"/>
  <c r="G115" i="3"/>
  <c r="Y115" i="3" s="1"/>
  <c r="Y114" i="3"/>
  <c r="Q113" i="3"/>
  <c r="R113" i="3" s="1"/>
  <c r="P113" i="3"/>
  <c r="M113" i="3"/>
  <c r="L113" i="3"/>
  <c r="N113" i="3" s="1"/>
  <c r="K113" i="3"/>
  <c r="J113" i="3"/>
  <c r="G113" i="3"/>
  <c r="Y113" i="3" s="1"/>
  <c r="Y112" i="3"/>
  <c r="Q112" i="3"/>
  <c r="P112" i="3"/>
  <c r="R112" i="3" s="1"/>
  <c r="L112" i="3"/>
  <c r="N112" i="3" s="1"/>
  <c r="K112" i="3"/>
  <c r="M112" i="3" s="1"/>
  <c r="J112" i="3"/>
  <c r="Y111" i="3"/>
  <c r="Q110" i="3"/>
  <c r="P110" i="3"/>
  <c r="R110" i="3" s="1"/>
  <c r="N110" i="3"/>
  <c r="L110" i="3"/>
  <c r="K110" i="3"/>
  <c r="G110" i="3"/>
  <c r="J110" i="3" s="1"/>
  <c r="Y109" i="3"/>
  <c r="Q109" i="3"/>
  <c r="P109" i="3"/>
  <c r="R109" i="3" s="1"/>
  <c r="L109" i="3"/>
  <c r="N109" i="3" s="1"/>
  <c r="K109" i="3"/>
  <c r="M109" i="3" s="1"/>
  <c r="J109" i="3"/>
  <c r="AB108" i="3"/>
  <c r="AA108" i="3"/>
  <c r="Y107" i="3"/>
  <c r="Y106" i="3"/>
  <c r="Y105" i="3"/>
  <c r="R104" i="3"/>
  <c r="T104" i="3" s="1"/>
  <c r="Q104" i="3"/>
  <c r="P104" i="3"/>
  <c r="L104" i="3"/>
  <c r="N104" i="3" s="1"/>
  <c r="K104" i="3"/>
  <c r="G104" i="3"/>
  <c r="Y103" i="3"/>
  <c r="Q102" i="3"/>
  <c r="P102" i="3"/>
  <c r="R102" i="3" s="1"/>
  <c r="N102" i="3"/>
  <c r="L102" i="3"/>
  <c r="K102" i="3"/>
  <c r="M102" i="3" s="1"/>
  <c r="J102" i="3"/>
  <c r="G102" i="3"/>
  <c r="Y102" i="3" s="1"/>
  <c r="Y101" i="3"/>
  <c r="R101" i="3"/>
  <c r="T101" i="3" s="1"/>
  <c r="Q101" i="3"/>
  <c r="P101" i="3"/>
  <c r="L101" i="3"/>
  <c r="N101" i="3" s="1"/>
  <c r="K101" i="3"/>
  <c r="M101" i="3" s="1"/>
  <c r="J101" i="3"/>
  <c r="Y100" i="3"/>
  <c r="Y99" i="3"/>
  <c r="Y98" i="3"/>
  <c r="Q98" i="3"/>
  <c r="P98" i="3"/>
  <c r="R98" i="3" s="1"/>
  <c r="N98" i="3"/>
  <c r="L98" i="3"/>
  <c r="K98" i="3"/>
  <c r="M98" i="3" s="1"/>
  <c r="J98" i="3"/>
  <c r="Y97" i="3"/>
  <c r="Q96" i="3"/>
  <c r="P96" i="3"/>
  <c r="R96" i="3" s="1"/>
  <c r="L96" i="3"/>
  <c r="K96" i="3"/>
  <c r="M96" i="3" s="1"/>
  <c r="J96" i="3"/>
  <c r="G96" i="3"/>
  <c r="N96" i="3" s="1"/>
  <c r="Y95" i="3"/>
  <c r="Q95" i="3"/>
  <c r="P95" i="3"/>
  <c r="R95" i="3" s="1"/>
  <c r="L95" i="3"/>
  <c r="N95" i="3" s="1"/>
  <c r="K95" i="3"/>
  <c r="J95" i="3"/>
  <c r="Y94" i="3"/>
  <c r="R94" i="3"/>
  <c r="T94" i="3" s="1"/>
  <c r="Q94" i="3"/>
  <c r="P94" i="3"/>
  <c r="L94" i="3"/>
  <c r="N94" i="3" s="1"/>
  <c r="K94" i="3"/>
  <c r="M94" i="3" s="1"/>
  <c r="J94" i="3"/>
  <c r="Y93" i="3"/>
  <c r="R93" i="3"/>
  <c r="T93" i="3" s="1"/>
  <c r="Q93" i="3"/>
  <c r="P93" i="3"/>
  <c r="L93" i="3"/>
  <c r="N93" i="3" s="1"/>
  <c r="K93" i="3"/>
  <c r="M93" i="3" s="1"/>
  <c r="J93" i="3"/>
  <c r="Y92" i="3"/>
  <c r="Q92" i="3"/>
  <c r="P92" i="3"/>
  <c r="R92" i="3" s="1"/>
  <c r="M92" i="3"/>
  <c r="L92" i="3"/>
  <c r="K92" i="3"/>
  <c r="J92" i="3"/>
  <c r="Y91" i="3"/>
  <c r="Q91" i="3"/>
  <c r="P91" i="3"/>
  <c r="R91" i="3" s="1"/>
  <c r="L91" i="3"/>
  <c r="N91" i="3" s="1"/>
  <c r="K91" i="3"/>
  <c r="M91" i="3" s="1"/>
  <c r="J91" i="3"/>
  <c r="AA90" i="3"/>
  <c r="L90" i="3"/>
  <c r="Y89" i="3"/>
  <c r="Y88" i="3"/>
  <c r="Q88" i="3"/>
  <c r="R88" i="3" s="1"/>
  <c r="P88" i="3"/>
  <c r="M88" i="3"/>
  <c r="L88" i="3"/>
  <c r="N88" i="3" s="1"/>
  <c r="K88" i="3"/>
  <c r="J88" i="3"/>
  <c r="G87" i="3"/>
  <c r="G86" i="3" s="1"/>
  <c r="Q86" i="3"/>
  <c r="P86" i="3"/>
  <c r="R86" i="3" s="1"/>
  <c r="L86" i="3"/>
  <c r="K86" i="3"/>
  <c r="Y85" i="3"/>
  <c r="R85" i="3"/>
  <c r="T85" i="3" s="1"/>
  <c r="Q85" i="3"/>
  <c r="P85" i="3"/>
  <c r="N85" i="3"/>
  <c r="L85" i="3"/>
  <c r="K85" i="3"/>
  <c r="M85" i="3" s="1"/>
  <c r="J85" i="3"/>
  <c r="AB84" i="3"/>
  <c r="Y84" i="3"/>
  <c r="Q84" i="3"/>
  <c r="P84" i="3"/>
  <c r="R84" i="3" s="1"/>
  <c r="N84" i="3"/>
  <c r="L84" i="3"/>
  <c r="K84" i="3"/>
  <c r="M84" i="3" s="1"/>
  <c r="J84" i="3"/>
  <c r="AB83" i="3"/>
  <c r="Y83" i="3"/>
  <c r="Y82" i="3"/>
  <c r="Q82" i="3"/>
  <c r="R82" i="3" s="1"/>
  <c r="P82" i="3"/>
  <c r="L82" i="3"/>
  <c r="N82" i="3" s="1"/>
  <c r="K82" i="3"/>
  <c r="G82" i="3"/>
  <c r="AB82" i="3" s="1"/>
  <c r="AB81" i="3"/>
  <c r="AB90" i="3" s="1"/>
  <c r="Y81" i="3"/>
  <c r="Q81" i="3"/>
  <c r="R81" i="3" s="1"/>
  <c r="P81" i="3"/>
  <c r="L81" i="3"/>
  <c r="N81" i="3" s="1"/>
  <c r="K81" i="3"/>
  <c r="K90" i="3" s="1"/>
  <c r="J81" i="3"/>
  <c r="AA80" i="3"/>
  <c r="Y79" i="3"/>
  <c r="AB78" i="3"/>
  <c r="Y78" i="3"/>
  <c r="Q78" i="3"/>
  <c r="P78" i="3"/>
  <c r="R78" i="3" s="1"/>
  <c r="L78" i="3"/>
  <c r="N78" i="3" s="1"/>
  <c r="K78" i="3"/>
  <c r="M78" i="3" s="1"/>
  <c r="J78" i="3"/>
  <c r="AB77" i="3"/>
  <c r="Y77" i="3"/>
  <c r="Q77" i="3"/>
  <c r="P77" i="3"/>
  <c r="R77" i="3" s="1"/>
  <c r="L77" i="3"/>
  <c r="N77" i="3" s="1"/>
  <c r="K77" i="3"/>
  <c r="M77" i="3" s="1"/>
  <c r="J77" i="3"/>
  <c r="AB76" i="3"/>
  <c r="Y76" i="3"/>
  <c r="T76" i="3"/>
  <c r="S76" i="3"/>
  <c r="R76" i="3"/>
  <c r="N76" i="3"/>
  <c r="M76" i="3"/>
  <c r="L76" i="3"/>
  <c r="K76" i="3"/>
  <c r="J76" i="3"/>
  <c r="AB75" i="3"/>
  <c r="Y75" i="3"/>
  <c r="R74" i="3"/>
  <c r="S74" i="3" s="1"/>
  <c r="L74" i="3"/>
  <c r="L80" i="3" s="1"/>
  <c r="K74" i="3"/>
  <c r="G74" i="3"/>
  <c r="M74" i="3" s="1"/>
  <c r="AA73" i="3"/>
  <c r="G73" i="3"/>
  <c r="W73" i="3" s="1"/>
  <c r="Y72" i="3"/>
  <c r="AB71" i="3"/>
  <c r="Y71" i="3"/>
  <c r="R71" i="3"/>
  <c r="T71" i="3" s="1"/>
  <c r="L71" i="3"/>
  <c r="K71" i="3"/>
  <c r="M71" i="3" s="1"/>
  <c r="J71" i="3"/>
  <c r="AB70" i="3"/>
  <c r="Y70" i="3"/>
  <c r="T70" i="3"/>
  <c r="R70" i="3"/>
  <c r="S70" i="3" s="1"/>
  <c r="N70" i="3"/>
  <c r="L70" i="3"/>
  <c r="K70" i="3"/>
  <c r="M70" i="3" s="1"/>
  <c r="J70" i="3"/>
  <c r="AB69" i="3"/>
  <c r="Y69" i="3"/>
  <c r="S69" i="3"/>
  <c r="R69" i="3"/>
  <c r="T69" i="3" s="1"/>
  <c r="L69" i="3"/>
  <c r="N69" i="3" s="1"/>
  <c r="K69" i="3"/>
  <c r="M69" i="3" s="1"/>
  <c r="J69" i="3"/>
  <c r="AB68" i="3"/>
  <c r="AB73" i="3" s="1"/>
  <c r="Y68" i="3"/>
  <c r="Y73" i="3" s="1"/>
  <c r="T68" i="3"/>
  <c r="S68" i="3"/>
  <c r="R68" i="3"/>
  <c r="M68" i="3"/>
  <c r="L68" i="3"/>
  <c r="N68" i="3" s="1"/>
  <c r="K68" i="3"/>
  <c r="J68" i="3"/>
  <c r="AA67" i="3"/>
  <c r="W67" i="3"/>
  <c r="G67" i="3"/>
  <c r="Y66" i="3"/>
  <c r="AB65" i="3"/>
  <c r="Y65" i="3"/>
  <c r="AB64" i="3"/>
  <c r="Y64" i="3"/>
  <c r="T64" i="3"/>
  <c r="R64" i="3"/>
  <c r="S64" i="3" s="1"/>
  <c r="L64" i="3"/>
  <c r="N64" i="3" s="1"/>
  <c r="K64" i="3"/>
  <c r="M64" i="3" s="1"/>
  <c r="J64" i="3"/>
  <c r="AB63" i="3"/>
  <c r="Y63" i="3"/>
  <c r="R63" i="3"/>
  <c r="T63" i="3" s="1"/>
  <c r="N63" i="3"/>
  <c r="L63" i="3"/>
  <c r="K63" i="3"/>
  <c r="M63" i="3" s="1"/>
  <c r="J63" i="3"/>
  <c r="AB62" i="3"/>
  <c r="Y62" i="3"/>
  <c r="T62" i="3"/>
  <c r="S62" i="3"/>
  <c r="R62" i="3"/>
  <c r="L62" i="3"/>
  <c r="N62" i="3" s="1"/>
  <c r="K62" i="3"/>
  <c r="M62" i="3" s="1"/>
  <c r="J62" i="3"/>
  <c r="AB61" i="3"/>
  <c r="Y61" i="3"/>
  <c r="R61" i="3"/>
  <c r="T61" i="3" s="1"/>
  <c r="L61" i="3"/>
  <c r="N61" i="3" s="1"/>
  <c r="K61" i="3"/>
  <c r="M61" i="3" s="1"/>
  <c r="J61" i="3"/>
  <c r="AB60" i="3"/>
  <c r="Y60" i="3"/>
  <c r="T60" i="3"/>
  <c r="R60" i="3"/>
  <c r="S60" i="3" s="1"/>
  <c r="L60" i="3"/>
  <c r="N60" i="3" s="1"/>
  <c r="K60" i="3"/>
  <c r="M60" i="3" s="1"/>
  <c r="J60" i="3"/>
  <c r="AB59" i="3"/>
  <c r="Y59" i="3"/>
  <c r="R59" i="3"/>
  <c r="T59" i="3" s="1"/>
  <c r="L59" i="3"/>
  <c r="N59" i="3" s="1"/>
  <c r="K59" i="3"/>
  <c r="M59" i="3" s="1"/>
  <c r="J59" i="3"/>
  <c r="AB58" i="3"/>
  <c r="Y58" i="3"/>
  <c r="T58" i="3"/>
  <c r="S58" i="3"/>
  <c r="R58" i="3"/>
  <c r="M58" i="3"/>
  <c r="L58" i="3"/>
  <c r="N58" i="3" s="1"/>
  <c r="K58" i="3"/>
  <c r="J58" i="3"/>
  <c r="AB57" i="3"/>
  <c r="Y57" i="3"/>
  <c r="R57" i="3"/>
  <c r="T57" i="3" s="1"/>
  <c r="L57" i="3"/>
  <c r="N57" i="3" s="1"/>
  <c r="K57" i="3"/>
  <c r="M57" i="3" s="1"/>
  <c r="J57" i="3"/>
  <c r="AB56" i="3"/>
  <c r="AB67" i="3" s="1"/>
  <c r="Y56" i="3"/>
  <c r="Y67" i="3" s="1"/>
  <c r="T56" i="3"/>
  <c r="R56" i="3"/>
  <c r="S56" i="3" s="1"/>
  <c r="L56" i="3"/>
  <c r="N56" i="3" s="1"/>
  <c r="K56" i="3"/>
  <c r="J56" i="3"/>
  <c r="AA55" i="3"/>
  <c r="G55" i="3"/>
  <c r="W55" i="3" s="1"/>
  <c r="Y54" i="3"/>
  <c r="AB53" i="3"/>
  <c r="Y53" i="3"/>
  <c r="R53" i="3"/>
  <c r="T53" i="3" s="1"/>
  <c r="L53" i="3"/>
  <c r="N53" i="3" s="1"/>
  <c r="K53" i="3"/>
  <c r="M53" i="3" s="1"/>
  <c r="J53" i="3"/>
  <c r="AB52" i="3"/>
  <c r="Y52" i="3"/>
  <c r="T52" i="3"/>
  <c r="R52" i="3"/>
  <c r="S52" i="3" s="1"/>
  <c r="M52" i="3"/>
  <c r="L52" i="3"/>
  <c r="N52" i="3" s="1"/>
  <c r="K52" i="3"/>
  <c r="J52" i="3"/>
  <c r="AB51" i="3"/>
  <c r="Y51" i="3"/>
  <c r="AB50" i="3"/>
  <c r="Y50" i="3"/>
  <c r="T50" i="3"/>
  <c r="S50" i="3"/>
  <c r="R50" i="3"/>
  <c r="M50" i="3"/>
  <c r="L50" i="3"/>
  <c r="N50" i="3" s="1"/>
  <c r="K50" i="3"/>
  <c r="J50" i="3"/>
  <c r="AB49" i="3"/>
  <c r="Y49" i="3"/>
  <c r="R49" i="3"/>
  <c r="T49" i="3" s="1"/>
  <c r="L49" i="3"/>
  <c r="N49" i="3" s="1"/>
  <c r="K49" i="3"/>
  <c r="M49" i="3" s="1"/>
  <c r="J49" i="3"/>
  <c r="AB48" i="3"/>
  <c r="Y48" i="3"/>
  <c r="T48" i="3"/>
  <c r="R48" i="3"/>
  <c r="S48" i="3" s="1"/>
  <c r="M48" i="3"/>
  <c r="L48" i="3"/>
  <c r="N48" i="3" s="1"/>
  <c r="K48" i="3"/>
  <c r="J48" i="3"/>
  <c r="AB47" i="3"/>
  <c r="AB55" i="3" s="1"/>
  <c r="Y47" i="3"/>
  <c r="R47" i="3"/>
  <c r="T47" i="3" s="1"/>
  <c r="L47" i="3"/>
  <c r="N47" i="3" s="1"/>
  <c r="K47" i="3"/>
  <c r="M47" i="3" s="1"/>
  <c r="J47" i="3"/>
  <c r="AB46" i="3"/>
  <c r="Y46" i="3"/>
  <c r="T46" i="3"/>
  <c r="S46" i="3"/>
  <c r="R46" i="3"/>
  <c r="M46" i="3"/>
  <c r="L46" i="3"/>
  <c r="N46" i="3" s="1"/>
  <c r="K46" i="3"/>
  <c r="J46" i="3"/>
  <c r="AB45" i="3"/>
  <c r="Y45" i="3"/>
  <c r="R45" i="3"/>
  <c r="T45" i="3" s="1"/>
  <c r="L45" i="3"/>
  <c r="N45" i="3" s="1"/>
  <c r="K45" i="3"/>
  <c r="M45" i="3" s="1"/>
  <c r="J45" i="3"/>
  <c r="AB44" i="3"/>
  <c r="Y44" i="3"/>
  <c r="Y55" i="3" s="1"/>
  <c r="T44" i="3"/>
  <c r="R44" i="3"/>
  <c r="S44" i="3" s="1"/>
  <c r="L44" i="3"/>
  <c r="N44" i="3" s="1"/>
  <c r="K44" i="3"/>
  <c r="J44" i="3"/>
  <c r="AB43" i="3"/>
  <c r="AA43" i="3"/>
  <c r="G43" i="3"/>
  <c r="W43" i="3" s="1"/>
  <c r="G42" i="3"/>
  <c r="Y42" i="3" s="1"/>
  <c r="AB41" i="3"/>
  <c r="Y41" i="3"/>
  <c r="S41" i="3"/>
  <c r="R41" i="3"/>
  <c r="T41" i="3" s="1"/>
  <c r="L41" i="3"/>
  <c r="N41" i="3" s="1"/>
  <c r="K41" i="3"/>
  <c r="M41" i="3" s="1"/>
  <c r="J41" i="3"/>
  <c r="AB40" i="3"/>
  <c r="Y40" i="3"/>
  <c r="T40" i="3"/>
  <c r="R40" i="3"/>
  <c r="S40" i="3" s="1"/>
  <c r="M40" i="3"/>
  <c r="L40" i="3"/>
  <c r="N40" i="3" s="1"/>
  <c r="K40" i="3"/>
  <c r="J40" i="3"/>
  <c r="AB39" i="3"/>
  <c r="Y39" i="3"/>
  <c r="R39" i="3"/>
  <c r="T39" i="3" s="1"/>
  <c r="L39" i="3"/>
  <c r="N39" i="3" s="1"/>
  <c r="K39" i="3"/>
  <c r="M39" i="3" s="1"/>
  <c r="J39" i="3"/>
  <c r="AB38" i="3"/>
  <c r="Y38" i="3"/>
  <c r="T38" i="3"/>
  <c r="R38" i="3"/>
  <c r="S38" i="3" s="1"/>
  <c r="N38" i="3"/>
  <c r="L38" i="3"/>
  <c r="K38" i="3"/>
  <c r="M38" i="3" s="1"/>
  <c r="J38" i="3"/>
  <c r="AB37" i="3"/>
  <c r="Y37" i="3"/>
  <c r="S37" i="3"/>
  <c r="R37" i="3"/>
  <c r="R43" i="3" s="1"/>
  <c r="L37" i="3"/>
  <c r="N37" i="3" s="1"/>
  <c r="K37" i="3"/>
  <c r="J37" i="3"/>
  <c r="AA36" i="3"/>
  <c r="G36" i="3"/>
  <c r="W36" i="3" s="1"/>
  <c r="Y35" i="3"/>
  <c r="AB34" i="3"/>
  <c r="Y34" i="3"/>
  <c r="AB33" i="3"/>
  <c r="Y33" i="3"/>
  <c r="T33" i="3"/>
  <c r="R33" i="3"/>
  <c r="S33" i="3" s="1"/>
  <c r="L33" i="3"/>
  <c r="N33" i="3" s="1"/>
  <c r="K33" i="3"/>
  <c r="M33" i="3" s="1"/>
  <c r="J33" i="3"/>
  <c r="AB32" i="3"/>
  <c r="Y32" i="3"/>
  <c r="R32" i="3"/>
  <c r="T32" i="3" s="1"/>
  <c r="L32" i="3"/>
  <c r="N32" i="3" s="1"/>
  <c r="K32" i="3"/>
  <c r="M32" i="3" s="1"/>
  <c r="J32" i="3"/>
  <c r="AB31" i="3"/>
  <c r="Y31" i="3"/>
  <c r="T31" i="3"/>
  <c r="S31" i="3"/>
  <c r="R31" i="3"/>
  <c r="L31" i="3"/>
  <c r="N31" i="3" s="1"/>
  <c r="K31" i="3"/>
  <c r="M31" i="3" s="1"/>
  <c r="J31" i="3"/>
  <c r="AB30" i="3"/>
  <c r="Y30" i="3"/>
  <c r="S30" i="3"/>
  <c r="R30" i="3"/>
  <c r="T30" i="3" s="1"/>
  <c r="L30" i="3"/>
  <c r="N30" i="3" s="1"/>
  <c r="K30" i="3"/>
  <c r="M30" i="3" s="1"/>
  <c r="J30" i="3"/>
  <c r="AB29" i="3"/>
  <c r="Y29" i="3"/>
  <c r="T29" i="3"/>
  <c r="R29" i="3"/>
  <c r="S29" i="3" s="1"/>
  <c r="L29" i="3"/>
  <c r="N29" i="3" s="1"/>
  <c r="K29" i="3"/>
  <c r="M29" i="3" s="1"/>
  <c r="J29" i="3"/>
  <c r="AB28" i="3"/>
  <c r="Y28" i="3"/>
  <c r="R28" i="3"/>
  <c r="T28" i="3" s="1"/>
  <c r="L28" i="3"/>
  <c r="N28" i="3" s="1"/>
  <c r="K28" i="3"/>
  <c r="M28" i="3" s="1"/>
  <c r="J28" i="3"/>
  <c r="AB27" i="3"/>
  <c r="Y27" i="3"/>
  <c r="T27" i="3"/>
  <c r="R27" i="3"/>
  <c r="S27" i="3" s="1"/>
  <c r="L27" i="3"/>
  <c r="N27" i="3" s="1"/>
  <c r="K27" i="3"/>
  <c r="M27" i="3" s="1"/>
  <c r="J27" i="3"/>
  <c r="AB26" i="3"/>
  <c r="AB36" i="3" s="1"/>
  <c r="Y26" i="3"/>
  <c r="Y36" i="3" s="1"/>
  <c r="S26" i="3"/>
  <c r="R26" i="3"/>
  <c r="R36" i="3" s="1"/>
  <c r="L26" i="3"/>
  <c r="K26" i="3"/>
  <c r="J26" i="3"/>
  <c r="AA25" i="3"/>
  <c r="G25" i="3"/>
  <c r="W25" i="3" s="1"/>
  <c r="Y24" i="3"/>
  <c r="Y23" i="3"/>
  <c r="G23" i="3"/>
  <c r="AB22" i="3"/>
  <c r="Y22" i="3"/>
  <c r="T22" i="3"/>
  <c r="R22" i="3"/>
  <c r="S22" i="3" s="1"/>
  <c r="M22" i="3"/>
  <c r="L22" i="3"/>
  <c r="N22" i="3" s="1"/>
  <c r="K22" i="3"/>
  <c r="J22" i="3"/>
  <c r="AB21" i="3"/>
  <c r="Y21" i="3"/>
  <c r="R21" i="3"/>
  <c r="T21" i="3" s="1"/>
  <c r="L21" i="3"/>
  <c r="N21" i="3" s="1"/>
  <c r="K21" i="3"/>
  <c r="M21" i="3" s="1"/>
  <c r="J21" i="3"/>
  <c r="AB20" i="3"/>
  <c r="Y20" i="3"/>
  <c r="T20" i="3"/>
  <c r="R20" i="3"/>
  <c r="S20" i="3" s="1"/>
  <c r="N20" i="3"/>
  <c r="L20" i="3"/>
  <c r="K20" i="3"/>
  <c r="M20" i="3" s="1"/>
  <c r="J20" i="3"/>
  <c r="AB19" i="3"/>
  <c r="AB25" i="3" s="1"/>
  <c r="Y19" i="3"/>
  <c r="Y25" i="3" s="1"/>
  <c r="S19" i="3"/>
  <c r="R19" i="3"/>
  <c r="R25" i="3" s="1"/>
  <c r="L19" i="3"/>
  <c r="K19" i="3"/>
  <c r="J19" i="3"/>
  <c r="AA18" i="3"/>
  <c r="G18" i="3"/>
  <c r="W18" i="3" s="1"/>
  <c r="Y17" i="3"/>
  <c r="AB15" i="3"/>
  <c r="Y15" i="3"/>
  <c r="T15" i="3"/>
  <c r="R15" i="3"/>
  <c r="S15" i="3" s="1"/>
  <c r="N15" i="3"/>
  <c r="L15" i="3"/>
  <c r="K15" i="3"/>
  <c r="M15" i="3" s="1"/>
  <c r="J15" i="3"/>
  <c r="AB14" i="3"/>
  <c r="Y14" i="3"/>
  <c r="R14" i="3"/>
  <c r="T14" i="3" s="1"/>
  <c r="L14" i="3"/>
  <c r="N14" i="3" s="1"/>
  <c r="K14" i="3"/>
  <c r="M14" i="3" s="1"/>
  <c r="J14" i="3"/>
  <c r="AB13" i="3"/>
  <c r="Y13" i="3"/>
  <c r="T13" i="3"/>
  <c r="R13" i="3"/>
  <c r="S13" i="3" s="1"/>
  <c r="N13" i="3"/>
  <c r="M13" i="3"/>
  <c r="L13" i="3"/>
  <c r="K13" i="3"/>
  <c r="J13" i="3"/>
  <c r="AB12" i="3"/>
  <c r="Y12" i="3"/>
  <c r="S12" i="3"/>
  <c r="R12" i="3"/>
  <c r="T12" i="3" s="1"/>
  <c r="L12" i="3"/>
  <c r="N12" i="3" s="1"/>
  <c r="K12" i="3"/>
  <c r="M12" i="3" s="1"/>
  <c r="J12" i="3"/>
  <c r="AB11" i="3"/>
  <c r="Y11" i="3"/>
  <c r="T11" i="3"/>
  <c r="R11" i="3"/>
  <c r="S11" i="3" s="1"/>
  <c r="N11" i="3"/>
  <c r="M11" i="3"/>
  <c r="L11" i="3"/>
  <c r="K11" i="3"/>
  <c r="J11" i="3"/>
  <c r="AB10" i="3"/>
  <c r="Y10" i="3"/>
  <c r="R10" i="3"/>
  <c r="T10" i="3" s="1"/>
  <c r="L10" i="3"/>
  <c r="N10" i="3" s="1"/>
  <c r="K10" i="3"/>
  <c r="M10" i="3" s="1"/>
  <c r="J10" i="3"/>
  <c r="AB9" i="3"/>
  <c r="Y9" i="3"/>
  <c r="T9" i="3"/>
  <c r="R9" i="3"/>
  <c r="S9" i="3" s="1"/>
  <c r="M9" i="3"/>
  <c r="L9" i="3"/>
  <c r="N9" i="3" s="1"/>
  <c r="K9" i="3"/>
  <c r="J9" i="3"/>
  <c r="AB8" i="3"/>
  <c r="AB18" i="3" s="1"/>
  <c r="Y8" i="3"/>
  <c r="S8" i="3"/>
  <c r="R8" i="3"/>
  <c r="R18" i="3" s="1"/>
  <c r="L8" i="3"/>
  <c r="K8" i="3"/>
  <c r="J8" i="3"/>
  <c r="Y45" i="2"/>
  <c r="X45" i="2"/>
  <c r="Z45" i="2" s="1"/>
  <c r="Q45" i="2"/>
  <c r="P45" i="2"/>
  <c r="L45" i="2"/>
  <c r="N45" i="2" s="1"/>
  <c r="K45" i="2"/>
  <c r="M45" i="2" s="1"/>
  <c r="J45" i="2"/>
  <c r="Y44" i="2"/>
  <c r="X44" i="2"/>
  <c r="Z44" i="2" s="1"/>
  <c r="Q44" i="2"/>
  <c r="P44" i="2"/>
  <c r="L44" i="2"/>
  <c r="N44" i="2" s="1"/>
  <c r="K44" i="2"/>
  <c r="M44" i="2" s="1"/>
  <c r="J44" i="2"/>
  <c r="Z43" i="2"/>
  <c r="Y43" i="2"/>
  <c r="Q43" i="2"/>
  <c r="P43" i="2"/>
  <c r="L43" i="2"/>
  <c r="N43" i="2" s="1"/>
  <c r="K43" i="2"/>
  <c r="M43" i="2" s="1"/>
  <c r="J43" i="2"/>
  <c r="Y42" i="2"/>
  <c r="X42" i="2"/>
  <c r="Z42" i="2" s="1"/>
  <c r="Q42" i="2"/>
  <c r="P42" i="2"/>
  <c r="L42" i="2"/>
  <c r="N42" i="2" s="1"/>
  <c r="K42" i="2"/>
  <c r="M42" i="2" s="1"/>
  <c r="J42" i="2"/>
  <c r="Y41" i="2"/>
  <c r="X41" i="2"/>
  <c r="Z41" i="2" s="1"/>
  <c r="Q41" i="2"/>
  <c r="P41" i="2"/>
  <c r="L41" i="2"/>
  <c r="N41" i="2" s="1"/>
  <c r="K41" i="2"/>
  <c r="M41" i="2" s="1"/>
  <c r="J41" i="2"/>
  <c r="Q40" i="2"/>
  <c r="P40" i="2"/>
  <c r="L40" i="2"/>
  <c r="N40" i="2" s="1"/>
  <c r="K40" i="2"/>
  <c r="M40" i="2" s="1"/>
  <c r="AC40" i="2"/>
  <c r="AC39" i="2"/>
  <c r="Y39" i="2"/>
  <c r="Q39" i="2"/>
  <c r="P39" i="2"/>
  <c r="L39" i="2"/>
  <c r="N39" i="2" s="1"/>
  <c r="K39" i="2"/>
  <c r="M39" i="2" s="1"/>
  <c r="J39" i="2"/>
  <c r="AC38" i="2"/>
  <c r="Y38" i="2"/>
  <c r="Q38" i="2"/>
  <c r="P38" i="2"/>
  <c r="L38" i="2"/>
  <c r="N38" i="2" s="1"/>
  <c r="K38" i="2"/>
  <c r="M38" i="2" s="1"/>
  <c r="J38" i="2"/>
  <c r="Q37" i="2"/>
  <c r="P37" i="2"/>
  <c r="L37" i="2"/>
  <c r="N37" i="2" s="1"/>
  <c r="K37" i="2"/>
  <c r="M37" i="2" s="1"/>
  <c r="AC37" i="2"/>
  <c r="AC36" i="2"/>
  <c r="Y36" i="2"/>
  <c r="Q36" i="2"/>
  <c r="P36" i="2"/>
  <c r="L36" i="2"/>
  <c r="N36" i="2" s="1"/>
  <c r="K36" i="2"/>
  <c r="M36" i="2" s="1"/>
  <c r="J36" i="2"/>
  <c r="Q35" i="2"/>
  <c r="P35" i="2"/>
  <c r="L35" i="2"/>
  <c r="N35" i="2" s="1"/>
  <c r="K35" i="2"/>
  <c r="Q34" i="2"/>
  <c r="P34" i="2"/>
  <c r="L34" i="2"/>
  <c r="N34" i="2" s="1"/>
  <c r="K34" i="2"/>
  <c r="M34" i="2" s="1"/>
  <c r="Y33" i="2"/>
  <c r="Q33" i="2"/>
  <c r="P33" i="2"/>
  <c r="L33" i="2"/>
  <c r="N33" i="2" s="1"/>
  <c r="K33" i="2"/>
  <c r="M33" i="2" s="1"/>
  <c r="J33" i="2"/>
  <c r="Y32" i="2"/>
  <c r="Q32" i="2"/>
  <c r="P32" i="2"/>
  <c r="L32" i="2"/>
  <c r="N32" i="2" s="1"/>
  <c r="K32" i="2"/>
  <c r="M32" i="2" s="1"/>
  <c r="J32" i="2"/>
  <c r="Q31" i="2"/>
  <c r="P31" i="2"/>
  <c r="L31" i="2"/>
  <c r="N31" i="2" s="1"/>
  <c r="K31" i="2"/>
  <c r="M31" i="2" s="1"/>
  <c r="Y30" i="2"/>
  <c r="Q30" i="2"/>
  <c r="P30" i="2"/>
  <c r="L30" i="2"/>
  <c r="N30" i="2" s="1"/>
  <c r="K30" i="2"/>
  <c r="M30" i="2" s="1"/>
  <c r="J30" i="2"/>
  <c r="Y29" i="2"/>
  <c r="Q29" i="2"/>
  <c r="P29" i="2"/>
  <c r="L29" i="2"/>
  <c r="N29" i="2" s="1"/>
  <c r="K29" i="2"/>
  <c r="M29" i="2" s="1"/>
  <c r="J29" i="2"/>
  <c r="AC28" i="2"/>
  <c r="Y28" i="2"/>
  <c r="Q28" i="2"/>
  <c r="P28" i="2"/>
  <c r="L28" i="2"/>
  <c r="N28" i="2" s="1"/>
  <c r="K28" i="2"/>
  <c r="M28" i="2" s="1"/>
  <c r="J28" i="2"/>
  <c r="AC27" i="2"/>
  <c r="Y27" i="2"/>
  <c r="R27" i="2"/>
  <c r="S27" i="2" s="1"/>
  <c r="L27" i="2"/>
  <c r="N27" i="2" s="1"/>
  <c r="K27" i="2"/>
  <c r="M27" i="2" s="1"/>
  <c r="J27" i="2"/>
  <c r="AC26" i="2"/>
  <c r="Y26" i="2"/>
  <c r="R26" i="2"/>
  <c r="L26" i="2"/>
  <c r="N26" i="2" s="1"/>
  <c r="K26" i="2"/>
  <c r="M26" i="2" s="1"/>
  <c r="AC25" i="2"/>
  <c r="Y25" i="2"/>
  <c r="R25" i="2"/>
  <c r="T25" i="2" s="1"/>
  <c r="L25" i="2"/>
  <c r="N25" i="2" s="1"/>
  <c r="K25" i="2"/>
  <c r="M25" i="2" s="1"/>
  <c r="J25" i="2"/>
  <c r="AC24" i="2"/>
  <c r="Y24" i="2"/>
  <c r="R24" i="2"/>
  <c r="T24" i="2" s="1"/>
  <c r="L24" i="2"/>
  <c r="N24" i="2" s="1"/>
  <c r="K24" i="2"/>
  <c r="M24" i="2" s="1"/>
  <c r="J24" i="2"/>
  <c r="AC23" i="2"/>
  <c r="Y23" i="2"/>
  <c r="R23" i="2"/>
  <c r="S23" i="2" s="1"/>
  <c r="L23" i="2"/>
  <c r="N23" i="2" s="1"/>
  <c r="K23" i="2"/>
  <c r="M23" i="2" s="1"/>
  <c r="J23" i="2"/>
  <c r="AC22" i="2"/>
  <c r="Y22" i="2"/>
  <c r="R22" i="2"/>
  <c r="T22" i="2" s="1"/>
  <c r="L22" i="2"/>
  <c r="N22" i="2" s="1"/>
  <c r="K22" i="2"/>
  <c r="M22" i="2" s="1"/>
  <c r="J22" i="2"/>
  <c r="AC21" i="2"/>
  <c r="Y21" i="2"/>
  <c r="R21" i="2"/>
  <c r="L21" i="2"/>
  <c r="N21" i="2" s="1"/>
  <c r="K21" i="2"/>
  <c r="M21" i="2" s="1"/>
  <c r="J21" i="2"/>
  <c r="AC20" i="2"/>
  <c r="Y20" i="2"/>
  <c r="R20" i="2"/>
  <c r="S20" i="2" s="1"/>
  <c r="L20" i="2"/>
  <c r="N20" i="2" s="1"/>
  <c r="K20" i="2"/>
  <c r="M20" i="2" s="1"/>
  <c r="J20" i="2"/>
  <c r="AC19" i="2"/>
  <c r="Y19" i="2"/>
  <c r="R19" i="2"/>
  <c r="L19" i="2"/>
  <c r="N19" i="2" s="1"/>
  <c r="K19" i="2"/>
  <c r="M19" i="2" s="1"/>
  <c r="AC18" i="2"/>
  <c r="Y18" i="2"/>
  <c r="R18" i="2"/>
  <c r="L18" i="2"/>
  <c r="N18" i="2" s="1"/>
  <c r="J18" i="2"/>
  <c r="AC17" i="2"/>
  <c r="Y17" i="2"/>
  <c r="R17" i="2"/>
  <c r="S17" i="2" s="1"/>
  <c r="L17" i="2"/>
  <c r="N17" i="2" s="1"/>
  <c r="K17" i="2"/>
  <c r="M17" i="2" s="1"/>
  <c r="J17" i="2"/>
  <c r="AC16" i="2"/>
  <c r="Y16" i="2"/>
  <c r="R16" i="2"/>
  <c r="T16" i="2" s="1"/>
  <c r="L16" i="2"/>
  <c r="N16" i="2" s="1"/>
  <c r="K16" i="2"/>
  <c r="M16" i="2" s="1"/>
  <c r="J16" i="2"/>
  <c r="AC15" i="2"/>
  <c r="Y15" i="2"/>
  <c r="R15" i="2"/>
  <c r="T15" i="2" s="1"/>
  <c r="L15" i="2"/>
  <c r="N15" i="2" s="1"/>
  <c r="K15" i="2"/>
  <c r="M15" i="2" s="1"/>
  <c r="J15" i="2"/>
  <c r="AC14" i="2"/>
  <c r="Y14" i="2"/>
  <c r="R14" i="2"/>
  <c r="T14" i="2" s="1"/>
  <c r="L14" i="2"/>
  <c r="N14" i="2" s="1"/>
  <c r="K14" i="2"/>
  <c r="M14" i="2" s="1"/>
  <c r="J14" i="2"/>
  <c r="AC13" i="2"/>
  <c r="Y13" i="2"/>
  <c r="R13" i="2"/>
  <c r="L13" i="2"/>
  <c r="N13" i="2" s="1"/>
  <c r="K13" i="2"/>
  <c r="M13" i="2" s="1"/>
  <c r="AC12" i="2"/>
  <c r="Y12" i="2"/>
  <c r="R12" i="2"/>
  <c r="L12" i="2"/>
  <c r="N12" i="2" s="1"/>
  <c r="K12" i="2"/>
  <c r="M12" i="2" s="1"/>
  <c r="J12" i="2"/>
  <c r="AC11" i="2"/>
  <c r="Y11" i="2"/>
  <c r="R11" i="2"/>
  <c r="S11" i="2" s="1"/>
  <c r="L11" i="2"/>
  <c r="N11" i="2" s="1"/>
  <c r="K11" i="2"/>
  <c r="M11" i="2" s="1"/>
  <c r="J11" i="2"/>
  <c r="AC10" i="2"/>
  <c r="Y10" i="2"/>
  <c r="R10" i="2"/>
  <c r="T10" i="2" s="1"/>
  <c r="L10" i="2"/>
  <c r="N10" i="2" s="1"/>
  <c r="K10" i="2"/>
  <c r="M10" i="2" s="1"/>
  <c r="J10" i="2"/>
  <c r="AC9" i="2"/>
  <c r="Y9" i="2"/>
  <c r="R9" i="2"/>
  <c r="T9" i="2" s="1"/>
  <c r="L9" i="2"/>
  <c r="N9" i="2" s="1"/>
  <c r="K9" i="2"/>
  <c r="M9" i="2" s="1"/>
  <c r="J9" i="2"/>
  <c r="AC8" i="2"/>
  <c r="Y8" i="2"/>
  <c r="R8" i="2"/>
  <c r="S8" i="2" s="1"/>
  <c r="L8" i="2"/>
  <c r="N8" i="2" s="1"/>
  <c r="K8" i="2"/>
  <c r="M8" i="2" s="1"/>
  <c r="J8" i="2"/>
  <c r="AC7" i="2"/>
  <c r="Y7" i="2"/>
  <c r="R7" i="2"/>
  <c r="L7" i="2"/>
  <c r="N7" i="2" s="1"/>
  <c r="K7" i="2"/>
  <c r="M7" i="2" s="1"/>
  <c r="J7" i="2"/>
  <c r="AC6" i="2"/>
  <c r="Y6" i="2"/>
  <c r="R6" i="2"/>
  <c r="L6" i="2"/>
  <c r="N6" i="2" s="1"/>
  <c r="K6" i="2"/>
  <c r="M6" i="2" s="1"/>
  <c r="J6" i="2"/>
  <c r="AC5" i="2"/>
  <c r="Y5" i="2"/>
  <c r="R5" i="2"/>
  <c r="S5" i="2" s="1"/>
  <c r="L5" i="2"/>
  <c r="N5" i="2" s="1"/>
  <c r="K5" i="2"/>
  <c r="M5" i="2" s="1"/>
  <c r="J5" i="2"/>
  <c r="AC4" i="2"/>
  <c r="Y4" i="2"/>
  <c r="R4" i="2"/>
  <c r="T4" i="2" s="1"/>
  <c r="L4" i="2"/>
  <c r="N4" i="2" s="1"/>
  <c r="K4" i="2"/>
  <c r="M4" i="2" s="1"/>
  <c r="J4" i="2"/>
  <c r="AC3" i="2"/>
  <c r="Y3" i="2"/>
  <c r="R3" i="2"/>
  <c r="T3" i="2" s="1"/>
  <c r="L3" i="2"/>
  <c r="N3" i="2" s="1"/>
  <c r="K3" i="2"/>
  <c r="M3" i="2" s="1"/>
  <c r="J3" i="2"/>
  <c r="AC2" i="2"/>
  <c r="Y2" i="2"/>
  <c r="R2" i="2"/>
  <c r="L2" i="2"/>
  <c r="N2" i="2" s="1"/>
  <c r="K2" i="2"/>
  <c r="M2" i="2" s="1"/>
  <c r="J2" i="2"/>
  <c r="S37" i="5" l="1"/>
  <c r="T37" i="5"/>
  <c r="R157" i="5"/>
  <c r="R180" i="5"/>
  <c r="R189" i="5"/>
  <c r="R210" i="5"/>
  <c r="S17" i="5"/>
  <c r="T17" i="5"/>
  <c r="R184" i="5"/>
  <c r="R207" i="5"/>
  <c r="R155" i="5"/>
  <c r="R171" i="5"/>
  <c r="R66" i="5"/>
  <c r="T66" i="5" s="1"/>
  <c r="R149" i="5"/>
  <c r="R179" i="5"/>
  <c r="R194" i="5"/>
  <c r="R201" i="5"/>
  <c r="R148" i="5"/>
  <c r="R72" i="5"/>
  <c r="T72" i="5" s="1"/>
  <c r="R97" i="5"/>
  <c r="T97" i="5" s="1"/>
  <c r="R107" i="5"/>
  <c r="T107" i="5" s="1"/>
  <c r="R173" i="5"/>
  <c r="Y47" i="5"/>
  <c r="R74" i="5"/>
  <c r="T74" i="5" s="1"/>
  <c r="R141" i="5"/>
  <c r="S141" i="5" s="1"/>
  <c r="R191" i="5"/>
  <c r="R202" i="5"/>
  <c r="R178" i="5"/>
  <c r="R59" i="5"/>
  <c r="R105" i="5"/>
  <c r="T105" i="5" s="1"/>
  <c r="R128" i="5"/>
  <c r="S128" i="5" s="1"/>
  <c r="R137" i="5"/>
  <c r="S137" i="5" s="1"/>
  <c r="R147" i="5"/>
  <c r="R85" i="5"/>
  <c r="S85" i="5" s="1"/>
  <c r="R169" i="5"/>
  <c r="R50" i="5"/>
  <c r="R52" i="5"/>
  <c r="T52" i="5" s="1"/>
  <c r="R138" i="5"/>
  <c r="R151" i="5"/>
  <c r="R111" i="5"/>
  <c r="T111" i="5" s="1"/>
  <c r="R76" i="5"/>
  <c r="T76" i="5" s="1"/>
  <c r="Y201" i="5"/>
  <c r="T25" i="5"/>
  <c r="R61" i="5"/>
  <c r="S61" i="5" s="1"/>
  <c r="R170" i="5"/>
  <c r="R78" i="5"/>
  <c r="T78" i="5" s="1"/>
  <c r="J121" i="5"/>
  <c r="R123" i="5"/>
  <c r="T123" i="5" s="1"/>
  <c r="R181" i="5"/>
  <c r="R156" i="5"/>
  <c r="R161" i="5"/>
  <c r="R190" i="5"/>
  <c r="R195" i="5"/>
  <c r="R56" i="5"/>
  <c r="T56" i="5" s="1"/>
  <c r="R81" i="5"/>
  <c r="R82" i="5"/>
  <c r="S82" i="5" s="1"/>
  <c r="R125" i="5"/>
  <c r="S125" i="5" s="1"/>
  <c r="Y63" i="5"/>
  <c r="R175" i="5"/>
  <c r="R188" i="5"/>
  <c r="T18" i="5"/>
  <c r="R44" i="5"/>
  <c r="R93" i="5"/>
  <c r="T93" i="5" s="1"/>
  <c r="R206" i="5"/>
  <c r="R92" i="5"/>
  <c r="S92" i="5" s="1"/>
  <c r="R114" i="5"/>
  <c r="R116" i="5"/>
  <c r="R135" i="5"/>
  <c r="R159" i="5"/>
  <c r="R168" i="5"/>
  <c r="R47" i="5"/>
  <c r="S47" i="5" s="1"/>
  <c r="R84" i="5"/>
  <c r="T84" i="5" s="1"/>
  <c r="R127" i="5"/>
  <c r="S127" i="5" s="1"/>
  <c r="R134" i="5"/>
  <c r="R152" i="5"/>
  <c r="R96" i="5"/>
  <c r="S96" i="5" s="1"/>
  <c r="R100" i="5"/>
  <c r="T100" i="5" s="1"/>
  <c r="R198" i="5"/>
  <c r="R203" i="5"/>
  <c r="R138" i="2"/>
  <c r="T138" i="2" s="1"/>
  <c r="R81" i="2"/>
  <c r="S81" i="2" s="1"/>
  <c r="R68" i="2"/>
  <c r="T68" i="2" s="1"/>
  <c r="R62" i="2"/>
  <c r="S62" i="2" s="1"/>
  <c r="R65" i="2"/>
  <c r="T65" i="2" s="1"/>
  <c r="R73" i="2"/>
  <c r="T73" i="2" s="1"/>
  <c r="R147" i="2"/>
  <c r="R120" i="2"/>
  <c r="S120" i="2" s="1"/>
  <c r="R137" i="2"/>
  <c r="T137" i="2" s="1"/>
  <c r="R72" i="2"/>
  <c r="T72" i="2" s="1"/>
  <c r="R39" i="2"/>
  <c r="S39" i="2" s="1"/>
  <c r="R101" i="2"/>
  <c r="T101" i="2" s="1"/>
  <c r="R104" i="2"/>
  <c r="T104" i="2" s="1"/>
  <c r="R107" i="2"/>
  <c r="S107" i="2" s="1"/>
  <c r="R113" i="2"/>
  <c r="T113" i="2" s="1"/>
  <c r="T26" i="2"/>
  <c r="S26" i="2"/>
  <c r="R40" i="2"/>
  <c r="T19" i="2"/>
  <c r="S19" i="2"/>
  <c r="S18" i="2"/>
  <c r="T18" i="2"/>
  <c r="S13" i="2"/>
  <c r="T13" i="2"/>
  <c r="R58" i="2"/>
  <c r="S58" i="2" s="1"/>
  <c r="R60" i="2"/>
  <c r="T60" i="2" s="1"/>
  <c r="T12" i="2"/>
  <c r="S12" i="2"/>
  <c r="R106" i="2"/>
  <c r="S106" i="2" s="1"/>
  <c r="U106" i="2" s="1"/>
  <c r="R31" i="2"/>
  <c r="Y40" i="2"/>
  <c r="R42" i="2"/>
  <c r="T42" i="2" s="1"/>
  <c r="R45" i="2"/>
  <c r="T45" i="2" s="1"/>
  <c r="R47" i="2"/>
  <c r="S47" i="2" s="1"/>
  <c r="U47" i="2" s="1"/>
  <c r="R49" i="2"/>
  <c r="T49" i="2" s="1"/>
  <c r="R51" i="2"/>
  <c r="S51" i="2" s="1"/>
  <c r="R117" i="2"/>
  <c r="S117" i="2" s="1"/>
  <c r="R115" i="2"/>
  <c r="S115" i="2" s="1"/>
  <c r="U115" i="2" s="1"/>
  <c r="R59" i="2"/>
  <c r="T59" i="2" s="1"/>
  <c r="R63" i="2"/>
  <c r="S63" i="2" s="1"/>
  <c r="R66" i="2"/>
  <c r="S66" i="2" s="1"/>
  <c r="R74" i="2"/>
  <c r="S74" i="2" s="1"/>
  <c r="R112" i="2"/>
  <c r="T112" i="2" s="1"/>
  <c r="R46" i="2"/>
  <c r="S46" i="2" s="1"/>
  <c r="R48" i="2"/>
  <c r="T48" i="2" s="1"/>
  <c r="R71" i="2"/>
  <c r="T71" i="2" s="1"/>
  <c r="T27" i="2"/>
  <c r="R56" i="2"/>
  <c r="S56" i="2" s="1"/>
  <c r="R84" i="2"/>
  <c r="T84" i="2" s="1"/>
  <c r="R41" i="2"/>
  <c r="T41" i="2" s="1"/>
  <c r="R136" i="2"/>
  <c r="T136" i="2" s="1"/>
  <c r="R141" i="2"/>
  <c r="T141" i="2" s="1"/>
  <c r="R64" i="2"/>
  <c r="S64" i="2" s="1"/>
  <c r="R67" i="2"/>
  <c r="S67" i="2" s="1"/>
  <c r="R70" i="2"/>
  <c r="S70" i="2" s="1"/>
  <c r="R83" i="2"/>
  <c r="S83" i="2" s="1"/>
  <c r="R97" i="2"/>
  <c r="S97" i="2" s="1"/>
  <c r="R103" i="2"/>
  <c r="R116" i="2"/>
  <c r="T116" i="2" s="1"/>
  <c r="R124" i="2"/>
  <c r="T124" i="2" s="1"/>
  <c r="R127" i="2"/>
  <c r="T127" i="2" s="1"/>
  <c r="R44" i="2"/>
  <c r="T44" i="2" s="1"/>
  <c r="R55" i="2"/>
  <c r="T55" i="2" s="1"/>
  <c r="R109" i="2"/>
  <c r="S109" i="2" s="1"/>
  <c r="U109" i="2" s="1"/>
  <c r="R118" i="2"/>
  <c r="T118" i="2" s="1"/>
  <c r="R132" i="2"/>
  <c r="T132" i="2" s="1"/>
  <c r="R69" i="2"/>
  <c r="S69" i="2" s="1"/>
  <c r="R82" i="2"/>
  <c r="S82" i="2" s="1"/>
  <c r="R88" i="2"/>
  <c r="T88" i="2" s="1"/>
  <c r="R123" i="2"/>
  <c r="T123" i="2" s="1"/>
  <c r="R129" i="2"/>
  <c r="T129" i="2" s="1"/>
  <c r="R79" i="2"/>
  <c r="T79" i="2" s="1"/>
  <c r="R130" i="2"/>
  <c r="S130" i="2" s="1"/>
  <c r="S3" i="2"/>
  <c r="T23" i="2"/>
  <c r="R54" i="2"/>
  <c r="S54" i="2" s="1"/>
  <c r="R34" i="2"/>
  <c r="S34" i="2" s="1"/>
  <c r="R37" i="2"/>
  <c r="R100" i="2"/>
  <c r="T100" i="2" s="1"/>
  <c r="R36" i="2"/>
  <c r="S36" i="2" s="1"/>
  <c r="Y37" i="2"/>
  <c r="J90" i="2"/>
  <c r="R119" i="2"/>
  <c r="T119" i="2" s="1"/>
  <c r="R122" i="2"/>
  <c r="T122" i="2" s="1"/>
  <c r="R126" i="2"/>
  <c r="S126" i="2" s="1"/>
  <c r="S10" i="2"/>
  <c r="R50" i="2"/>
  <c r="S50" i="2" s="1"/>
  <c r="T146" i="2"/>
  <c r="R93" i="2"/>
  <c r="S93" i="2" s="1"/>
  <c r="R98" i="2"/>
  <c r="T98" i="2" s="1"/>
  <c r="R85" i="2"/>
  <c r="S85" i="2" s="1"/>
  <c r="T17" i="2"/>
  <c r="R30" i="2"/>
  <c r="T30" i="2" s="1"/>
  <c r="R108" i="2"/>
  <c r="T108" i="2" s="1"/>
  <c r="R128" i="2"/>
  <c r="S128" i="2" s="1"/>
  <c r="R53" i="2"/>
  <c r="S53" i="2" s="1"/>
  <c r="R76" i="2"/>
  <c r="T76" i="2" s="1"/>
  <c r="R92" i="2"/>
  <c r="T92" i="2" s="1"/>
  <c r="R94" i="2"/>
  <c r="T94" i="2" s="1"/>
  <c r="R99" i="2"/>
  <c r="T99" i="2" s="1"/>
  <c r="T8" i="2"/>
  <c r="S25" i="2"/>
  <c r="R89" i="2"/>
  <c r="T89" i="2" s="1"/>
  <c r="R114" i="2"/>
  <c r="T114" i="2" s="1"/>
  <c r="R131" i="2"/>
  <c r="S131" i="2" s="1"/>
  <c r="R140" i="2"/>
  <c r="T140" i="2" s="1"/>
  <c r="R142" i="2"/>
  <c r="T142" i="2" s="1"/>
  <c r="T5" i="2"/>
  <c r="R43" i="2"/>
  <c r="R52" i="2"/>
  <c r="T52" i="2" s="1"/>
  <c r="S144" i="2"/>
  <c r="R57" i="2"/>
  <c r="T57" i="2" s="1"/>
  <c r="R75" i="2"/>
  <c r="T75" i="2" s="1"/>
  <c r="R102" i="2"/>
  <c r="T102" i="2" s="1"/>
  <c r="R121" i="2"/>
  <c r="S121" i="2" s="1"/>
  <c r="R125" i="2"/>
  <c r="T125" i="2" s="1"/>
  <c r="R135" i="2"/>
  <c r="T135" i="2" s="1"/>
  <c r="R139" i="2"/>
  <c r="T139" i="2" s="1"/>
  <c r="S143" i="2"/>
  <c r="U143" i="2" s="1"/>
  <c r="R78" i="2"/>
  <c r="T78" i="2" s="1"/>
  <c r="R105" i="2"/>
  <c r="S105" i="2" s="1"/>
  <c r="R111" i="2"/>
  <c r="T111" i="2" s="1"/>
  <c r="S15" i="2"/>
  <c r="S21" i="2"/>
  <c r="J31" i="2"/>
  <c r="R33" i="2"/>
  <c r="S33" i="2" s="1"/>
  <c r="Y34" i="2"/>
  <c r="R35" i="2"/>
  <c r="S35" i="2" s="1"/>
  <c r="T21" i="2"/>
  <c r="R28" i="2"/>
  <c r="T28" i="2" s="1"/>
  <c r="R29" i="2"/>
  <c r="R32" i="2"/>
  <c r="S32" i="2" s="1"/>
  <c r="R38" i="2"/>
  <c r="T38" i="2" s="1"/>
  <c r="R77" i="2"/>
  <c r="T77" i="2" s="1"/>
  <c r="R86" i="2"/>
  <c r="T86" i="2" s="1"/>
  <c r="R87" i="2"/>
  <c r="T87" i="2" s="1"/>
  <c r="R96" i="2"/>
  <c r="S96" i="2" s="1"/>
  <c r="R110" i="2"/>
  <c r="S110" i="2" s="1"/>
  <c r="R133" i="2"/>
  <c r="T133" i="2" s="1"/>
  <c r="R134" i="2"/>
  <c r="T134" i="2" s="1"/>
  <c r="T24" i="5"/>
  <c r="Y75" i="5"/>
  <c r="R108" i="5"/>
  <c r="T108" i="5" s="1"/>
  <c r="J131" i="5"/>
  <c r="R162" i="5"/>
  <c r="Y167" i="5"/>
  <c r="R183" i="5"/>
  <c r="R196" i="5"/>
  <c r="R197" i="5"/>
  <c r="R199" i="5"/>
  <c r="R208" i="5"/>
  <c r="T2" i="5"/>
  <c r="R39" i="5"/>
  <c r="R51" i="5"/>
  <c r="R98" i="5"/>
  <c r="T98" i="5" s="1"/>
  <c r="R103" i="5"/>
  <c r="S103" i="5" s="1"/>
  <c r="R140" i="5"/>
  <c r="R146" i="5"/>
  <c r="R150" i="5"/>
  <c r="T150" i="5" s="1"/>
  <c r="R182" i="5"/>
  <c r="S6" i="5"/>
  <c r="S9" i="5"/>
  <c r="R69" i="5"/>
  <c r="R160" i="5"/>
  <c r="T20" i="5"/>
  <c r="T27" i="5"/>
  <c r="R45" i="5"/>
  <c r="R65" i="5"/>
  <c r="R102" i="5"/>
  <c r="Y121" i="5"/>
  <c r="R132" i="5"/>
  <c r="R145" i="5"/>
  <c r="R177" i="5"/>
  <c r="R187" i="5"/>
  <c r="R42" i="5"/>
  <c r="S42" i="5" s="1"/>
  <c r="R49" i="5"/>
  <c r="R68" i="5"/>
  <c r="S68" i="5" s="1"/>
  <c r="Y69" i="5"/>
  <c r="R77" i="5"/>
  <c r="T77" i="5" s="1"/>
  <c r="R119" i="5"/>
  <c r="T119" i="5" s="1"/>
  <c r="R130" i="5"/>
  <c r="S130" i="5" s="1"/>
  <c r="R131" i="5"/>
  <c r="R164" i="5"/>
  <c r="R55" i="5"/>
  <c r="R115" i="5"/>
  <c r="R143" i="5"/>
  <c r="R144" i="5"/>
  <c r="Y169" i="5"/>
  <c r="R67" i="5"/>
  <c r="R75" i="5"/>
  <c r="Y91" i="5"/>
  <c r="R104" i="5"/>
  <c r="T104" i="5" s="1"/>
  <c r="R129" i="5"/>
  <c r="R142" i="5"/>
  <c r="Y149" i="5"/>
  <c r="R153" i="5"/>
  <c r="R154" i="5"/>
  <c r="R163" i="5"/>
  <c r="R167" i="5"/>
  <c r="R174" i="5"/>
  <c r="Y55" i="5"/>
  <c r="Y83" i="5"/>
  <c r="Y67" i="5"/>
  <c r="T7" i="5"/>
  <c r="S7" i="5"/>
  <c r="Y51" i="5"/>
  <c r="J59" i="5"/>
  <c r="R110" i="5"/>
  <c r="S110" i="5" s="1"/>
  <c r="R176" i="5"/>
  <c r="R205" i="5"/>
  <c r="S15" i="5"/>
  <c r="S38" i="5"/>
  <c r="R41" i="5"/>
  <c r="R46" i="5"/>
  <c r="S46" i="5" s="1"/>
  <c r="R57" i="5"/>
  <c r="R58" i="5"/>
  <c r="S58" i="5" s="1"/>
  <c r="R63" i="5"/>
  <c r="R64" i="5"/>
  <c r="T64" i="5" s="1"/>
  <c r="R80" i="5"/>
  <c r="S80" i="5" s="1"/>
  <c r="R86" i="5"/>
  <c r="R89" i="5"/>
  <c r="S89" i="5" s="1"/>
  <c r="R90" i="5"/>
  <c r="T90" i="5" s="1"/>
  <c r="R95" i="5"/>
  <c r="R109" i="5"/>
  <c r="S109" i="5" s="1"/>
  <c r="R117" i="5"/>
  <c r="R118" i="5"/>
  <c r="R133" i="5"/>
  <c r="S133" i="5" s="1"/>
  <c r="R165" i="5"/>
  <c r="R166" i="5"/>
  <c r="Y171" i="5"/>
  <c r="R172" i="5"/>
  <c r="R193" i="5"/>
  <c r="R200" i="5"/>
  <c r="R204" i="5"/>
  <c r="T5" i="5"/>
  <c r="S13" i="5"/>
  <c r="S26" i="5"/>
  <c r="S31" i="5"/>
  <c r="S33" i="5"/>
  <c r="R40" i="5"/>
  <c r="S40" i="5" s="1"/>
  <c r="Y41" i="5"/>
  <c r="R62" i="5"/>
  <c r="S62" i="5" s="1"/>
  <c r="R79" i="5"/>
  <c r="S79" i="5" s="1"/>
  <c r="R88" i="5"/>
  <c r="T88" i="5" s="1"/>
  <c r="Y95" i="5"/>
  <c r="R192" i="5"/>
  <c r="S4" i="5"/>
  <c r="T12" i="5"/>
  <c r="S29" i="5"/>
  <c r="S35" i="5"/>
  <c r="R54" i="5"/>
  <c r="T54" i="5" s="1"/>
  <c r="R99" i="5"/>
  <c r="R101" i="5"/>
  <c r="R106" i="5"/>
  <c r="T106" i="5" s="1"/>
  <c r="R113" i="5"/>
  <c r="T113" i="5" s="1"/>
  <c r="R122" i="5"/>
  <c r="R124" i="5"/>
  <c r="T124" i="5" s="1"/>
  <c r="R126" i="5"/>
  <c r="Y142" i="5"/>
  <c r="Y147" i="5"/>
  <c r="R186" i="5"/>
  <c r="S11" i="5"/>
  <c r="S22" i="5"/>
  <c r="R83" i="5"/>
  <c r="R87" i="5"/>
  <c r="T87" i="5" s="1"/>
  <c r="R121" i="5"/>
  <c r="T121" i="5" s="1"/>
  <c r="R136" i="5"/>
  <c r="T136" i="5" s="1"/>
  <c r="R158" i="5"/>
  <c r="R185" i="5"/>
  <c r="R43" i="5"/>
  <c r="R48" i="5"/>
  <c r="T48" i="5" s="1"/>
  <c r="Y49" i="5"/>
  <c r="R53" i="5"/>
  <c r="T53" i="5" s="1"/>
  <c r="R60" i="5"/>
  <c r="S60" i="5" s="1"/>
  <c r="R71" i="5"/>
  <c r="R73" i="5"/>
  <c r="R112" i="5"/>
  <c r="S112" i="5" s="1"/>
  <c r="R120" i="5"/>
  <c r="S120" i="5" s="1"/>
  <c r="R139" i="5"/>
  <c r="Y170" i="5"/>
  <c r="R209" i="5"/>
  <c r="Y176" i="5"/>
  <c r="Y184" i="5"/>
  <c r="Y194" i="5"/>
  <c r="Y152" i="5"/>
  <c r="Y173" i="5"/>
  <c r="Y196" i="5"/>
  <c r="Y207" i="5"/>
  <c r="Y155" i="5"/>
  <c r="Y168" i="5"/>
  <c r="Y203" i="5"/>
  <c r="Y206" i="5"/>
  <c r="Y151" i="5"/>
  <c r="Y164" i="5"/>
  <c r="Y174" i="5"/>
  <c r="Y177" i="5"/>
  <c r="Y186" i="5"/>
  <c r="Y190" i="5"/>
  <c r="Y192" i="5"/>
  <c r="Y172" i="5"/>
  <c r="Y178" i="5"/>
  <c r="Y195" i="5"/>
  <c r="Y197" i="5"/>
  <c r="Y205" i="5"/>
  <c r="Y202" i="5"/>
  <c r="S406" i="4"/>
  <c r="U392" i="4"/>
  <c r="T392" i="4"/>
  <c r="U411" i="4"/>
  <c r="T411" i="4"/>
  <c r="U413" i="4"/>
  <c r="T413" i="4"/>
  <c r="U422" i="4"/>
  <c r="T422" i="4"/>
  <c r="U396" i="4"/>
  <c r="T396" i="4"/>
  <c r="U441" i="4"/>
  <c r="T441" i="4"/>
  <c r="U379" i="4"/>
  <c r="T379" i="4"/>
  <c r="U524" i="4"/>
  <c r="T524" i="4"/>
  <c r="U381" i="4"/>
  <c r="T381" i="4"/>
  <c r="U416" i="4"/>
  <c r="T416" i="4"/>
  <c r="U476" i="4"/>
  <c r="T476" i="4"/>
  <c r="U403" i="4"/>
  <c r="T403" i="4"/>
  <c r="U444" i="4"/>
  <c r="T444" i="4"/>
  <c r="U567" i="4"/>
  <c r="T567" i="4"/>
  <c r="K376" i="4"/>
  <c r="T376" i="4"/>
  <c r="N399" i="4"/>
  <c r="Z399" i="4"/>
  <c r="T399" i="4"/>
  <c r="O401" i="4"/>
  <c r="O408" i="4"/>
  <c r="T412" i="4"/>
  <c r="U414" i="4"/>
  <c r="T414" i="4"/>
  <c r="U427" i="4"/>
  <c r="T427" i="4"/>
  <c r="T438" i="4"/>
  <c r="T451" i="4"/>
  <c r="U471" i="4"/>
  <c r="T471" i="4"/>
  <c r="T490" i="4"/>
  <c r="O505" i="4"/>
  <c r="U528" i="4"/>
  <c r="T528" i="4"/>
  <c r="T547" i="4"/>
  <c r="U547" i="4"/>
  <c r="R590" i="4"/>
  <c r="N603" i="4"/>
  <c r="Z603" i="4"/>
  <c r="O603" i="4"/>
  <c r="U606" i="4"/>
  <c r="T609" i="4"/>
  <c r="U609" i="4"/>
  <c r="U544" i="4"/>
  <c r="T544" i="4"/>
  <c r="U553" i="4"/>
  <c r="T553" i="4"/>
  <c r="U570" i="4"/>
  <c r="T570" i="4"/>
  <c r="T586" i="4"/>
  <c r="U586" i="4"/>
  <c r="Z406" i="4"/>
  <c r="N396" i="4"/>
  <c r="K399" i="4"/>
  <c r="R448" i="4"/>
  <c r="S448" i="4" s="1"/>
  <c r="U428" i="4"/>
  <c r="T428" i="4"/>
  <c r="N454" i="4"/>
  <c r="S459" i="4"/>
  <c r="N463" i="4"/>
  <c r="Z463" i="4"/>
  <c r="T463" i="4"/>
  <c r="N478" i="4"/>
  <c r="Z478" i="4"/>
  <c r="T478" i="4"/>
  <c r="O497" i="4"/>
  <c r="T522" i="4"/>
  <c r="U522" i="4"/>
  <c r="U523" i="4"/>
  <c r="S565" i="4"/>
  <c r="T585" i="4"/>
  <c r="K603" i="4"/>
  <c r="T610" i="4"/>
  <c r="Z466" i="4"/>
  <c r="Z376" i="4"/>
  <c r="Z390" i="4" s="1"/>
  <c r="H405" i="4"/>
  <c r="Z405" i="4" s="1"/>
  <c r="H406" i="4"/>
  <c r="H425" i="4"/>
  <c r="S456" i="4"/>
  <c r="S458" i="4"/>
  <c r="U481" i="4"/>
  <c r="U515" i="4"/>
  <c r="T515" i="4"/>
  <c r="U517" i="4"/>
  <c r="T519" i="4"/>
  <c r="U519" i="4"/>
  <c r="N545" i="4"/>
  <c r="Z553" i="4"/>
  <c r="K553" i="4"/>
  <c r="O553" i="4"/>
  <c r="N553" i="4"/>
  <c r="O568" i="4"/>
  <c r="T574" i="4"/>
  <c r="U574" i="4"/>
  <c r="S592" i="4"/>
  <c r="U594" i="4"/>
  <c r="U613" i="4"/>
  <c r="T613" i="4"/>
  <c r="K403" i="4"/>
  <c r="O403" i="4"/>
  <c r="N376" i="4"/>
  <c r="U401" i="4"/>
  <c r="U408" i="4"/>
  <c r="U419" i="4"/>
  <c r="T419" i="4"/>
  <c r="S425" i="4"/>
  <c r="T532" i="4"/>
  <c r="U532" i="4"/>
  <c r="S581" i="4"/>
  <c r="O376" i="4"/>
  <c r="K401" i="4"/>
  <c r="T401" i="4"/>
  <c r="K408" i="4"/>
  <c r="T408" i="4"/>
  <c r="Z416" i="4"/>
  <c r="Z425" i="4" s="1"/>
  <c r="K416" i="4"/>
  <c r="O416" i="4"/>
  <c r="U421" i="4"/>
  <c r="U443" i="4"/>
  <c r="T443" i="4"/>
  <c r="U446" i="4"/>
  <c r="T446" i="4"/>
  <c r="S454" i="4"/>
  <c r="O481" i="4"/>
  <c r="T521" i="4"/>
  <c r="T576" i="4"/>
  <c r="N383" i="4"/>
  <c r="Z383" i="4"/>
  <c r="T383" i="4"/>
  <c r="Z419" i="4"/>
  <c r="K419" i="4"/>
  <c r="O419" i="4"/>
  <c r="N459" i="4"/>
  <c r="O478" i="4"/>
  <c r="U494" i="4"/>
  <c r="Z515" i="4"/>
  <c r="Z530" i="4" s="1"/>
  <c r="K515" i="4"/>
  <c r="O515" i="4"/>
  <c r="N515" i="4"/>
  <c r="N521" i="4"/>
  <c r="Z521" i="4"/>
  <c r="O521" i="4"/>
  <c r="T534" i="4"/>
  <c r="N576" i="4"/>
  <c r="Z576" i="4"/>
  <c r="Z590" i="4" s="1"/>
  <c r="O576" i="4"/>
  <c r="U580" i="4"/>
  <c r="Z592" i="4"/>
  <c r="K592" i="4"/>
  <c r="O592" i="4"/>
  <c r="N592" i="4"/>
  <c r="T601" i="4"/>
  <c r="U601" i="4"/>
  <c r="S387" i="4"/>
  <c r="K396" i="4"/>
  <c r="O396" i="4"/>
  <c r="Z403" i="4"/>
  <c r="Z441" i="4"/>
  <c r="K441" i="4"/>
  <c r="O441" i="4"/>
  <c r="Z444" i="4"/>
  <c r="K444" i="4"/>
  <c r="O444" i="4"/>
  <c r="U450" i="4"/>
  <c r="T450" i="4"/>
  <c r="Z454" i="4"/>
  <c r="K454" i="4"/>
  <c r="O454" i="4"/>
  <c r="N456" i="4"/>
  <c r="R503" i="4"/>
  <c r="S503" i="4" s="1"/>
  <c r="N494" i="4"/>
  <c r="Z494" i="4"/>
  <c r="T494" i="4"/>
  <c r="U505" i="4"/>
  <c r="Z557" i="4"/>
  <c r="N534" i="4"/>
  <c r="Z534" i="4"/>
  <c r="O534" i="4"/>
  <c r="U537" i="4"/>
  <c r="T539" i="4"/>
  <c r="U539" i="4"/>
  <c r="K576" i="4"/>
  <c r="U599" i="4"/>
  <c r="U603" i="4"/>
  <c r="H615" i="4"/>
  <c r="H590" i="4"/>
  <c r="Z393" i="4"/>
  <c r="K525" i="4"/>
  <c r="T525" i="4"/>
  <c r="K568" i="4"/>
  <c r="T568" i="4"/>
  <c r="Z601" i="4"/>
  <c r="Z431" i="4"/>
  <c r="Z448" i="4" s="1"/>
  <c r="H448" i="4"/>
  <c r="N481" i="4"/>
  <c r="Z485" i="4"/>
  <c r="Z503" i="4" s="1"/>
  <c r="Z490" i="4"/>
  <c r="N497" i="4"/>
  <c r="N505" i="4"/>
  <c r="Z587" i="4"/>
  <c r="Z610" i="4"/>
  <c r="N431" i="4"/>
  <c r="U461" i="4"/>
  <c r="N485" i="4"/>
  <c r="N490" i="4"/>
  <c r="N587" i="4"/>
  <c r="N610" i="4"/>
  <c r="T254" i="3"/>
  <c r="S254" i="3"/>
  <c r="T261" i="3"/>
  <c r="S261" i="3"/>
  <c r="S275" i="3"/>
  <c r="U275" i="3" s="1"/>
  <c r="T275" i="3"/>
  <c r="S283" i="3"/>
  <c r="U283" i="3" s="1"/>
  <c r="T283" i="3"/>
  <c r="S291" i="3"/>
  <c r="T291" i="3"/>
  <c r="T313" i="3"/>
  <c r="S313" i="3"/>
  <c r="T314" i="3"/>
  <c r="S314" i="3"/>
  <c r="N258" i="3"/>
  <c r="R258" i="3"/>
  <c r="S258" i="3" s="1"/>
  <c r="T253" i="3"/>
  <c r="S253" i="3"/>
  <c r="U253" i="3" s="1"/>
  <c r="N264" i="3"/>
  <c r="N279" i="3"/>
  <c r="T286" i="3"/>
  <c r="S286" i="3"/>
  <c r="N316" i="3"/>
  <c r="T256" i="3"/>
  <c r="S256" i="3"/>
  <c r="S260" i="3"/>
  <c r="U260" i="3" s="1"/>
  <c r="R264" i="3"/>
  <c r="S264" i="3" s="1"/>
  <c r="T260" i="3"/>
  <c r="R279" i="3"/>
  <c r="S279" i="3" s="1"/>
  <c r="T273" i="3"/>
  <c r="S273" i="3"/>
  <c r="U273" i="3" s="1"/>
  <c r="T282" i="3"/>
  <c r="S282" i="3"/>
  <c r="R294" i="3"/>
  <c r="S294" i="3" s="1"/>
  <c r="S312" i="3"/>
  <c r="U312" i="3" s="1"/>
  <c r="R316" i="3"/>
  <c r="S316" i="3" s="1"/>
  <c r="T312" i="3"/>
  <c r="T281" i="3"/>
  <c r="R288" i="3"/>
  <c r="S288" i="3" s="1"/>
  <c r="S281" i="3"/>
  <c r="U281" i="3" s="1"/>
  <c r="T297" i="3"/>
  <c r="S297" i="3"/>
  <c r="R306" i="3"/>
  <c r="S306" i="3" s="1"/>
  <c r="T304" i="3"/>
  <c r="S304" i="3"/>
  <c r="U304" i="3" s="1"/>
  <c r="N271" i="3"/>
  <c r="T276" i="3"/>
  <c r="S276" i="3"/>
  <c r="N299" i="3"/>
  <c r="S319" i="3"/>
  <c r="T319" i="3"/>
  <c r="S255" i="3"/>
  <c r="T255" i="3"/>
  <c r="S267" i="3"/>
  <c r="T267" i="3"/>
  <c r="R271" i="3"/>
  <c r="S271" i="3" s="1"/>
  <c r="T284" i="3"/>
  <c r="S284" i="3"/>
  <c r="S296" i="3"/>
  <c r="U296" i="3" s="1"/>
  <c r="R299" i="3"/>
  <c r="S299" i="3" s="1"/>
  <c r="T296" i="3"/>
  <c r="S268" i="3"/>
  <c r="U268" i="3" s="1"/>
  <c r="S292" i="3"/>
  <c r="S308" i="3"/>
  <c r="U308" i="3" s="1"/>
  <c r="S320" i="3"/>
  <c r="U320" i="3" s="1"/>
  <c r="T308" i="3"/>
  <c r="S285" i="3"/>
  <c r="S290" i="3"/>
  <c r="U290" i="3" s="1"/>
  <c r="S318" i="3"/>
  <c r="U318" i="3" s="1"/>
  <c r="S262" i="3"/>
  <c r="U262" i="3" s="1"/>
  <c r="S274" i="3"/>
  <c r="T290" i="3"/>
  <c r="T318" i="3"/>
  <c r="S145" i="2"/>
  <c r="U145" i="2" s="1"/>
  <c r="R91" i="5"/>
  <c r="S91" i="5" s="1"/>
  <c r="Y146" i="5"/>
  <c r="R70" i="5"/>
  <c r="M103" i="5"/>
  <c r="Y103" i="5"/>
  <c r="J103" i="5"/>
  <c r="Y144" i="5"/>
  <c r="R94" i="5"/>
  <c r="Y101" i="5"/>
  <c r="Y115" i="5"/>
  <c r="Y118" i="5"/>
  <c r="Y135" i="5"/>
  <c r="Y139" i="5"/>
  <c r="Y143" i="5"/>
  <c r="Y81" i="5"/>
  <c r="U172" i="4"/>
  <c r="T172" i="4"/>
  <c r="U187" i="4"/>
  <c r="T187" i="4"/>
  <c r="T311" i="4"/>
  <c r="U311" i="4"/>
  <c r="U256" i="4"/>
  <c r="T256" i="4"/>
  <c r="U265" i="4"/>
  <c r="T265" i="4"/>
  <c r="U285" i="4"/>
  <c r="T285" i="4"/>
  <c r="U288" i="4"/>
  <c r="T288" i="4"/>
  <c r="Z121" i="4"/>
  <c r="U363" i="4"/>
  <c r="T363" i="4"/>
  <c r="U105" i="4"/>
  <c r="T105" i="4"/>
  <c r="T206" i="4"/>
  <c r="U206" i="4"/>
  <c r="U107" i="4"/>
  <c r="T107" i="4"/>
  <c r="U269" i="4"/>
  <c r="T269" i="4"/>
  <c r="U344" i="4"/>
  <c r="T344" i="4"/>
  <c r="U129" i="4"/>
  <c r="T129" i="4"/>
  <c r="U101" i="4"/>
  <c r="T101" i="4"/>
  <c r="T303" i="4"/>
  <c r="U303" i="4"/>
  <c r="U348" i="4"/>
  <c r="T348" i="4"/>
  <c r="U221" i="4"/>
  <c r="T221" i="4"/>
  <c r="U275" i="4"/>
  <c r="T275" i="4"/>
  <c r="U359" i="4"/>
  <c r="T359" i="4"/>
  <c r="U166" i="4"/>
  <c r="T166" i="4"/>
  <c r="Z125" i="4"/>
  <c r="AC121" i="4"/>
  <c r="U68" i="4"/>
  <c r="Z28" i="4"/>
  <c r="U190" i="4"/>
  <c r="U213" i="4"/>
  <c r="Z215" i="4"/>
  <c r="Z224" i="4" s="1"/>
  <c r="K244" i="4"/>
  <c r="N313" i="4"/>
  <c r="T324" i="4"/>
  <c r="K344" i="4"/>
  <c r="K359" i="4"/>
  <c r="O164" i="4"/>
  <c r="H156" i="4"/>
  <c r="X156" i="4" s="1"/>
  <c r="S152" i="4"/>
  <c r="T152" i="4" s="1"/>
  <c r="S149" i="4"/>
  <c r="S138" i="4"/>
  <c r="U57" i="4"/>
  <c r="U21" i="4"/>
  <c r="U16" i="4"/>
  <c r="S171" i="4"/>
  <c r="K162" i="4"/>
  <c r="S157" i="4"/>
  <c r="S175" i="4" s="1"/>
  <c r="S154" i="4"/>
  <c r="T154" i="4" s="1"/>
  <c r="K144" i="4"/>
  <c r="N136" i="4"/>
  <c r="S122" i="4"/>
  <c r="S116" i="4"/>
  <c r="O114" i="4"/>
  <c r="S110" i="4"/>
  <c r="S121" i="4" s="1"/>
  <c r="T121" i="4" s="1"/>
  <c r="Z90" i="4"/>
  <c r="T56" i="4"/>
  <c r="T21" i="4"/>
  <c r="S195" i="4"/>
  <c r="T195" i="4" s="1"/>
  <c r="N242" i="4"/>
  <c r="N251" i="4"/>
  <c r="S258" i="4"/>
  <c r="T258" i="4" s="1"/>
  <c r="H282" i="4"/>
  <c r="X282" i="4" s="1"/>
  <c r="N290" i="4"/>
  <c r="K313" i="4"/>
  <c r="N367" i="4"/>
  <c r="S128" i="4"/>
  <c r="T128" i="4" s="1"/>
  <c r="S125" i="4"/>
  <c r="S117" i="4"/>
  <c r="T117" i="4" s="1"/>
  <c r="K114" i="4"/>
  <c r="AC42" i="4"/>
  <c r="U24" i="4"/>
  <c r="AC20" i="4"/>
  <c r="H212" i="4"/>
  <c r="X212" i="4" s="1"/>
  <c r="K215" i="4"/>
  <c r="O244" i="4"/>
  <c r="O285" i="4"/>
  <c r="T287" i="4"/>
  <c r="T293" i="4"/>
  <c r="S300" i="4"/>
  <c r="U300" i="4" s="1"/>
  <c r="O313" i="4"/>
  <c r="N315" i="4"/>
  <c r="T328" i="4"/>
  <c r="K348" i="4"/>
  <c r="N361" i="4"/>
  <c r="N364" i="4"/>
  <c r="Z20" i="4"/>
  <c r="O173" i="4"/>
  <c r="T167" i="4"/>
  <c r="O125" i="4"/>
  <c r="S95" i="4"/>
  <c r="S104" i="4" s="1"/>
  <c r="T104" i="4" s="1"/>
  <c r="Z52" i="4"/>
  <c r="S203" i="4"/>
  <c r="T203" i="4" s="1"/>
  <c r="S208" i="4"/>
  <c r="T208" i="4" s="1"/>
  <c r="S209" i="4"/>
  <c r="T209" i="4" s="1"/>
  <c r="N215" i="4"/>
  <c r="Z233" i="4"/>
  <c r="K238" i="4"/>
  <c r="Z263" i="4"/>
  <c r="O278" i="4"/>
  <c r="K283" i="4"/>
  <c r="K285" i="4"/>
  <c r="T292" i="4"/>
  <c r="Z308" i="4"/>
  <c r="O315" i="4"/>
  <c r="O328" i="4"/>
  <c r="S340" i="4"/>
  <c r="S353" i="4" s="1"/>
  <c r="O364" i="4"/>
  <c r="AC104" i="4"/>
  <c r="T162" i="4"/>
  <c r="U146" i="4"/>
  <c r="N125" i="4"/>
  <c r="U111" i="4"/>
  <c r="U93" i="4"/>
  <c r="U85" i="4"/>
  <c r="AC64" i="4"/>
  <c r="U53" i="4"/>
  <c r="AC52" i="4"/>
  <c r="U44" i="4"/>
  <c r="U31" i="4"/>
  <c r="O215" i="4"/>
  <c r="S231" i="4"/>
  <c r="S241" i="4"/>
  <c r="Z242" i="4"/>
  <c r="U246" i="4"/>
  <c r="Z251" i="4"/>
  <c r="S260" i="4"/>
  <c r="S278" i="4"/>
  <c r="U278" i="4" s="1"/>
  <c r="O280" i="4"/>
  <c r="N283" i="4"/>
  <c r="O288" i="4"/>
  <c r="Z290" i="4"/>
  <c r="S312" i="4"/>
  <c r="S315" i="4"/>
  <c r="S318" i="4" s="1"/>
  <c r="T318" i="4" s="1"/>
  <c r="S321" i="4"/>
  <c r="S339" i="4" s="1"/>
  <c r="T339" i="4" s="1"/>
  <c r="N333" i="4"/>
  <c r="Z367" i="4"/>
  <c r="O162" i="4"/>
  <c r="S131" i="4"/>
  <c r="T131" i="4" s="1"/>
  <c r="T109" i="4"/>
  <c r="AC78" i="4"/>
  <c r="Z78" i="4"/>
  <c r="O182" i="4"/>
  <c r="S202" i="4"/>
  <c r="U202" i="4" s="1"/>
  <c r="S215" i="4"/>
  <c r="S240" i="4"/>
  <c r="S271" i="4"/>
  <c r="U271" i="4" s="1"/>
  <c r="S277" i="4"/>
  <c r="S280" i="4"/>
  <c r="T280" i="4" s="1"/>
  <c r="Z313" i="4"/>
  <c r="S323" i="4"/>
  <c r="U323" i="4" s="1"/>
  <c r="U331" i="4"/>
  <c r="Z340" i="4"/>
  <c r="S355" i="4"/>
  <c r="S371" i="4" s="1"/>
  <c r="Z361" i="4"/>
  <c r="U186" i="4"/>
  <c r="T186" i="4"/>
  <c r="T193" i="4"/>
  <c r="U193" i="4"/>
  <c r="U185" i="4"/>
  <c r="T185" i="4"/>
  <c r="U196" i="4"/>
  <c r="T196" i="4"/>
  <c r="U189" i="4"/>
  <c r="T189" i="4"/>
  <c r="U192" i="4"/>
  <c r="T192" i="4"/>
  <c r="U199" i="4"/>
  <c r="T199" i="4"/>
  <c r="U195" i="4"/>
  <c r="S194" i="4"/>
  <c r="U204" i="4"/>
  <c r="T204" i="4"/>
  <c r="U203" i="4"/>
  <c r="U208" i="4"/>
  <c r="U209" i="4"/>
  <c r="U210" i="4"/>
  <c r="T210" i="4"/>
  <c r="U227" i="4"/>
  <c r="T227" i="4"/>
  <c r="T184" i="4"/>
  <c r="U184" i="4"/>
  <c r="T202" i="4"/>
  <c r="T262" i="4"/>
  <c r="U262" i="4"/>
  <c r="S302" i="4"/>
  <c r="T307" i="4"/>
  <c r="U307" i="4"/>
  <c r="S308" i="4"/>
  <c r="T278" i="4"/>
  <c r="T300" i="4"/>
  <c r="U304" i="4"/>
  <c r="T304" i="4"/>
  <c r="H339" i="4"/>
  <c r="X339" i="4" s="1"/>
  <c r="O319" i="4"/>
  <c r="N319" i="4"/>
  <c r="Z319" i="4"/>
  <c r="K319" i="4"/>
  <c r="U327" i="4"/>
  <c r="T327" i="4"/>
  <c r="U333" i="4"/>
  <c r="T333" i="4"/>
  <c r="K182" i="4"/>
  <c r="T182" i="4"/>
  <c r="T188" i="4"/>
  <c r="H194" i="4"/>
  <c r="X194" i="4" s="1"/>
  <c r="K197" i="4"/>
  <c r="T197" i="4"/>
  <c r="K200" i="4"/>
  <c r="T200" i="4"/>
  <c r="T214" i="4"/>
  <c r="U217" i="4"/>
  <c r="S233" i="4"/>
  <c r="U237" i="4"/>
  <c r="U238" i="4"/>
  <c r="T238" i="4"/>
  <c r="T271" i="4"/>
  <c r="T277" i="4"/>
  <c r="U277" i="4"/>
  <c r="T313" i="4"/>
  <c r="U313" i="4"/>
  <c r="O366" i="4"/>
  <c r="N366" i="4"/>
  <c r="Z366" i="4"/>
  <c r="K366" i="4"/>
  <c r="U215" i="4"/>
  <c r="T215" i="4"/>
  <c r="U260" i="4"/>
  <c r="T260" i="4"/>
  <c r="U182" i="4"/>
  <c r="U218" i="4"/>
  <c r="T218" i="4"/>
  <c r="U219" i="4"/>
  <c r="T219" i="4"/>
  <c r="U267" i="4"/>
  <c r="T267" i="4"/>
  <c r="U272" i="4"/>
  <c r="T272" i="4"/>
  <c r="U312" i="4"/>
  <c r="T312" i="4"/>
  <c r="U337" i="4"/>
  <c r="T337" i="4"/>
  <c r="Z182" i="4"/>
  <c r="Z194" i="4" s="1"/>
  <c r="Z197" i="4"/>
  <c r="Z200" i="4"/>
  <c r="U222" i="4"/>
  <c r="T222" i="4"/>
  <c r="U223" i="4"/>
  <c r="U231" i="4"/>
  <c r="T231" i="4"/>
  <c r="U232" i="4"/>
  <c r="S247" i="4"/>
  <c r="U258" i="4"/>
  <c r="U259" i="4"/>
  <c r="U264" i="4"/>
  <c r="T264" i="4"/>
  <c r="U270" i="4"/>
  <c r="T270" i="4"/>
  <c r="U276" i="4"/>
  <c r="T276" i="4"/>
  <c r="O300" i="4"/>
  <c r="O304" i="4"/>
  <c r="N304" i="4"/>
  <c r="Z304" i="4"/>
  <c r="Z318" i="4" s="1"/>
  <c r="K304" i="4"/>
  <c r="H317" i="4"/>
  <c r="Z317" i="4" s="1"/>
  <c r="U321" i="4"/>
  <c r="U367" i="4"/>
  <c r="T367" i="4"/>
  <c r="N182" i="4"/>
  <c r="N197" i="4"/>
  <c r="N200" i="4"/>
  <c r="S225" i="4"/>
  <c r="T242" i="4"/>
  <c r="U242" i="4"/>
  <c r="S254" i="4"/>
  <c r="U283" i="4"/>
  <c r="T283" i="4"/>
  <c r="S299" i="4"/>
  <c r="T299" i="4" s="1"/>
  <c r="U342" i="4"/>
  <c r="T342" i="4"/>
  <c r="U343" i="4"/>
  <c r="T343" i="4"/>
  <c r="T356" i="4"/>
  <c r="U356" i="4"/>
  <c r="U357" i="4"/>
  <c r="T357" i="4"/>
  <c r="U361" i="4"/>
  <c r="T361" i="4"/>
  <c r="O197" i="4"/>
  <c r="U244" i="4"/>
  <c r="T244" i="4"/>
  <c r="U250" i="4"/>
  <c r="T250" i="4"/>
  <c r="U257" i="4"/>
  <c r="T257" i="4"/>
  <c r="U294" i="4"/>
  <c r="T294" i="4"/>
  <c r="U319" i="4"/>
  <c r="T319" i="4"/>
  <c r="O337" i="4"/>
  <c r="N337" i="4"/>
  <c r="Z337" i="4"/>
  <c r="K337" i="4"/>
  <c r="S224" i="4"/>
  <c r="O227" i="4"/>
  <c r="K226" i="4"/>
  <c r="N227" i="4"/>
  <c r="Z227" i="4"/>
  <c r="Z236" i="4" s="1"/>
  <c r="K227" i="4"/>
  <c r="H236" i="4"/>
  <c r="X236" i="4" s="1"/>
  <c r="U241" i="4"/>
  <c r="T241" i="4"/>
  <c r="U297" i="4"/>
  <c r="T297" i="4"/>
  <c r="U355" i="4"/>
  <c r="U366" i="4"/>
  <c r="T366" i="4"/>
  <c r="H352" i="4"/>
  <c r="Z352" i="4" s="1"/>
  <c r="O251" i="4"/>
  <c r="H253" i="4"/>
  <c r="X253" i="4" s="1"/>
  <c r="Z280" i="4"/>
  <c r="Z282" i="4" s="1"/>
  <c r="O290" i="4"/>
  <c r="O295" i="4"/>
  <c r="N300" i="4"/>
  <c r="H318" i="4"/>
  <c r="X318" i="4" s="1"/>
  <c r="Z324" i="4"/>
  <c r="Z348" i="4"/>
  <c r="H353" i="4"/>
  <c r="X353" i="4" s="1"/>
  <c r="U354" i="4"/>
  <c r="O361" i="4"/>
  <c r="O367" i="4"/>
  <c r="H371" i="4"/>
  <c r="X371" i="4" s="1"/>
  <c r="N280" i="4"/>
  <c r="Z285" i="4"/>
  <c r="Z288" i="4"/>
  <c r="N324" i="4"/>
  <c r="Z328" i="4"/>
  <c r="N331" i="4"/>
  <c r="Z344" i="4"/>
  <c r="N348" i="4"/>
  <c r="Z359" i="4"/>
  <c r="Z371" i="4" s="1"/>
  <c r="N285" i="4"/>
  <c r="N288" i="4"/>
  <c r="K315" i="4"/>
  <c r="N328" i="4"/>
  <c r="O331" i="4"/>
  <c r="N344" i="4"/>
  <c r="N359" i="4"/>
  <c r="K287" i="4"/>
  <c r="H298" i="4"/>
  <c r="Z298" i="4" s="1"/>
  <c r="Z333" i="4"/>
  <c r="T351" i="4"/>
  <c r="T358" i="4"/>
  <c r="K364" i="4"/>
  <c r="T364" i="4"/>
  <c r="T226" i="4"/>
  <c r="T229" i="4"/>
  <c r="N233" i="4"/>
  <c r="Z244" i="4"/>
  <c r="Z253" i="4" s="1"/>
  <c r="T248" i="4"/>
  <c r="T251" i="4"/>
  <c r="T255" i="4"/>
  <c r="T268" i="4"/>
  <c r="T274" i="4"/>
  <c r="Z283" i="4"/>
  <c r="Z299" i="4" s="1"/>
  <c r="T290" i="4"/>
  <c r="T295" i="4"/>
  <c r="S160" i="3"/>
  <c r="T160" i="3"/>
  <c r="S163" i="3"/>
  <c r="T163" i="3"/>
  <c r="T166" i="3"/>
  <c r="S166" i="3"/>
  <c r="R206" i="3"/>
  <c r="T218" i="3"/>
  <c r="S218" i="3"/>
  <c r="S159" i="3"/>
  <c r="T159" i="3"/>
  <c r="S168" i="3"/>
  <c r="R182" i="3"/>
  <c r="T168" i="3"/>
  <c r="T173" i="3"/>
  <c r="S173" i="3"/>
  <c r="S178" i="3"/>
  <c r="T178" i="3"/>
  <c r="T150" i="3"/>
  <c r="S150" i="3"/>
  <c r="T156" i="3"/>
  <c r="S156" i="3"/>
  <c r="T242" i="3"/>
  <c r="S242" i="3"/>
  <c r="T175" i="3"/>
  <c r="S175" i="3"/>
  <c r="T157" i="3"/>
  <c r="S157" i="3"/>
  <c r="T181" i="3"/>
  <c r="S181" i="3"/>
  <c r="N153" i="3"/>
  <c r="T149" i="3"/>
  <c r="S149" i="3"/>
  <c r="N167" i="3"/>
  <c r="T186" i="3"/>
  <c r="S186" i="3"/>
  <c r="T192" i="3"/>
  <c r="S192" i="3"/>
  <c r="T203" i="3"/>
  <c r="S203" i="3"/>
  <c r="T210" i="3"/>
  <c r="S210" i="3"/>
  <c r="R212" i="3"/>
  <c r="S214" i="3"/>
  <c r="T214" i="3"/>
  <c r="S241" i="3"/>
  <c r="T241" i="3"/>
  <c r="R245" i="3"/>
  <c r="T143" i="3"/>
  <c r="S143" i="3"/>
  <c r="R153" i="3"/>
  <c r="T155" i="3"/>
  <c r="S155" i="3"/>
  <c r="T183" i="3"/>
  <c r="S183" i="3"/>
  <c r="R198" i="3"/>
  <c r="T197" i="3"/>
  <c r="S197" i="3"/>
  <c r="S213" i="3"/>
  <c r="R222" i="3"/>
  <c r="T213" i="3"/>
  <c r="S145" i="3"/>
  <c r="T145" i="3"/>
  <c r="T148" i="3"/>
  <c r="S148" i="3"/>
  <c r="M182" i="3"/>
  <c r="T200" i="3"/>
  <c r="S200" i="3"/>
  <c r="T202" i="3"/>
  <c r="S202" i="3"/>
  <c r="T154" i="3"/>
  <c r="R167" i="3"/>
  <c r="S154" i="3"/>
  <c r="T161" i="3"/>
  <c r="S161" i="3"/>
  <c r="T185" i="3"/>
  <c r="S185" i="3"/>
  <c r="R231" i="3"/>
  <c r="T223" i="3"/>
  <c r="S223" i="3"/>
  <c r="S225" i="3"/>
  <c r="T225" i="3"/>
  <c r="J171" i="3"/>
  <c r="S171" i="3"/>
  <c r="K182" i="3"/>
  <c r="W182" i="3"/>
  <c r="J187" i="3"/>
  <c r="S187" i="3"/>
  <c r="S195" i="3"/>
  <c r="S199" i="3"/>
  <c r="S229" i="3"/>
  <c r="Y178" i="3"/>
  <c r="M190" i="3"/>
  <c r="T199" i="3"/>
  <c r="M215" i="3"/>
  <c r="G221" i="3"/>
  <c r="Y221" i="3" s="1"/>
  <c r="Y222" i="3" s="1"/>
  <c r="G198" i="3"/>
  <c r="W198" i="3" s="1"/>
  <c r="J157" i="3"/>
  <c r="M171" i="3"/>
  <c r="N182" i="3"/>
  <c r="M187" i="3"/>
  <c r="J192" i="3"/>
  <c r="J210" i="3"/>
  <c r="G222" i="3"/>
  <c r="W222" i="3" s="1"/>
  <c r="G230" i="3"/>
  <c r="Y230" i="3" s="1"/>
  <c r="Y145" i="3"/>
  <c r="Y153" i="3" s="1"/>
  <c r="G153" i="3"/>
  <c r="M154" i="3"/>
  <c r="G167" i="3"/>
  <c r="Y168" i="3"/>
  <c r="N171" i="3"/>
  <c r="J186" i="3"/>
  <c r="N187" i="3"/>
  <c r="S208" i="3"/>
  <c r="Y225" i="3"/>
  <c r="Y231" i="3" s="1"/>
  <c r="K153" i="3"/>
  <c r="Y157" i="3"/>
  <c r="Y167" i="3" s="1"/>
  <c r="Y192" i="3"/>
  <c r="Y198" i="3" s="1"/>
  <c r="T208" i="3"/>
  <c r="Y210" i="3"/>
  <c r="Y212" i="3" s="1"/>
  <c r="S61" i="2"/>
  <c r="S80" i="2"/>
  <c r="M95" i="2"/>
  <c r="R90" i="2"/>
  <c r="N95" i="2"/>
  <c r="K18" i="3"/>
  <c r="M18" i="3" s="1"/>
  <c r="L18" i="3"/>
  <c r="K25" i="3"/>
  <c r="M25" i="3" s="1"/>
  <c r="K43" i="3"/>
  <c r="L55" i="3"/>
  <c r="L25" i="3"/>
  <c r="N25" i="3" s="1"/>
  <c r="L73" i="3"/>
  <c r="L108" i="3"/>
  <c r="K55" i="3"/>
  <c r="K67" i="3"/>
  <c r="N74" i="3"/>
  <c r="K36" i="3"/>
  <c r="M36" i="3" s="1"/>
  <c r="M44" i="3"/>
  <c r="M81" i="3"/>
  <c r="M128" i="3"/>
  <c r="K108" i="3"/>
  <c r="L36" i="3"/>
  <c r="M56" i="3"/>
  <c r="L67" i="3"/>
  <c r="K73" i="3"/>
  <c r="M104" i="3"/>
  <c r="L135" i="3"/>
  <c r="S8" i="5"/>
  <c r="S19" i="5"/>
  <c r="S23" i="5"/>
  <c r="S32" i="5"/>
  <c r="S3" i="5"/>
  <c r="T8" i="5"/>
  <c r="S10" i="5"/>
  <c r="S14" i="5"/>
  <c r="T19" i="5"/>
  <c r="T28" i="5"/>
  <c r="T36" i="5"/>
  <c r="Y59" i="5"/>
  <c r="Y66" i="5"/>
  <c r="S21" i="5"/>
  <c r="S30" i="5"/>
  <c r="S34" i="5"/>
  <c r="S16" i="5"/>
  <c r="S24" i="5"/>
  <c r="T34" i="5"/>
  <c r="Y37" i="5"/>
  <c r="T169" i="4"/>
  <c r="U169" i="4"/>
  <c r="T132" i="4"/>
  <c r="U132" i="4"/>
  <c r="T150" i="4"/>
  <c r="U150" i="4"/>
  <c r="T173" i="4"/>
  <c r="U173" i="4"/>
  <c r="T139" i="4"/>
  <c r="U139" i="4"/>
  <c r="K173" i="4"/>
  <c r="Z173" i="4"/>
  <c r="T161" i="4"/>
  <c r="T160" i="4"/>
  <c r="K123" i="4"/>
  <c r="Z123" i="4"/>
  <c r="Z141" i="4" s="1"/>
  <c r="N123" i="4"/>
  <c r="O123" i="4"/>
  <c r="H141" i="4"/>
  <c r="T116" i="4"/>
  <c r="U116" i="4"/>
  <c r="U114" i="4"/>
  <c r="T92" i="4"/>
  <c r="U92" i="4"/>
  <c r="AC90" i="4"/>
  <c r="S158" i="4"/>
  <c r="N147" i="4"/>
  <c r="N144" i="4"/>
  <c r="O142" i="4"/>
  <c r="S136" i="4"/>
  <c r="T123" i="4"/>
  <c r="U123" i="4"/>
  <c r="T122" i="4"/>
  <c r="U122" i="4"/>
  <c r="U98" i="4"/>
  <c r="T98" i="4"/>
  <c r="T113" i="4"/>
  <c r="U113" i="4"/>
  <c r="T86" i="4"/>
  <c r="U86" i="4"/>
  <c r="T171" i="4"/>
  <c r="U171" i="4"/>
  <c r="U168" i="4"/>
  <c r="K164" i="4"/>
  <c r="Z164" i="4"/>
  <c r="Z175" i="4" s="1"/>
  <c r="U154" i="4"/>
  <c r="T133" i="4"/>
  <c r="U133" i="4"/>
  <c r="U131" i="4"/>
  <c r="T130" i="4"/>
  <c r="U130" i="4"/>
  <c r="S127" i="4"/>
  <c r="S141" i="4" s="1"/>
  <c r="T141" i="4" s="1"/>
  <c r="N93" i="4"/>
  <c r="T159" i="4"/>
  <c r="U159" i="4"/>
  <c r="T96" i="4"/>
  <c r="U96" i="4"/>
  <c r="T82" i="4"/>
  <c r="U82" i="4"/>
  <c r="S90" i="4"/>
  <c r="T90" i="4" s="1"/>
  <c r="T164" i="4"/>
  <c r="U164" i="4"/>
  <c r="T155" i="4"/>
  <c r="U155" i="4"/>
  <c r="Z156" i="4"/>
  <c r="U128" i="4"/>
  <c r="Z104" i="4"/>
  <c r="T119" i="4"/>
  <c r="U119" i="4"/>
  <c r="U162" i="4"/>
  <c r="T110" i="4"/>
  <c r="H175" i="4"/>
  <c r="X175" i="4" s="1"/>
  <c r="S147" i="4"/>
  <c r="S144" i="4"/>
  <c r="S142" i="4"/>
  <c r="U88" i="4"/>
  <c r="U84" i="4"/>
  <c r="U80" i="4"/>
  <c r="S78" i="4"/>
  <c r="U71" i="4"/>
  <c r="U67" i="4"/>
  <c r="U49" i="4"/>
  <c r="U45" i="4"/>
  <c r="K142" i="4"/>
  <c r="U108" i="4"/>
  <c r="U106" i="4"/>
  <c r="U102" i="4"/>
  <c r="U100" i="4"/>
  <c r="U62" i="4"/>
  <c r="U58" i="4"/>
  <c r="U54" i="4"/>
  <c r="U40" i="4"/>
  <c r="U36" i="4"/>
  <c r="U32" i="4"/>
  <c r="U15" i="4"/>
  <c r="U11" i="4"/>
  <c r="S64" i="4"/>
  <c r="S42" i="4"/>
  <c r="N162" i="4"/>
  <c r="U77" i="4"/>
  <c r="U73" i="4"/>
  <c r="U69" i="4"/>
  <c r="U65" i="4"/>
  <c r="U47" i="4"/>
  <c r="U43" i="4"/>
  <c r="U28" i="4"/>
  <c r="V28" i="4" s="1"/>
  <c r="U22" i="4"/>
  <c r="U34" i="4"/>
  <c r="U30" i="4"/>
  <c r="S20" i="4"/>
  <c r="U13" i="4"/>
  <c r="U9" i="4"/>
  <c r="T81" i="3"/>
  <c r="S81" i="3"/>
  <c r="R90" i="3"/>
  <c r="S84" i="3"/>
  <c r="T84" i="3"/>
  <c r="M86" i="3"/>
  <c r="N86" i="3"/>
  <c r="Y86" i="3"/>
  <c r="J86" i="3"/>
  <c r="R121" i="3"/>
  <c r="T109" i="3"/>
  <c r="S109" i="3"/>
  <c r="T113" i="3"/>
  <c r="S113" i="3"/>
  <c r="T130" i="3"/>
  <c r="S130" i="3"/>
  <c r="S98" i="3"/>
  <c r="T98" i="3"/>
  <c r="T128" i="3"/>
  <c r="S128" i="3"/>
  <c r="S133" i="3"/>
  <c r="T133" i="3"/>
  <c r="S18" i="3"/>
  <c r="T18" i="3"/>
  <c r="S96" i="3"/>
  <c r="T96" i="3"/>
  <c r="R135" i="3"/>
  <c r="S122" i="3"/>
  <c r="T122" i="3"/>
  <c r="T82" i="3"/>
  <c r="S82" i="3"/>
  <c r="S110" i="3"/>
  <c r="T110" i="3"/>
  <c r="S25" i="3"/>
  <c r="T25" i="3"/>
  <c r="T43" i="3"/>
  <c r="S43" i="3"/>
  <c r="S95" i="3"/>
  <c r="T95" i="3"/>
  <c r="T126" i="3"/>
  <c r="S126" i="3"/>
  <c r="S36" i="3"/>
  <c r="T36" i="3"/>
  <c r="T78" i="3"/>
  <c r="S78" i="3"/>
  <c r="T92" i="3"/>
  <c r="S92" i="3"/>
  <c r="T102" i="3"/>
  <c r="S102" i="3"/>
  <c r="T124" i="3"/>
  <c r="S124" i="3"/>
  <c r="T115" i="3"/>
  <c r="S115" i="3"/>
  <c r="Y43" i="3"/>
  <c r="R80" i="3"/>
  <c r="T77" i="3"/>
  <c r="S77" i="3"/>
  <c r="T86" i="3"/>
  <c r="S86" i="3"/>
  <c r="T88" i="3"/>
  <c r="S88" i="3"/>
  <c r="R108" i="3"/>
  <c r="T91" i="3"/>
  <c r="S91" i="3"/>
  <c r="S112" i="3"/>
  <c r="U112" i="3" s="1"/>
  <c r="T112" i="3"/>
  <c r="Y135" i="3"/>
  <c r="T8" i="3"/>
  <c r="N18" i="3"/>
  <c r="T19" i="3"/>
  <c r="T26" i="3"/>
  <c r="N36" i="3"/>
  <c r="T37" i="3"/>
  <c r="S45" i="3"/>
  <c r="S49" i="3"/>
  <c r="S53" i="3"/>
  <c r="R55" i="3"/>
  <c r="S57" i="3"/>
  <c r="S61" i="3"/>
  <c r="R67" i="3"/>
  <c r="G90" i="3"/>
  <c r="W90" i="3" s="1"/>
  <c r="S93" i="3"/>
  <c r="Y110" i="3"/>
  <c r="Y121" i="3" s="1"/>
  <c r="N115" i="3"/>
  <c r="S117" i="3"/>
  <c r="G121" i="3"/>
  <c r="W121" i="3" s="1"/>
  <c r="N126" i="3"/>
  <c r="S131" i="3"/>
  <c r="L43" i="3"/>
  <c r="G16" i="3"/>
  <c r="Y16" i="3" s="1"/>
  <c r="Y18" i="3" s="1"/>
  <c r="N71" i="3"/>
  <c r="J82" i="3"/>
  <c r="N92" i="3"/>
  <c r="M95" i="3"/>
  <c r="G108" i="3"/>
  <c r="W108" i="3" s="1"/>
  <c r="M110" i="3"/>
  <c r="K121" i="3"/>
  <c r="J128" i="3"/>
  <c r="L121" i="3"/>
  <c r="S10" i="3"/>
  <c r="S14" i="3"/>
  <c r="S21" i="3"/>
  <c r="S28" i="3"/>
  <c r="S32" i="3"/>
  <c r="S39" i="3"/>
  <c r="S71" i="3"/>
  <c r="R73" i="3"/>
  <c r="J74" i="3"/>
  <c r="Y74" i="3"/>
  <c r="Y80" i="3" s="1"/>
  <c r="K80" i="3"/>
  <c r="S85" i="3"/>
  <c r="Y87" i="3"/>
  <c r="S94" i="3"/>
  <c r="S101" i="3"/>
  <c r="S104" i="3"/>
  <c r="S118" i="3"/>
  <c r="S132" i="3"/>
  <c r="G135" i="3"/>
  <c r="W135" i="3" s="1"/>
  <c r="T74" i="3"/>
  <c r="M8" i="3"/>
  <c r="M19" i="3"/>
  <c r="M26" i="3"/>
  <c r="M37" i="3"/>
  <c r="S47" i="3"/>
  <c r="S59" i="3"/>
  <c r="S63" i="3"/>
  <c r="AB74" i="3"/>
  <c r="AB80" i="3" s="1"/>
  <c r="M82" i="3"/>
  <c r="Y96" i="3"/>
  <c r="J115" i="3"/>
  <c r="J126" i="3"/>
  <c r="K135" i="3"/>
  <c r="G80" i="3"/>
  <c r="W80" i="3" s="1"/>
  <c r="N8" i="3"/>
  <c r="N19" i="3"/>
  <c r="N26" i="3"/>
  <c r="Y104" i="3"/>
  <c r="Y108" i="3" s="1"/>
  <c r="S7" i="2"/>
  <c r="S16" i="2"/>
  <c r="T7" i="2"/>
  <c r="T11" i="2"/>
  <c r="S22" i="2"/>
  <c r="Y31" i="2"/>
  <c r="Y35" i="2"/>
  <c r="S2" i="2"/>
  <c r="T2" i="2"/>
  <c r="J34" i="2"/>
  <c r="M35" i="2"/>
  <c r="AC35" i="2"/>
  <c r="S6" i="2"/>
  <c r="S9" i="2"/>
  <c r="S14" i="2"/>
  <c r="S4" i="2"/>
  <c r="T6" i="2"/>
  <c r="T20" i="2"/>
  <c r="S24" i="2"/>
  <c r="T209" i="5" l="1"/>
  <c r="S209" i="5"/>
  <c r="T200" i="5"/>
  <c r="S200" i="5"/>
  <c r="S176" i="5"/>
  <c r="T176" i="5"/>
  <c r="S162" i="5"/>
  <c r="T162" i="5"/>
  <c r="S206" i="5"/>
  <c r="T206" i="5"/>
  <c r="S194" i="5"/>
  <c r="T194" i="5"/>
  <c r="S193" i="5"/>
  <c r="T193" i="5"/>
  <c r="T174" i="5"/>
  <c r="S174" i="5"/>
  <c r="T203" i="5"/>
  <c r="S203" i="5"/>
  <c r="T151" i="5"/>
  <c r="S151" i="5"/>
  <c r="S179" i="5"/>
  <c r="U179" i="5" s="1"/>
  <c r="T179" i="5"/>
  <c r="T172" i="5"/>
  <c r="S172" i="5"/>
  <c r="T167" i="5"/>
  <c r="S167" i="5"/>
  <c r="T164" i="5"/>
  <c r="S164" i="5"/>
  <c r="T208" i="5"/>
  <c r="S208" i="5"/>
  <c r="U208" i="5" s="1"/>
  <c r="T198" i="5"/>
  <c r="S198" i="5"/>
  <c r="S168" i="5"/>
  <c r="U168" i="5" s="1"/>
  <c r="T168" i="5"/>
  <c r="T173" i="5"/>
  <c r="S173" i="5"/>
  <c r="S210" i="5"/>
  <c r="T210" i="5"/>
  <c r="S192" i="5"/>
  <c r="T192" i="5"/>
  <c r="S163" i="5"/>
  <c r="T163" i="5"/>
  <c r="T187" i="5"/>
  <c r="S187" i="5"/>
  <c r="S199" i="5"/>
  <c r="T199" i="5"/>
  <c r="T159" i="5"/>
  <c r="S159" i="5"/>
  <c r="T195" i="5"/>
  <c r="S195" i="5"/>
  <c r="S170" i="5"/>
  <c r="T170" i="5"/>
  <c r="T189" i="5"/>
  <c r="S189" i="5"/>
  <c r="T182" i="5"/>
  <c r="S182" i="5"/>
  <c r="S185" i="5"/>
  <c r="T185" i="5"/>
  <c r="S186" i="5"/>
  <c r="T186" i="5"/>
  <c r="T166" i="5"/>
  <c r="S166" i="5"/>
  <c r="T154" i="5"/>
  <c r="S154" i="5"/>
  <c r="S177" i="5"/>
  <c r="T177" i="5"/>
  <c r="S197" i="5"/>
  <c r="U197" i="5" s="1"/>
  <c r="T197" i="5"/>
  <c r="T188" i="5"/>
  <c r="S188" i="5"/>
  <c r="U188" i="5" s="1"/>
  <c r="S190" i="5"/>
  <c r="T190" i="5"/>
  <c r="S178" i="5"/>
  <c r="T178" i="5"/>
  <c r="S171" i="5"/>
  <c r="U171" i="5" s="1"/>
  <c r="T171" i="5"/>
  <c r="T180" i="5"/>
  <c r="S180" i="5"/>
  <c r="T158" i="5"/>
  <c r="S158" i="5"/>
  <c r="U158" i="5" s="1"/>
  <c r="T165" i="5"/>
  <c r="S165" i="5"/>
  <c r="T153" i="5"/>
  <c r="S153" i="5"/>
  <c r="S160" i="5"/>
  <c r="T160" i="5"/>
  <c r="T196" i="5"/>
  <c r="S196" i="5"/>
  <c r="T152" i="5"/>
  <c r="S152" i="5"/>
  <c r="T175" i="5"/>
  <c r="S175" i="5"/>
  <c r="S161" i="5"/>
  <c r="T161" i="5"/>
  <c r="S169" i="5"/>
  <c r="T169" i="5"/>
  <c r="T202" i="5"/>
  <c r="S202" i="5"/>
  <c r="U202" i="5" s="1"/>
  <c r="S155" i="5"/>
  <c r="T155" i="5"/>
  <c r="T157" i="5"/>
  <c r="S157" i="5"/>
  <c r="S183" i="5"/>
  <c r="T183" i="5"/>
  <c r="S156" i="5"/>
  <c r="T156" i="5"/>
  <c r="S191" i="5"/>
  <c r="U191" i="5" s="1"/>
  <c r="T191" i="5"/>
  <c r="S207" i="5"/>
  <c r="T207" i="5"/>
  <c r="T204" i="5"/>
  <c r="S204" i="5"/>
  <c r="S205" i="5"/>
  <c r="T205" i="5"/>
  <c r="T181" i="5"/>
  <c r="S181" i="5"/>
  <c r="T201" i="5"/>
  <c r="S201" i="5"/>
  <c r="S184" i="5"/>
  <c r="T184" i="5"/>
  <c r="T144" i="5"/>
  <c r="S144" i="5"/>
  <c r="S146" i="5"/>
  <c r="T146" i="5"/>
  <c r="S149" i="5"/>
  <c r="T149" i="5"/>
  <c r="S147" i="5"/>
  <c r="T147" i="5"/>
  <c r="S148" i="5"/>
  <c r="T148" i="5"/>
  <c r="T145" i="5"/>
  <c r="S145" i="5"/>
  <c r="T143" i="5"/>
  <c r="S143" i="5"/>
  <c r="T142" i="5"/>
  <c r="S142" i="5"/>
  <c r="T139" i="5"/>
  <c r="S139" i="5"/>
  <c r="T138" i="5"/>
  <c r="S138" i="5"/>
  <c r="T135" i="5"/>
  <c r="S135" i="5"/>
  <c r="T132" i="5"/>
  <c r="S132" i="5"/>
  <c r="T131" i="5"/>
  <c r="S131" i="5"/>
  <c r="T129" i="5"/>
  <c r="S129" i="5"/>
  <c r="T122" i="5"/>
  <c r="S122" i="5"/>
  <c r="T118" i="5"/>
  <c r="S118" i="5"/>
  <c r="T117" i="5"/>
  <c r="S117" i="5"/>
  <c r="T116" i="5"/>
  <c r="S116" i="5"/>
  <c r="T115" i="5"/>
  <c r="S115" i="5"/>
  <c r="T114" i="5"/>
  <c r="S114" i="5"/>
  <c r="T102" i="5"/>
  <c r="S102" i="5"/>
  <c r="T101" i="5"/>
  <c r="S101" i="5"/>
  <c r="S95" i="5"/>
  <c r="T95" i="5"/>
  <c r="T86" i="5"/>
  <c r="S86" i="5"/>
  <c r="T83" i="5"/>
  <c r="S83" i="5"/>
  <c r="T81" i="5"/>
  <c r="S81" i="5"/>
  <c r="T75" i="5"/>
  <c r="S75" i="5"/>
  <c r="S73" i="5"/>
  <c r="T73" i="5"/>
  <c r="T69" i="5"/>
  <c r="S69" i="5"/>
  <c r="T67" i="5"/>
  <c r="S67" i="5"/>
  <c r="T65" i="5"/>
  <c r="S65" i="5"/>
  <c r="S63" i="5"/>
  <c r="T63" i="5"/>
  <c r="S59" i="5"/>
  <c r="T59" i="5"/>
  <c r="S57" i="5"/>
  <c r="T57" i="5"/>
  <c r="T55" i="5"/>
  <c r="S55" i="5"/>
  <c r="T51" i="5"/>
  <c r="S51" i="5"/>
  <c r="T50" i="5"/>
  <c r="S50" i="5"/>
  <c r="T49" i="5"/>
  <c r="S49" i="5"/>
  <c r="T45" i="5"/>
  <c r="S45" i="5"/>
  <c r="T43" i="5"/>
  <c r="S43" i="5"/>
  <c r="T39" i="5"/>
  <c r="T41" i="5"/>
  <c r="S41" i="5"/>
  <c r="T61" i="5"/>
  <c r="S111" i="5"/>
  <c r="T40" i="5"/>
  <c r="T85" i="5"/>
  <c r="T112" i="5"/>
  <c r="Y40" i="5"/>
  <c r="S100" i="5"/>
  <c r="S52" i="5"/>
  <c r="S72" i="5"/>
  <c r="T58" i="5"/>
  <c r="T82" i="5"/>
  <c r="S39" i="5"/>
  <c r="T130" i="5"/>
  <c r="T42" i="5"/>
  <c r="U42" i="5" s="1"/>
  <c r="S150" i="5"/>
  <c r="U150" i="5" s="1"/>
  <c r="S74" i="5"/>
  <c r="T141" i="5"/>
  <c r="S98" i="5"/>
  <c r="S108" i="5"/>
  <c r="S66" i="5"/>
  <c r="S93" i="5"/>
  <c r="S54" i="5"/>
  <c r="S136" i="5"/>
  <c r="T128" i="5"/>
  <c r="T137" i="5"/>
  <c r="T62" i="5"/>
  <c r="T46" i="5"/>
  <c r="S107" i="5"/>
  <c r="T125" i="5"/>
  <c r="T109" i="5"/>
  <c r="T68" i="5"/>
  <c r="T120" i="5"/>
  <c r="S78" i="5"/>
  <c r="S119" i="5"/>
  <c r="S97" i="5"/>
  <c r="S105" i="5"/>
  <c r="S77" i="5"/>
  <c r="S84" i="5"/>
  <c r="T103" i="5"/>
  <c r="S106" i="5"/>
  <c r="T89" i="5"/>
  <c r="S113" i="5"/>
  <c r="T133" i="5"/>
  <c r="T92" i="5"/>
  <c r="T79" i="5"/>
  <c r="S121" i="5"/>
  <c r="S123" i="5"/>
  <c r="S53" i="5"/>
  <c r="T47" i="5"/>
  <c r="S124" i="5"/>
  <c r="T96" i="5"/>
  <c r="T127" i="5"/>
  <c r="S90" i="5"/>
  <c r="S76" i="5"/>
  <c r="S88" i="5"/>
  <c r="S48" i="5"/>
  <c r="S56" i="5"/>
  <c r="T44" i="5"/>
  <c r="S44" i="5"/>
  <c r="S134" i="5"/>
  <c r="T134" i="5"/>
  <c r="S104" i="5"/>
  <c r="S138" i="2"/>
  <c r="U138" i="2" s="1"/>
  <c r="T62" i="2"/>
  <c r="S147" i="2"/>
  <c r="S73" i="2"/>
  <c r="S65" i="2"/>
  <c r="S90" i="2"/>
  <c r="T90" i="2"/>
  <c r="T81" i="2"/>
  <c r="T120" i="2"/>
  <c r="S72" i="2"/>
  <c r="S68" i="2"/>
  <c r="T147" i="2"/>
  <c r="S137" i="2"/>
  <c r="T107" i="2"/>
  <c r="T40" i="2"/>
  <c r="S40" i="2"/>
  <c r="T37" i="2"/>
  <c r="S37" i="2"/>
  <c r="S104" i="2"/>
  <c r="U104" i="2" s="1"/>
  <c r="T34" i="2"/>
  <c r="S101" i="2"/>
  <c r="S31" i="2"/>
  <c r="T31" i="2"/>
  <c r="T39" i="2"/>
  <c r="T29" i="2"/>
  <c r="S29" i="2"/>
  <c r="S111" i="2"/>
  <c r="U111" i="2" s="1"/>
  <c r="S113" i="2"/>
  <c r="T93" i="2"/>
  <c r="S134" i="2"/>
  <c r="U134" i="2" s="1"/>
  <c r="T46" i="2"/>
  <c r="S48" i="2"/>
  <c r="T106" i="2"/>
  <c r="T58" i="2"/>
  <c r="T97" i="2"/>
  <c r="S60" i="2"/>
  <c r="S98" i="2"/>
  <c r="T53" i="2"/>
  <c r="T115" i="2"/>
  <c r="T117" i="2"/>
  <c r="U117" i="2" s="1"/>
  <c r="S71" i="2"/>
  <c r="S42" i="2"/>
  <c r="S89" i="2"/>
  <c r="S136" i="2"/>
  <c r="U136" i="2" s="1"/>
  <c r="S132" i="2"/>
  <c r="T82" i="2"/>
  <c r="S45" i="2"/>
  <c r="T32" i="2"/>
  <c r="T69" i="2"/>
  <c r="T67" i="2"/>
  <c r="S59" i="2"/>
  <c r="S127" i="2"/>
  <c r="T105" i="2"/>
  <c r="T35" i="2"/>
  <c r="S102" i="2"/>
  <c r="U102" i="2" s="1"/>
  <c r="T66" i="2"/>
  <c r="T85" i="2"/>
  <c r="S133" i="2"/>
  <c r="T109" i="2"/>
  <c r="T33" i="2"/>
  <c r="S75" i="2"/>
  <c r="T50" i="2"/>
  <c r="S38" i="2"/>
  <c r="S78" i="2"/>
  <c r="T63" i="2"/>
  <c r="S88" i="2"/>
  <c r="S84" i="2"/>
  <c r="S139" i="2"/>
  <c r="U139" i="2" s="1"/>
  <c r="S123" i="2"/>
  <c r="S41" i="2"/>
  <c r="T70" i="2"/>
  <c r="S43" i="2"/>
  <c r="T56" i="2"/>
  <c r="S55" i="2"/>
  <c r="S49" i="2"/>
  <c r="U49" i="2" s="1"/>
  <c r="T74" i="2"/>
  <c r="S44" i="2"/>
  <c r="T43" i="2"/>
  <c r="T47" i="2"/>
  <c r="S114" i="2"/>
  <c r="T128" i="2"/>
  <c r="T96" i="2"/>
  <c r="S112" i="2"/>
  <c r="T51" i="2"/>
  <c r="T54" i="2"/>
  <c r="T83" i="2"/>
  <c r="R95" i="2"/>
  <c r="S95" i="2" s="1"/>
  <c r="S135" i="2"/>
  <c r="T130" i="2"/>
  <c r="S103" i="2"/>
  <c r="S129" i="2"/>
  <c r="S119" i="2"/>
  <c r="S87" i="2"/>
  <c r="S30" i="2"/>
  <c r="T64" i="2"/>
  <c r="S141" i="2"/>
  <c r="U141" i="2" s="1"/>
  <c r="T103" i="2"/>
  <c r="S124" i="2"/>
  <c r="S79" i="2"/>
  <c r="S122" i="2"/>
  <c r="S116" i="2"/>
  <c r="S118" i="2"/>
  <c r="S86" i="2"/>
  <c r="S99" i="2"/>
  <c r="S92" i="2"/>
  <c r="T126" i="2"/>
  <c r="S125" i="2"/>
  <c r="S140" i="2"/>
  <c r="T36" i="2"/>
  <c r="S28" i="2"/>
  <c r="S100" i="2"/>
  <c r="S77" i="2"/>
  <c r="S52" i="2"/>
  <c r="S76" i="2"/>
  <c r="S94" i="2"/>
  <c r="S108" i="2"/>
  <c r="U108" i="2" s="1"/>
  <c r="T121" i="2"/>
  <c r="T131" i="2"/>
  <c r="S142" i="2"/>
  <c r="T110" i="2"/>
  <c r="S57" i="2"/>
  <c r="S140" i="5"/>
  <c r="T140" i="5"/>
  <c r="T110" i="5"/>
  <c r="T99" i="5"/>
  <c r="S99" i="5"/>
  <c r="S87" i="5"/>
  <c r="T60" i="5"/>
  <c r="S126" i="5"/>
  <c r="S71" i="5"/>
  <c r="T126" i="5"/>
  <c r="T71" i="5"/>
  <c r="S64" i="5"/>
  <c r="T80" i="5"/>
  <c r="U581" i="4"/>
  <c r="T581" i="4"/>
  <c r="T456" i="4"/>
  <c r="U456" i="4"/>
  <c r="Z615" i="4"/>
  <c r="U454" i="4"/>
  <c r="T454" i="4"/>
  <c r="U387" i="4"/>
  <c r="T387" i="4"/>
  <c r="S390" i="4"/>
  <c r="S590" i="4"/>
  <c r="T459" i="4"/>
  <c r="U459" i="4"/>
  <c r="U592" i="4"/>
  <c r="T592" i="4"/>
  <c r="U458" i="4"/>
  <c r="T458" i="4"/>
  <c r="U314" i="3"/>
  <c r="S94" i="5"/>
  <c r="T94" i="5"/>
  <c r="T91" i="5"/>
  <c r="S70" i="5"/>
  <c r="T70" i="5"/>
  <c r="T340" i="4"/>
  <c r="U152" i="4"/>
  <c r="T323" i="4"/>
  <c r="U340" i="4"/>
  <c r="S282" i="4"/>
  <c r="T282" i="4" s="1"/>
  <c r="T315" i="4"/>
  <c r="S212" i="4"/>
  <c r="U212" i="4" s="1"/>
  <c r="U117" i="4"/>
  <c r="Z353" i="4"/>
  <c r="T355" i="4"/>
  <c r="T321" i="4"/>
  <c r="U280" i="4"/>
  <c r="U315" i="4"/>
  <c r="T125" i="4"/>
  <c r="U125" i="4"/>
  <c r="U95" i="4"/>
  <c r="T240" i="4"/>
  <c r="U240" i="4"/>
  <c r="T138" i="4"/>
  <c r="U138" i="4"/>
  <c r="U110" i="4"/>
  <c r="T95" i="4"/>
  <c r="Z212" i="4"/>
  <c r="T149" i="4"/>
  <c r="U149" i="4"/>
  <c r="U157" i="4"/>
  <c r="T157" i="4"/>
  <c r="T353" i="4"/>
  <c r="U302" i="4"/>
  <c r="T302" i="4"/>
  <c r="Z339" i="4"/>
  <c r="U225" i="4"/>
  <c r="T225" i="4"/>
  <c r="S236" i="4"/>
  <c r="U224" i="4"/>
  <c r="T224" i="4"/>
  <c r="U194" i="4"/>
  <c r="V194" i="4" s="1"/>
  <c r="T194" i="4"/>
  <c r="U233" i="4"/>
  <c r="T233" i="4"/>
  <c r="U254" i="4"/>
  <c r="S263" i="4"/>
  <c r="T254" i="4"/>
  <c r="U247" i="4"/>
  <c r="T247" i="4"/>
  <c r="U308" i="4"/>
  <c r="T308" i="4"/>
  <c r="T212" i="4"/>
  <c r="T212" i="3"/>
  <c r="S212" i="3"/>
  <c r="S153" i="3"/>
  <c r="T153" i="3"/>
  <c r="U153" i="3" s="1"/>
  <c r="T167" i="3"/>
  <c r="U167" i="3" s="1"/>
  <c r="S167" i="3"/>
  <c r="T198" i="3"/>
  <c r="S198" i="3"/>
  <c r="G248" i="3"/>
  <c r="W153" i="3"/>
  <c r="M153" i="3"/>
  <c r="T222" i="3"/>
  <c r="S222" i="3"/>
  <c r="T182" i="3"/>
  <c r="S182" i="3"/>
  <c r="Y182" i="3"/>
  <c r="T231" i="3"/>
  <c r="S231" i="3"/>
  <c r="W167" i="3"/>
  <c r="M167" i="3"/>
  <c r="T206" i="3"/>
  <c r="S206" i="3"/>
  <c r="T42" i="4"/>
  <c r="U42" i="4"/>
  <c r="V42" i="4" s="1"/>
  <c r="S156" i="4"/>
  <c r="T156" i="4" s="1"/>
  <c r="T142" i="4"/>
  <c r="U142" i="4"/>
  <c r="T175" i="4"/>
  <c r="S178" i="4"/>
  <c r="T64" i="4"/>
  <c r="U64" i="4"/>
  <c r="V64" i="4" s="1"/>
  <c r="T144" i="4"/>
  <c r="U144" i="4"/>
  <c r="T158" i="4"/>
  <c r="U158" i="4"/>
  <c r="T147" i="4"/>
  <c r="U147" i="4"/>
  <c r="T127" i="4"/>
  <c r="U127" i="4"/>
  <c r="X141" i="4"/>
  <c r="H178" i="4"/>
  <c r="T20" i="4"/>
  <c r="T178" i="4" s="1"/>
  <c r="U20" i="4"/>
  <c r="U78" i="4"/>
  <c r="T78" i="4"/>
  <c r="T136" i="4"/>
  <c r="U136" i="4"/>
  <c r="Y90" i="3"/>
  <c r="T73" i="3"/>
  <c r="S73" i="3"/>
  <c r="U43" i="3"/>
  <c r="T67" i="3"/>
  <c r="S67" i="3"/>
  <c r="U36" i="3"/>
  <c r="U25" i="3"/>
  <c r="S135" i="3"/>
  <c r="T90" i="3"/>
  <c r="S90" i="3"/>
  <c r="S80" i="3"/>
  <c r="T80" i="3"/>
  <c r="R138" i="3"/>
  <c r="S121" i="3"/>
  <c r="G138" i="3"/>
  <c r="T55" i="3"/>
  <c r="S55" i="3"/>
  <c r="S139" i="3" s="1"/>
  <c r="S108" i="3"/>
  <c r="U18" i="3"/>
  <c r="U164" i="5" l="1"/>
  <c r="U205" i="5"/>
  <c r="U193" i="5"/>
  <c r="U169" i="5"/>
  <c r="U160" i="5"/>
  <c r="U190" i="5"/>
  <c r="U67" i="5"/>
  <c r="U43" i="5"/>
  <c r="U99" i="5"/>
  <c r="U44" i="5"/>
  <c r="T95" i="2"/>
  <c r="V20" i="4"/>
  <c r="V224" i="4"/>
  <c r="U263" i="4"/>
  <c r="T263" i="4"/>
  <c r="U236" i="4"/>
  <c r="T236" i="4"/>
  <c r="V212" i="4"/>
  <c r="U182" i="3"/>
  <c r="U198" i="3"/>
  <c r="U206" i="3"/>
  <c r="U55" i="3"/>
  <c r="V236" i="4" l="1"/>
  <c r="V253" i="4" l="1"/>
  <c r="T253" i="4"/>
  <c r="U253" i="4"/>
  <c r="S253" i="4"/>
  <c r="AB253" i="4"/>
  <c r="S52" i="4"/>
  <c r="AC25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Personal4</author>
    <author>AJI OP</author>
    <author>OPS</author>
    <author>NEO</author>
  </authors>
  <commentList>
    <comment ref="N88" authorId="0" shapeId="0" xr:uid="{7C520CF6-1A92-43DD-A8BF-1288B571CD31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14 Hours 5 minute</t>
        </r>
      </text>
    </comment>
    <comment ref="M93" authorId="0" shapeId="0" xr:uid="{7341CD3D-C62F-4152-B927-E3180ECD564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79 Hours 5 minute</t>
        </r>
      </text>
    </comment>
    <comment ref="M94" authorId="0" shapeId="0" xr:uid="{97F5DEE9-225B-47A8-AB83-C2FEEE537DE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6 Hours 5 minute + Weather 4 Hours 55 minute</t>
        </r>
      </text>
    </comment>
    <comment ref="M95" authorId="0" shapeId="0" xr:uid="{196987C1-35A3-4911-98EF-5935D5B85865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33 Hours 25 minute</t>
        </r>
      </text>
    </comment>
    <comment ref="N98" authorId="0" shapeId="0" xr:uid="{C46E2C3E-6995-48FE-9234-F8FBC92729E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15 Hours 55 minute</t>
        </r>
      </text>
    </comment>
    <comment ref="M100" authorId="0" shapeId="0" xr:uid="{0A579364-E9DC-44EB-83EA-DD4F58580D2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46 Hours 25 Minute</t>
        </r>
      </text>
    </comment>
    <comment ref="M102" authorId="0" shapeId="0" xr:uid="{BE286B3F-E1BC-4DFD-B187-BFDD9F0385D9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 9 Hours 45 Minute
Awiting Coal  2 Hours  15 Minute</t>
        </r>
      </text>
    </comment>
    <comment ref="N102" authorId="0" shapeId="0" xr:uid="{3F052C99-8500-4227-9636-3FEDE9EA885C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- Single Crane 4 Hours
- Single Loader 2 Hours 50 Minute</t>
        </r>
      </text>
    </comment>
    <comment ref="M103" authorId="0" shapeId="0" xr:uid="{8E8ACCA6-A385-4CB6-9E2A-802A37C36D3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51 Hours </t>
        </r>
      </text>
    </comment>
    <comment ref="N105" authorId="1" shapeId="0" xr:uid="{0B34C44B-07DA-47A6-8115-E9A4EA1C03F7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Loading 2 Hours 30 minute</t>
        </r>
      </text>
    </comment>
    <comment ref="M106" authorId="0" shapeId="0" xr:uid="{950D9B10-72AA-4F74-ABCA-0118227152D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24 Hours 15 Minute
Awaiting Coal 12 Hours 20 minute</t>
        </r>
      </text>
    </comment>
    <comment ref="N106" authorId="0" shapeId="0" xr:uid="{792E707C-1A14-4C59-AD3C-5293271B703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9 Hours 4o minute</t>
        </r>
      </text>
    </comment>
    <comment ref="M107" authorId="0" shapeId="0" xr:uid="{EFEF7E45-DFAA-4D62-90C8-B5F5DC9882E9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20 Hours 40 Minute</t>
        </r>
      </text>
    </comment>
    <comment ref="N107" authorId="0" shapeId="0" xr:uid="{5B3A235F-76C2-4099-82F6-41E41A37855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 hour 5 minutes</t>
        </r>
      </text>
    </comment>
    <comment ref="M108" authorId="0" shapeId="0" xr:uid="{E78CC72D-B74F-4AA1-BC1F-0B354D0E231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7 Hours 30 minute
Awaiting Coal 8 Hours 20 minute
</t>
        </r>
      </text>
    </comment>
    <comment ref="N108" authorId="0" shapeId="0" xr:uid="{A0012430-C78E-4D91-90F2-979AB50E1E1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Loading 7 Hours 55 Minute</t>
        </r>
      </text>
    </comment>
    <comment ref="N110" authorId="0" shapeId="0" xr:uid="{5FAD6479-C5E9-4490-82DF-50DA6719210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Singe loader 4 Hours 30 minute</t>
        </r>
      </text>
    </comment>
    <comment ref="N111" authorId="0" shapeId="0" xr:uid="{BDBBDB4D-5A91-468E-8C71-D114E3ED28E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 Hour 45 minute
</t>
        </r>
      </text>
    </comment>
    <comment ref="N112" authorId="0" shapeId="0" xr:uid="{DFF5CDA5-8E70-4723-8344-4A0E1138681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 hour 30 minute</t>
        </r>
      </text>
    </comment>
    <comment ref="P112" authorId="0" shapeId="0" xr:uid="{197BE65D-AE58-45C4-A227-8B21C034B72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Supply 19.333 lt on "awaiting coal"</t>
        </r>
      </text>
    </comment>
    <comment ref="N114" authorId="0" shapeId="0" xr:uid="{D9E62FF6-7DA1-4E6A-8BE4-41C553B27BB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Loading 11 Hours 55 minute</t>
        </r>
      </text>
    </comment>
    <comment ref="M116" authorId="0" shapeId="0" xr:uid="{396BD1DC-F8A8-49F8-8BE5-68992F6005D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38 Hours 30 minute</t>
        </r>
      </text>
    </comment>
    <comment ref="P116" authorId="0" shapeId="0" xr:uid="{F0D617F0-BA42-4157-B8FF-04014EF1742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14.948</t>
        </r>
      </text>
    </comment>
    <comment ref="M117" authorId="0" shapeId="0" xr:uid="{B566FC6D-7835-4F72-BE89-61544F8490D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24 Hours 40 minute</t>
        </r>
      </text>
    </comment>
    <comment ref="N117" authorId="0" shapeId="0" xr:uid="{BEC82C59-6975-4C43-A579-61DD0397842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Singel loader 2 Hours 5 minute</t>
        </r>
      </text>
    </comment>
    <comment ref="P117" authorId="0" shapeId="0" xr:uid="{EC3205B3-4F21-4322-8F76-E5FC904470E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20.000
</t>
        </r>
      </text>
    </comment>
    <comment ref="M118" authorId="0" shapeId="0" xr:uid="{5E1A828C-FD30-4F41-B14A-5948B27AA94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27 Hours 30 Minute</t>
        </r>
      </text>
    </comment>
    <comment ref="N118" authorId="0" shapeId="0" xr:uid="{17F634E9-9035-42C2-9D92-8CC3C9D88F3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Singel loader 3 Hours 30 minute</t>
        </r>
      </text>
    </comment>
    <comment ref="M119" authorId="0" shapeId="0" xr:uid="{AB5955E4-C647-40D5-AB89-A8D00FFF51A7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38 Hours 50 Minute</t>
        </r>
      </text>
    </comment>
    <comment ref="N119" authorId="0" shapeId="0" xr:uid="{B22C4105-3FD7-42BB-994C-728FB839BA6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Repaired Drive pulley BC 1 Crane 2  8 hours</t>
        </r>
      </text>
    </comment>
    <comment ref="P119" authorId="0" shapeId="0" xr:uid="{5E6D93E7-3CF4-41F9-897F-856E4644312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20.000</t>
        </r>
      </text>
    </comment>
    <comment ref="N120" authorId="0" shapeId="0" xr:uid="{66AC23D6-A710-4594-9000-82719101F6A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BC 1 still have not good condition info from master</t>
        </r>
      </text>
    </comment>
    <comment ref="N121" authorId="0" shapeId="0" xr:uid="{CE7CA06A-B85B-4CFC-AB32-E92EAC64A9B7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BC 1 still have not good condition info from master</t>
        </r>
      </text>
    </comment>
    <comment ref="N122" authorId="0" shapeId="0" xr:uid="{1F210A79-548E-456F-BCD9-DD2A96D06FE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BC 1 still have not good condition info from master</t>
        </r>
      </text>
    </comment>
    <comment ref="P123" authorId="0" shapeId="0" xr:uid="{9D103D32-2BAE-4DF7-8508-B1A379639A0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14.994</t>
        </r>
      </text>
    </comment>
    <comment ref="N124" authorId="0" shapeId="0" xr:uid="{AFBB29FF-0815-41E8-924B-84A48A9611B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Loading 3 Hours 10 Minute</t>
        </r>
      </text>
    </comment>
    <comment ref="N125" authorId="0" shapeId="0" xr:uid="{C41FDAD4-028F-4E76-929E-A45221255D6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1 Hour 15 minute</t>
        </r>
      </text>
    </comment>
    <comment ref="P125" authorId="0" shapeId="0" xr:uid="{2AC4806C-8151-40A5-A393-D57C7366394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14.994</t>
        </r>
      </text>
    </comment>
    <comment ref="N126" authorId="0" shapeId="0" xr:uid="{FE4190CC-50BC-4CA9-ADB9-99550C37065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5 Hours 35 minute</t>
        </r>
      </text>
    </comment>
    <comment ref="P126" authorId="0" shapeId="0" xr:uid="{CE52329E-A36F-4D7D-A3F4-A8A40CCE502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19.957
</t>
        </r>
      </text>
    </comment>
    <comment ref="N127" authorId="0" shapeId="0" xr:uid="{545CF981-E199-4CD7-B19C-28FFC078FFD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- Single loader 3 Hours 15 minute
- Stop ops due to cleaning transfer point BC3 to BC4/5 blocked cause cargo wet and sticky 1 Hour 40 minute</t>
        </r>
      </text>
    </comment>
    <comment ref="P128" authorId="0" shapeId="0" xr:uid="{C4425C3C-2028-49A1-8D23-906A7FD8A565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19.953</t>
        </r>
      </text>
    </comment>
    <comment ref="N129" authorId="1" shapeId="0" xr:uid="{F209E32D-DCD2-400E-8330-431D2ED8EE0C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Single Loader 5 Hours 25 Minute</t>
        </r>
      </text>
    </comment>
    <comment ref="P129" authorId="0" shapeId="0" xr:uid="{C1154518-E438-4F16-8EAB-F6976C9610F9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Received 19.953</t>
        </r>
      </text>
    </comment>
    <comment ref="N130" authorId="1" shapeId="0" xr:uid="{C636EF79-7FA8-4C35-B03F-9FA01B8D7160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loader 2 hours 10 minute</t>
        </r>
      </text>
    </comment>
    <comment ref="P130" authorId="1" shapeId="0" xr:uid="{A6D47A87-9752-4B6A-8706-28FEF6782FD6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Received 19.958</t>
        </r>
      </text>
    </comment>
    <comment ref="P131" authorId="1" shapeId="0" xr:uid="{5ABFF17D-A1A1-4421-B659-C988E0137C88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Received 14.959
</t>
        </r>
      </text>
    </comment>
    <comment ref="N132" authorId="1" shapeId="0" xr:uid="{0995D75C-2580-4492-8CBB-AD888A3A5853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Single Loader 3 Hours
</t>
        </r>
      </text>
    </comment>
    <comment ref="N133" authorId="1" shapeId="0" xr:uid="{25A3E4C1-8A24-4149-AE9E-6E0F0325F169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Single Loader 4 Hours 25 Minute
</t>
        </r>
      </text>
    </comment>
    <comment ref="N134" authorId="1" shapeId="0" xr:uid="{5B26BB33-A559-4722-8FC2-A5059CBA3DA4}">
      <text>
        <r>
          <rPr>
            <b/>
            <sz val="9"/>
            <color indexed="81"/>
            <rFont val="Tahoma"/>
            <family val="2"/>
          </rPr>
          <t>AJI OP:</t>
        </r>
        <r>
          <rPr>
            <sz val="9"/>
            <color indexed="81"/>
            <rFont val="Tahoma"/>
            <family val="2"/>
          </rPr>
          <t xml:space="preserve">
Single Loader 8 Hours 30 Minute
</t>
        </r>
      </text>
    </comment>
    <comment ref="N135" authorId="1" shapeId="0" xr:uid="{5B22E613-6E8E-4C02-80A9-4C45E67F07A7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loading 3 Hours 15 Minute</t>
        </r>
      </text>
    </comment>
    <comment ref="P135" authorId="1" shapeId="0" xr:uid="{09D9A12D-AEAE-4AB3-8301-F56499B98102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Received 19.951 lt
</t>
        </r>
      </text>
    </comment>
    <comment ref="M136" authorId="1" shapeId="0" xr:uid="{FB8140FF-F4FA-4C10-A6DC-CE8871594252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Awaiting Coal 46 Hours 20 minute</t>
        </r>
      </text>
    </comment>
    <comment ref="N136" authorId="1" shapeId="0" xr:uid="{F415C331-BF2F-47B8-A5ED-0E29CADB3174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loading 1 Hour 45 Minute</t>
        </r>
      </text>
    </comment>
    <comment ref="P136" authorId="1" shapeId="0" xr:uid="{B245990A-FF5A-4B2D-9B30-26CE21313A79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Received 39.893 lt
</t>
        </r>
      </text>
    </comment>
    <comment ref="M137" authorId="1" shapeId="0" xr:uid="{05BEEC4A-FBAE-4C32-8953-3F08ABAE8B06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 1. Weather 57 Hours 32 minute (Tcp)
2. Awaiting Coal 53 Hours 50 Minute</t>
        </r>
      </text>
    </comment>
    <comment ref="N137" authorId="1" shapeId="0" xr:uid="{36353D30-22D7-4A6A-A2CF-1013064CF6D0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1. Single loading 3 Hours 50 Minute
2. Awaiting Coal 53 Hours 50 Minute</t>
        </r>
      </text>
    </comment>
    <comment ref="M138" authorId="1" shapeId="0" xr:uid="{B16FD2CC-52A4-4D9A-B253-69A246E86102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1.Awaiting Coal 162 Hours 43 minute
2. Weather 154 Hours 18 Minute</t>
        </r>
      </text>
    </comment>
    <comment ref="N138" authorId="2" shapeId="0" xr:uid="{72A3E46D-463E-4F9D-B13C-7C232657FFA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50 minute</t>
        </r>
      </text>
    </comment>
    <comment ref="N139" authorId="2" shapeId="0" xr:uid="{B078F601-BE9B-42F6-A9CA-ACAAC31CCC2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6 Hours 45 Minute</t>
        </r>
      </text>
    </comment>
    <comment ref="N140" authorId="2" shapeId="0" xr:uid="{E36E51F3-0787-415C-8908-5512A2E3736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6 Hours 35 Minute</t>
        </r>
      </text>
    </comment>
    <comment ref="N141" authorId="2" shapeId="0" xr:uid="{27FA70D3-32F6-474C-B19D-FDF9CB845CF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22 Hours 50 minute</t>
        </r>
      </text>
    </comment>
    <comment ref="N142" authorId="2" shapeId="0" xr:uid="{799CD52F-01A2-4582-B37A-B9340E3B1EC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8 Hours</t>
        </r>
      </text>
    </comment>
    <comment ref="N148" authorId="2" shapeId="0" xr:uid="{BCBCDCB4-8266-4179-876F-DBF294F8A36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
7 Hours 35 Minute</t>
        </r>
      </text>
    </comment>
    <comment ref="M151" authorId="2" shapeId="0" xr:uid="{F3E7D83E-899B-4506-A4BE-EC9969E76E5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68 Hours 40 minute &amp;  Weather 4 Hours 40 minute</t>
        </r>
      </text>
    </comment>
    <comment ref="M156" authorId="2" shapeId="0" xr:uid="{94DAE3B0-6534-4280-BBB9-43F71FC8CA8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5 Hours 55 minutes
</t>
        </r>
      </text>
    </comment>
    <comment ref="N156" authorId="2" shapeId="0" xr:uid="{B126ADEC-EA99-4D40-B669-DC0EC9FD336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Breakdown : CARGO STUCK ON BC-3 DUE TO SAMPLING MACHINE ERROR 4 Hours
Single loading 5 Hours 55 minutes</t>
        </r>
      </text>
    </comment>
    <comment ref="Q156" authorId="2" shapeId="0" xr:uid="{06746CAB-FF01-41BE-8C58-A2A42B98329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5000 liter to loading Yun Mi Feng</t>
        </r>
      </text>
    </comment>
    <comment ref="N157" authorId="2" shapeId="0" xr:uid="{0C124FF8-3078-46FA-97D7-22022A0E78F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7 Hours 55 Minutes</t>
        </r>
      </text>
    </comment>
    <comment ref="N158" authorId="2" shapeId="0" xr:uid="{D4A5B749-C7D0-41D8-A2E7-8D9AC4B08B1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13 Hours 45 Minutes</t>
        </r>
      </text>
    </comment>
    <comment ref="N160" authorId="2" shapeId="0" xr:uid="{33010C0D-87F2-4E74-8A46-98B9EAB4B34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26 Hours 10 Minutes</t>
        </r>
      </text>
    </comment>
    <comment ref="N161" authorId="2" shapeId="0" xr:uid="{636C62A4-0EAB-4045-B090-8B871969766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 - Single loading 16 Hours 50 Minute
- Single Crane 1 Hour 45 minute (REPLACED HOSE NO.172 ON CRANE NO.2)</t>
        </r>
      </text>
    </comment>
    <comment ref="E162" authorId="2" shapeId="0" xr:uid="{95910280-DD48-491E-AF63-0802CC66A4A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
</t>
        </r>
      </text>
    </comment>
    <comment ref="N162" authorId="2" shapeId="0" xr:uid="{490CA41B-9502-41D7-85BF-CF6C6D2C962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9 Hours 20 Minute</t>
        </r>
      </text>
    </comment>
    <comment ref="N164" authorId="2" shapeId="0" xr:uid="{18B43EEB-0249-410C-8D74-3575DD2AD92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18 Hours</t>
        </r>
      </text>
    </comment>
    <comment ref="M168" authorId="2" shapeId="0" xr:uid="{B52CFFD2-BF18-4C42-BE14-1F1305104D4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3 Hours 20 minutes</t>
        </r>
      </text>
    </comment>
    <comment ref="N168" authorId="2" shapeId="0" xr:uid="{DD01572C-2066-41A6-BB97-E51B4CA5AA5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Crane 14 Hours 15 Minutes
2. Single loading 13 Hours 10 Minutes
</t>
        </r>
      </text>
    </comment>
    <comment ref="M169" authorId="2" shapeId="0" xr:uid="{BDDC6B1F-9C7B-425C-8322-D3DA6C2FAB6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22 Hours 55 Minute</t>
        </r>
      </text>
    </comment>
    <comment ref="N169" authorId="2" shapeId="0" xr:uid="{0EC86384-DA63-4FF0-93CA-EF7F950F40A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29 Hours 5 minutes
</t>
        </r>
      </text>
    </comment>
    <comment ref="N170" authorId="2" shapeId="0" xr:uid="{671CB2E0-08FE-4B7D-B3DD-34B1E999DB2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loading 30 Hours 15 minutes
2. Single Crane 5 Hours 30 mintes Replace Slewing Brake Motor No.1 on Crane no.2
</t>
        </r>
      </text>
    </comment>
    <comment ref="N173" authorId="2" shapeId="0" xr:uid="{FE32A2A8-077D-42C9-B796-E7783AD1030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 Hour 40 minutes (Replace Hose Hydraulic pos 560 due to Leaking on Crane no.1)
</t>
        </r>
      </text>
    </comment>
    <comment ref="M174" authorId="2" shapeId="0" xr:uid="{DA46D1AF-11B7-4540-B811-C0653313280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44 Hours 40 minutes</t>
        </r>
      </text>
    </comment>
    <comment ref="M177" authorId="2" shapeId="0" xr:uid="{68ADA7CE-020D-4E49-9147-13EAC2F0F47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65 Hours
35 minutes</t>
        </r>
      </text>
    </comment>
    <comment ref="N178" authorId="2" shapeId="0" xr:uid="{DE54A30C-9E29-4AC3-89D8-646E4D6EAA8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Lagging Head pulley BC 1 broken ( Partial ) 7 Hours 45 minutes</t>
        </r>
      </text>
    </comment>
    <comment ref="M184" authorId="2" shapeId="0" xr:uid="{069D50C9-5490-4E33-AD8E-59F4D45AAEF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34 hours 25 minutes</t>
        </r>
      </text>
    </comment>
    <comment ref="N189" authorId="2" shapeId="0" xr:uid="{768BB6FF-F65A-4C1C-91E4-4ECCE20CF33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10 hours 5 minutes</t>
        </r>
      </text>
    </comment>
    <comment ref="N191" authorId="2" shapeId="0" xr:uid="{5F9CDDBB-1A57-48E4-A02C-5C2F127321F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Loading 2 Grade material
-Single loading 31 Hours 35 minutes</t>
        </r>
      </text>
    </comment>
    <comment ref="N192" authorId="2" shapeId="0" xr:uid="{CB20CE51-8B04-45C3-9657-705E24705D3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Breakdown
Stop loading due to Crane1 and Crane2 electrical trouble 13 Hours 15 Minute
2. Single loading 27 hours 45 minute
3. Single Crane 29 Hours 30 minute</t>
        </r>
      </text>
    </comment>
    <comment ref="N193" authorId="2" shapeId="0" xr:uid="{4FA3427E-8582-48F2-99C5-4E196E7D5F1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 hours 10 minutes
Single Crane 14 Hours</t>
        </r>
      </text>
    </comment>
    <comment ref="N196" authorId="2" shapeId="0" xr:uid="{E3AEB819-9A55-4B3B-B572-651776A65E4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6 Hours</t>
        </r>
      </text>
    </comment>
    <comment ref="N202" authorId="2" shapeId="0" xr:uid="{D4106AA9-451A-4852-801D-3305E85F634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11 Hours 10 minute</t>
        </r>
      </text>
    </comment>
    <comment ref="N203" authorId="2" shapeId="0" xr:uid="{E423EEF7-CB11-4CB0-AC5C-B351D3C72CC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 Hours 20 minute</t>
        </r>
      </text>
    </comment>
    <comment ref="N205" authorId="2" shapeId="0" xr:uid="{E358FC42-41D1-4E9B-BF79-3435D5DAC51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50 minute</t>
        </r>
      </text>
    </comment>
    <comment ref="M206" authorId="2" shapeId="0" xr:uid="{91B28921-4C5B-47B0-A7BC-851649611A0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47 Hours</t>
        </r>
      </text>
    </comment>
    <comment ref="N206" authorId="2" shapeId="0" xr:uid="{87BC1461-C539-4ABD-8442-1D0785D2C5B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6 hours 10 minute</t>
        </r>
      </text>
    </comment>
    <comment ref="N207" authorId="2" shapeId="0" xr:uid="{01E747D3-F1ED-4A98-A6B1-F19652A54BA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 hours 35 minute</t>
        </r>
      </text>
    </comment>
    <comment ref="N208" authorId="2" shapeId="0" xr:uid="{8C9CB9CA-CE8F-4A8A-B2F8-C992164BB7F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 - Stopped loading due to Repairing SHL No.2 9 Hours
- Single loading 11 hours 40 minute</t>
        </r>
      </text>
    </comment>
    <comment ref="N209" authorId="2" shapeId="0" xr:uid="{871DC535-4CC9-4612-9F12-1F06A707A6E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4 hours 10 minute</t>
        </r>
      </text>
    </comment>
    <comment ref="N210" authorId="2" shapeId="0" xr:uid="{0CFF086D-C3C0-41B2-8B23-0BA1D9DF0FE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6 hours</t>
        </r>
      </text>
    </comment>
    <comment ref="N214" authorId="2" shapeId="0" xr:uid="{5C0E0618-566E-4C56-ABEF-D421A84437C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8 hours 30 minute</t>
        </r>
      </text>
    </comment>
    <comment ref="M215" authorId="2" shapeId="0" xr:uid="{AF061C1D-D0B5-442B-A2D0-CFBBDD42589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9 Hours 45 minute</t>
        </r>
      </text>
    </comment>
    <comment ref="N221" authorId="2" shapeId="0" xr:uid="{EE3E5694-A01B-450A-907B-EC421FB2905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laoding 11 Hours</t>
        </r>
      </text>
    </comment>
    <comment ref="N222" authorId="2" shapeId="0" xr:uid="{CDF1BEDF-773D-4EA1-9412-15599E8AFEF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 hours 50 minute and cargo more high temperature (above 50) so loading slowly</t>
        </r>
      </text>
    </comment>
    <comment ref="N227" authorId="2" shapeId="0" xr:uid="{65150428-3BE5-48C6-9F93-066F9119FA3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7 Hours 20 minute</t>
        </r>
      </text>
    </comment>
    <comment ref="N228" authorId="2" shapeId="0" xr:uid="{E3B55C20-41B0-4799-8506-FDEC31A8A8D1}">
      <text>
        <r>
          <rPr>
            <b/>
            <sz val="10"/>
            <color indexed="81"/>
            <rFont val="Tahoma"/>
            <family val="2"/>
          </rPr>
          <t xml:space="preserve">OPS:
</t>
        </r>
        <r>
          <rPr>
            <sz val="10"/>
            <color indexed="81"/>
            <rFont val="Tahoma"/>
            <family val="2"/>
          </rPr>
          <t>Single loading 7 Hours 20 minute</t>
        </r>
      </text>
    </comment>
    <comment ref="N230" authorId="2" shapeId="0" xr:uid="{FCDB5BF3-D615-4623-A394-F001579E08D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 Hours</t>
        </r>
      </text>
    </comment>
    <comment ref="N231" authorId="2" shapeId="0" xr:uid="{6B722F90-FB22-42C0-B2F1-AEB48C1E4AA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 Hours 35 minutes</t>
        </r>
      </text>
    </comment>
    <comment ref="M232" authorId="2" shapeId="0" xr:uid="{0530AFD4-A9BB-41BA-BDAB-180BBD76FE3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22 hours 15 minute</t>
        </r>
      </text>
    </comment>
    <comment ref="N232" authorId="2" shapeId="0" xr:uid="{689F454A-9A0D-4609-A3B8-C97B745139C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8 Hours 25 minutes</t>
        </r>
      </text>
    </comment>
    <comment ref="N234" authorId="2" shapeId="0" xr:uid="{5996004D-1AB0-4684-8BF3-E03C7CA01F1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10 Hours</t>
        </r>
      </text>
    </comment>
    <comment ref="N235" authorId="2" shapeId="0" xr:uid="{E9DB3635-4603-4CAA-91BC-ADA24A431B3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 hours 55 minute</t>
        </r>
      </text>
    </comment>
    <comment ref="M236" authorId="2" shapeId="0" xr:uid="{1E089924-CF33-4CE6-A564-EB2716E44DF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49 Hours 20 Minute</t>
        </r>
      </text>
    </comment>
    <comment ref="N236" authorId="2" shapeId="0" xr:uid="{59B8065E-D30A-44E2-B649-0D6FAC93501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7 hours 55 minute</t>
        </r>
      </text>
    </comment>
    <comment ref="N237" authorId="2" shapeId="0" xr:uid="{AA07979A-1779-45A9-B678-2D6B464AF13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 hours 40 minute</t>
        </r>
      </text>
    </comment>
    <comment ref="N238" authorId="2" shapeId="0" xr:uid="{C13EDB14-0072-4D2A-85A8-F9F3B12433E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20 minute</t>
        </r>
      </text>
    </comment>
    <comment ref="M239" authorId="2" shapeId="0" xr:uid="{0AB97215-E1EC-4A0C-B08A-6D5276B2750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sticky cargo 8 hours 40 Minute</t>
        </r>
      </text>
    </comment>
    <comment ref="N240" authorId="2" shapeId="0" xr:uid="{B92E58B2-F3FA-4796-B7EC-A50BFBC0383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 hours 20 minute</t>
        </r>
      </text>
    </comment>
    <comment ref="N241" authorId="2" shapeId="0" xr:uid="{0BE39293-C565-4671-AEDE-97A3BC6F4E4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 Hour 45 minutes</t>
        </r>
      </text>
    </comment>
    <comment ref="N242" authorId="2" shapeId="0" xr:uid="{2BE9339F-B85B-4BBD-BCB1-7F1C6FE1878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 hours 15 minute</t>
        </r>
      </text>
    </comment>
    <comment ref="N243" authorId="2" shapeId="0" xr:uid="{0293BBF9-5BE1-4141-B8AC-D169CD615D1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 Hours 50 minute</t>
        </r>
      </text>
    </comment>
    <comment ref="M244" authorId="2" shapeId="0" xr:uid="{A75DC679-2E9D-4BDC-9B46-2890030B720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for sticky cargo 5 Hours 50 Minute</t>
        </r>
      </text>
    </comment>
    <comment ref="N244" authorId="2" shapeId="0" xr:uid="{9B70F229-3AE1-4DAC-B67D-94719264B13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6 hours 55 minute </t>
        </r>
      </text>
    </comment>
    <comment ref="M245" authorId="2" shapeId="0" xr:uid="{01A7B643-5F66-4866-B757-E288AF43BE7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32 Hours 50 Minutes</t>
        </r>
      </text>
    </comment>
    <comment ref="N246" authorId="2" shapeId="0" xr:uid="{11D405D1-8534-4E13-B20D-C624239AAFC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Stop Loading Ops due to Trouble SHL no.2 - 11 hours 30 minute</t>
        </r>
      </text>
    </comment>
    <comment ref="M247" authorId="2" shapeId="0" xr:uid="{BCF24EC7-356D-443D-BCDA-FEF98E78D00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25 hours 30 minute</t>
        </r>
      </text>
    </comment>
    <comment ref="N247" authorId="2" shapeId="0" xr:uid="{D808EA35-C95B-48ED-BCEF-0A340E84C81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 hours 40 minute</t>
        </r>
      </text>
    </comment>
    <comment ref="M248" authorId="2" shapeId="0" xr:uid="{7343A53B-0A95-4469-941D-ADA520D6F9C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15 hours 30 minute</t>
        </r>
      </text>
    </comment>
    <comment ref="N248" authorId="2" shapeId="0" xr:uid="{BBB33298-4CE8-41D1-ACB4-35D00E4F4CC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13 hours 25 minute</t>
        </r>
      </text>
    </comment>
    <comment ref="M250" authorId="2" shapeId="0" xr:uid="{D1DB8A5A-7832-4014-B847-AA99865ADC7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48 hour 10 minute</t>
        </r>
      </text>
    </comment>
    <comment ref="N255" authorId="2" shapeId="0" xr:uid="{8AC82F96-D161-47E6-9204-5CC4CECCF06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 hour 45 minutes</t>
        </r>
      </text>
    </comment>
    <comment ref="E256" authorId="2" shapeId="0" xr:uid="{73D6C35D-F2E8-4FF2-9DF8-484C46D8ED6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1st Loading 06.03.22  12:00  to 08.03.22  06:10
2nd Loading 09.03.22  13:30  to 10.03.22  11:00</t>
        </r>
      </text>
    </comment>
    <comment ref="M256" authorId="2" shapeId="0" xr:uid="{561071CF-5E41-43FD-ABC6-8D96E6C7B90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Cast off shifting to MV Chang Ming 31 hours 20 minutes</t>
        </r>
      </text>
    </comment>
    <comment ref="M262" authorId="2" shapeId="0" xr:uid="{6FF88FD8-61B3-454F-8196-6C9FBB64565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4 hours 10 minutes
weather 17 hours 30 minutes</t>
        </r>
      </text>
    </comment>
    <comment ref="N262" authorId="2" shapeId="0" xr:uid="{931A340F-897D-4A84-86B5-4BD617C8962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38 hours 50 minutes</t>
        </r>
      </text>
    </comment>
    <comment ref="N266" authorId="2" shapeId="0" xr:uid="{15053424-9FB5-4C54-A7FC-F62A5E8E712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8 hours 15 minute</t>
        </r>
      </text>
    </comment>
    <comment ref="N269" authorId="2" shapeId="0" xr:uid="{D1FAADC4-EC6B-4CBD-8AF0-06F668FDD62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 hour 20 minutes</t>
        </r>
      </text>
    </comment>
    <comment ref="N270" authorId="2" shapeId="0" xr:uid="{F9EDA2B6-EAFE-46F9-AA3B-CC49A749A25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45 hours 20 minute</t>
        </r>
      </text>
    </comment>
    <comment ref="N273" authorId="2" shapeId="0" xr:uid="{6D0ADB34-D7DA-42A1-85C7-2593A366F68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13 hours 35 minute</t>
        </r>
      </text>
    </comment>
    <comment ref="M274" authorId="2" shapeId="0" xr:uid="{62365602-E7D7-4F5E-A987-15FE96A8B3A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14 hours 20 minute</t>
        </r>
      </text>
    </comment>
    <comment ref="N274" authorId="2" shapeId="0" xr:uid="{07D774F1-5F8E-4733-A5CB-DBB33C5E191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8 hours 44 minute</t>
        </r>
      </text>
    </comment>
    <comment ref="N275" authorId="2" shapeId="0" xr:uid="{8278276F-F4FD-4C95-A6F5-45FD5150E79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 hours 30 minute</t>
        </r>
      </text>
    </comment>
    <comment ref="N276" authorId="2" shapeId="0" xr:uid="{DF42211D-859F-4382-B8DB-E740CCFC123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4 hours 45 minutes</t>
        </r>
      </text>
    </comment>
    <comment ref="M277" authorId="2" shapeId="0" xr:uid="{74A08EE1-F7EB-4E45-AE02-6013ACF8628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5 Hours
Sticky cargo 2 hours 10 minutes</t>
        </r>
      </text>
    </comment>
    <comment ref="N277" authorId="2" shapeId="0" xr:uid="{C86CC0CE-16A8-4CA6-BCD5-289E9293D5B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18 hours 30 minutes - completed loading</t>
        </r>
      </text>
    </comment>
    <comment ref="N283" authorId="2" shapeId="0" xr:uid="{9597CDD4-9F0A-4283-93DF-6D29BF9E975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9 hours 35 minutes</t>
        </r>
      </text>
    </comment>
    <comment ref="M284" authorId="2" shapeId="0" xr:uid="{E2363888-A7E6-49D7-80A1-7BF00388551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 hours 40 minute</t>
        </r>
      </text>
    </comment>
    <comment ref="N284" authorId="2" shapeId="0" xr:uid="{C60F1CFE-E50C-4444-B785-398C289FE25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All loading is singel loading - 14 Hours, 
Cleaning for Sticky cargo - 2 hours 45 minute
Completed loading</t>
        </r>
      </text>
    </comment>
    <comment ref="N293" authorId="2" shapeId="0" xr:uid="{78F1D4F0-E2CD-435A-BDB8-434451F3321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4 hours 20 minute</t>
        </r>
      </text>
    </comment>
    <comment ref="N294" authorId="2" shapeId="0" xr:uid="{48382A61-3D78-49B0-92DE-E54B51DFB12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 hour 40 minute</t>
        </r>
      </text>
    </comment>
    <comment ref="M298" authorId="2" shapeId="0" xr:uid="{E0E5766B-A27A-44A1-9E9E-499511BCAD1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3 hours 15 minute</t>
        </r>
      </text>
    </comment>
    <comment ref="N298" authorId="2" shapeId="0" xr:uid="{F1626C80-BE32-458D-8B55-5F85514BB9D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10 hours 55 minute</t>
        </r>
      </text>
    </comment>
    <comment ref="N305" authorId="2" shapeId="0" xr:uid="{5EC2F16A-D281-469E-9EA0-F0D4702EA5F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16 hours 20 minute</t>
        </r>
      </text>
    </comment>
    <comment ref="N312" authorId="2" shapeId="0" xr:uid="{8C251B71-1B6F-4808-B127-09E9CA57D0C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19 hours 25 minute</t>
        </r>
      </text>
    </comment>
    <comment ref="N313" authorId="2" shapeId="0" xr:uid="{29277DE7-9A8E-4816-A78F-97E95043146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Sticky Cargo &amp; cleaning 4 hours 10 minute </t>
        </r>
      </text>
    </comment>
    <comment ref="N314" authorId="2" shapeId="0" xr:uid="{725A6619-EC18-419E-B9A3-F3DAB0F97C7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Sticky Cargo &amp; cleaning 4 hours 10 minute </t>
        </r>
      </text>
    </comment>
    <comment ref="N316" authorId="2" shapeId="0" xr:uid="{BA938BE9-9BD5-40A4-AB55-16430BF45D9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33 hours 30 minutes</t>
        </r>
      </text>
    </comment>
    <comment ref="N318" authorId="2" shapeId="0" xr:uid="{BED6B79C-F8A3-4A15-9EE6-F4C95A014B8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28 hours 45 minutes</t>
        </r>
      </text>
    </comment>
    <comment ref="N323" authorId="2" shapeId="0" xr:uid="{6061DC22-C238-415F-B0A0-078737068D2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7 hours 45 minutes</t>
        </r>
      </text>
    </comment>
    <comment ref="N339" authorId="2" shapeId="0" xr:uid="{D2E0CF92-4B73-4F57-89B3-1E68D992453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23 hours 40 minutes</t>
        </r>
      </text>
    </comment>
    <comment ref="N340" authorId="2" shapeId="0" xr:uid="{A110B7AC-B8FF-473A-8863-0963E496959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11 hours 10 mintes</t>
        </r>
      </text>
    </comment>
    <comment ref="N343" authorId="3" shapeId="0" xr:uid="{05798269-47D2-4F10-9774-50674477B97E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32 hours</t>
        </r>
      </text>
    </comment>
    <comment ref="N344" authorId="3" shapeId="0" xr:uid="{CEF43D49-7176-4A05-8C92-757F652046D3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23 hours 25 minutes</t>
        </r>
      </text>
    </comment>
    <comment ref="N353" authorId="3" shapeId="0" xr:uid="{55A782A4-9D2A-4E69-86D4-07F2C65FFADC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15 hours 50 minutes</t>
        </r>
      </text>
    </comment>
    <comment ref="N355" authorId="3" shapeId="0" xr:uid="{CA2D43A5-821A-4612-95C0-7C2A4F496F84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17 hours 40 minutes</t>
        </r>
      </text>
    </comment>
    <comment ref="N356" authorId="3" shapeId="0" xr:uid="{54ABA759-62E7-4DAE-A2FA-D58F054AF9B8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12 hours 25 minutes</t>
        </r>
      </text>
    </comment>
    <comment ref="N359" authorId="3" shapeId="0" xr:uid="{B15563BC-9C22-40B6-830E-2C4B7A77E8ED}">
      <text>
        <r>
          <rPr>
            <b/>
            <sz val="9"/>
            <color indexed="81"/>
            <rFont val="Tahoma"/>
            <family val="2"/>
          </rPr>
          <t>NEO:</t>
        </r>
        <r>
          <rPr>
            <sz val="9"/>
            <color indexed="81"/>
            <rFont val="Tahoma"/>
            <family val="2"/>
          </rPr>
          <t xml:space="preserve">
Single loading 11 hours 25 minutes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</author>
    <author>Personal4</author>
    <author>AJI OP</author>
    <author>OPS</author>
  </authors>
  <commentList>
    <comment ref="AB67" authorId="0" shapeId="0" xr:uid="{E8DF13EB-3FCC-425F-BC4B-C67D5A9808AA}">
      <text>
        <r>
          <rPr>
            <b/>
            <sz val="9"/>
            <color indexed="81"/>
            <rFont val="Tahoma"/>
            <family val="2"/>
          </rPr>
          <t>Bunker Adjustment for June is not applicable</t>
        </r>
      </text>
    </comment>
    <comment ref="V73" authorId="0" shapeId="0" xr:uid="{B237ED34-33DB-428A-91BA-01C6110BBE73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Prorate because Borneo off hired from 18 Jul 12.00 to 22 Jul 19.00 due to PPE Cert is expired</t>
        </r>
      </text>
    </comment>
    <comment ref="AB73" authorId="0" shapeId="0" xr:uid="{3A654655-1F7B-4B0E-8212-B0E351E96E12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Bunker Adjustment For July is not applicable</t>
        </r>
      </text>
    </comment>
    <comment ref="AB208" authorId="0" shapeId="0" xr:uid="{DB1EFCE4-5200-495C-9E16-E3BE8EE0C4DE}">
      <text>
        <r>
          <rPr>
            <b/>
            <sz val="9"/>
            <color indexed="81"/>
            <rFont val="Tahoma"/>
            <family val="2"/>
          </rPr>
          <t>Bunker Adjustment for June is not applicable</t>
        </r>
      </text>
    </comment>
    <comment ref="AB212" authorId="0" shapeId="0" xr:uid="{C77EA175-28FB-4E75-931A-99475F82405B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Bunker Adjustment For July is not applicable</t>
        </r>
      </text>
    </comment>
    <comment ref="E243" authorId="1" shapeId="0" xr:uid="{D754B11C-8096-475D-8061-856FC31D5CE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Move to CTS '20</t>
        </r>
      </text>
    </comment>
    <comment ref="P256" authorId="1" shapeId="0" xr:uid="{7AECD48D-1E32-4261-BA01-CB6837EFEF31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Supply 19.977</t>
        </r>
      </text>
    </comment>
    <comment ref="P275" authorId="1" shapeId="0" xr:uid="{6F46604F-F4D3-4029-AEAB-7BA9E5A4F9E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Supplied 89.210
</t>
        </r>
      </text>
    </comment>
    <comment ref="P283" authorId="2" shapeId="0" xr:uid="{BBCC6D6B-AA38-4E4F-9794-C7F1ACC1BCAB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Received 198.450 </t>
        </r>
      </text>
    </comment>
    <comment ref="K304" authorId="3" shapeId="0" xr:uid="{3D51A962-22AB-4ABE-BC86-E8CCD45BDBB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actual gross time - cast off time 248 Hour 48 Minute</t>
        </r>
      </text>
    </comment>
    <comment ref="N304" authorId="3" shapeId="0" xr:uid="{8093BA1F-C323-437D-B67D-5A45F47F9EB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all loading operations  47 Hours 24 Minute</t>
        </r>
      </text>
    </comment>
    <comment ref="N308" authorId="3" shapeId="0" xr:uid="{F1E496E4-1122-4DF6-B232-3ECB80DD7F8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all loading operations  21 Hours 30 Minute</t>
        </r>
      </text>
    </comment>
    <comment ref="M341" authorId="3" shapeId="0" xr:uid="{0E3AE445-36A5-4A34-BFC9-88EB9AEC6A7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N341" authorId="3" shapeId="0" xr:uid="{B5FBB1FE-E2D9-4097-8E56-07771729A5B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 Hour 36 minutes
stop loading ops due to limited of wire CR1 &amp; CR2 13 Hours 18 Minutes</t>
        </r>
      </text>
    </comment>
    <comment ref="M351" authorId="3" shapeId="0" xr:uid="{385EB679-3979-4537-900C-75A710FD228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55 Hours 18 minutes</t>
        </r>
      </text>
    </comment>
    <comment ref="M352" authorId="3" shapeId="0" xr:uid="{0967C999-9507-4050-8F00-790D0885E2F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73 Hours</t>
        </r>
      </text>
    </comment>
    <comment ref="M378" authorId="3" shapeId="0" xr:uid="{D04207C5-5B95-4807-A0D3-446A0C8D36A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15 Hours
Cleaning 8 hours 30 minute</t>
        </r>
      </text>
    </comment>
    <comment ref="M379" authorId="3" shapeId="0" xr:uid="{424D5113-3B63-46F0-AB55-2DA5CFD8B38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6 hours 42 minute</t>
        </r>
      </text>
    </comment>
    <comment ref="M380" authorId="3" shapeId="0" xr:uid="{B2BB6597-1F7F-4AC2-83B8-62F64DFBBA0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6 Hours 54 minute
Cleaning 5 hours 30 minute</t>
        </r>
      </text>
    </comment>
    <comment ref="M381" authorId="3" shapeId="0" xr:uid="{85873246-E256-492D-BBBB-65661A6C2E5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1 hours 30 minute</t>
        </r>
      </text>
    </comment>
    <comment ref="M382" authorId="3" shapeId="0" xr:uid="{4F0DC1D1-A38D-4BD0-AF93-D9FB7D32522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1 hour 12 minute
cleaning 18 Hours 18 minute</t>
        </r>
      </text>
    </comment>
    <comment ref="M386" authorId="3" shapeId="0" xr:uid="{2AC29853-538C-489A-900B-62EADE1AB8D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2 hour 48 minute
cleaning 13 Hours 12 minute</t>
        </r>
      </text>
    </comment>
    <comment ref="M387" authorId="3" shapeId="0" xr:uid="{EF85C546-978C-488F-80C0-874D79778AF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4 hours 54 minute
Cleaning 58 hours 48 minute</t>
        </r>
      </text>
    </comment>
    <comment ref="M391" authorId="3" shapeId="0" xr:uid="{C6131C18-BE10-40FA-869F-A3D36EA1021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55 hours 24 minute</t>
        </r>
      </text>
    </comment>
    <comment ref="M392" authorId="3" shapeId="0" xr:uid="{BF8A5E8B-5F90-496F-9864-3CA59818691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95 Hours 24 minutes</t>
        </r>
      </text>
    </comment>
    <comment ref="M393" authorId="3" shapeId="0" xr:uid="{7D8C546D-E29A-45BD-A2CE-28BD5131573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57 Hours 18 minute</t>
        </r>
      </text>
    </comment>
    <comment ref="M397" authorId="3" shapeId="0" xr:uid="{BFF0E2EB-51C7-480D-821F-FABC5DE2B80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38 Hours 54 minute</t>
        </r>
      </text>
    </comment>
    <comment ref="M398" authorId="3" shapeId="0" xr:uid="{B6F69344-E466-4918-89F0-FD7573D5BE3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40 Hours 18
 minute</t>
        </r>
      </text>
    </comment>
    <comment ref="M399" authorId="3" shapeId="0" xr:uid="{EE23652B-4DD2-427E-9DAF-8480B23470F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40 Hours 18
 minute</t>
        </r>
      </text>
    </comment>
    <comment ref="M400" authorId="3" shapeId="0" xr:uid="{6C582A28-7D0B-4784-8DD3-FFFAE1698C1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40 Hours 18
 minute</t>
        </r>
      </text>
    </comment>
    <comment ref="M404" authorId="3" shapeId="0" xr:uid="{90A6C169-78AE-4108-A2D8-E89A1D6CD9A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10 Hours 48
 minute</t>
        </r>
      </text>
    </comment>
    <comment ref="M405" authorId="3" shapeId="0" xr:uid="{216763B1-7B1C-4C9C-BEBA-0CEF9824F61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9 hours 30 minute</t>
        </r>
      </text>
    </comment>
    <comment ref="M406" authorId="3" shapeId="0" xr:uid="{138F7530-A8E1-42B5-B43D-B0447EFCBBD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12 hours 12 minute</t>
        </r>
      </text>
    </comment>
    <comment ref="M407" authorId="3" shapeId="0" xr:uid="{9B65F5BB-1B07-48D7-9FF5-B2EACD91EB9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5 hours 24 minute</t>
        </r>
      </text>
    </comment>
    <comment ref="M408" authorId="3" shapeId="0" xr:uid="{984DB9CA-A982-4A8F-9EB7-97277731D64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5 hours 24 minute</t>
        </r>
      </text>
    </comment>
    <comment ref="M409" authorId="3" shapeId="0" xr:uid="{38032C43-B3C4-4F29-A6BC-FBB64DDF458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14 hours 30 minute</t>
        </r>
      </text>
    </comment>
    <comment ref="M417" authorId="3" shapeId="0" xr:uid="{71E73397-D605-4FDB-99DB-1968E967D12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Cleaning 10 hours</t>
        </r>
      </text>
    </comment>
    <comment ref="M425" authorId="3" shapeId="0" xr:uid="{88C465ED-84D6-4B11-A6D8-61E0DA0E368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Cargo 897 hours 48 minutes</t>
        </r>
      </text>
    </comment>
    <comment ref="N425" authorId="3" shapeId="0" xr:uid="{24B6B628-6715-4C6A-A34D-D3CC5AD9245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laoding 44 Hours 9 minute</t>
        </r>
      </text>
    </comment>
    <comment ref="E431" authorId="3" shapeId="0" xr:uid="{3B3BAB39-8E3B-4992-AC64-BAB2FDA8FA0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 come alongside and cast off OGV with out loading ops ,stand by only at OGV.- Master info</t>
        </r>
      </text>
    </comment>
    <comment ref="N439" authorId="3" shapeId="0" xr:uid="{3B82DE6B-A8C8-4739-808E-40FF6E4E09C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39 hours 54 minute due to :
1. due to shift the hatch cover - 14 hours 24 minute
2. for safety reason low pressure of slewing pump - 23 hours 54 minute
3. for safety reason replaced o-ring seal - 1 hour 36 minute</t>
        </r>
      </text>
    </comment>
    <comment ref="N453" authorId="3" shapeId="0" xr:uid="{3EC611CE-0157-44B3-90FD-8CEC9E17369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Cleaning 10 hours 12 minutes
- Single loading 1 hour 12 minutes
- Reduce rate load c/h 2 - 4 of OGV due to replacing the Low Insulation Elmot of BC2 42 minutes</t>
        </r>
      </text>
    </comment>
    <comment ref="N454" authorId="3" shapeId="0" xr:uid="{886230C7-14C0-4D52-A759-F8738693E1A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Cleaning 42 hours 30 minutes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</author>
    <author>Alfonso</author>
    <author>Personal4</author>
    <author>AJI OP</author>
    <author>OPS</author>
  </authors>
  <commentList>
    <comment ref="E53" authorId="0" shapeId="0" xr:uid="{FB204786-2899-496A-9A0B-524650F4FF9F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Considered as May shipment due to completion of full cargo is on May</t>
        </r>
      </text>
    </comment>
    <comment ref="O256" authorId="0" shapeId="0" xr:uid="{5577C3CF-CC70-464F-AC72-A52F8648613C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Trimming process decreasing loading rate</t>
        </r>
      </text>
    </comment>
    <comment ref="B319" authorId="1" shapeId="0" xr:uid="{F45EF3B2-3C5B-4D2A-88C8-A0FBC29A65BC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Combine with Blitz</t>
        </r>
      </text>
    </comment>
    <comment ref="O343" authorId="2" shapeId="0" xr:uid="{03AF6A5B-316C-4716-8BA2-C363F634474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80 Hours 16 minute</t>
        </r>
      </text>
    </comment>
    <comment ref="N344" authorId="2" shapeId="0" xr:uid="{6C0D3D91-C1EC-4D93-917F-AB49662625E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31 Hours 40 minute + weather 6 Hours 35 minute </t>
        </r>
      </text>
    </comment>
    <comment ref="O344" authorId="2" shapeId="0" xr:uid="{F1A293BB-DB86-41E8-B361-F4B5E0028A5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31 Hours 35 minute + Breakdown 1 hour 10 minute</t>
        </r>
      </text>
    </comment>
    <comment ref="O348" authorId="2" shapeId="0" xr:uid="{7DCBFD5B-D3E6-4E6A-BEA8-65EF611D2F4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(under speed BC-6) 2 hours + partial breakdown 2 hours (Single crane)</t>
        </r>
      </text>
    </comment>
    <comment ref="O351" authorId="2" shapeId="0" xr:uid="{4C7B2058-CDCF-4DE7-A1F7-3FBB80ADB08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awaiting FC Ratu Kumala Completion last barge 4 Hours</t>
        </r>
      </text>
    </comment>
    <comment ref="O355" authorId="2" shapeId="0" xr:uid="{D903D37D-2678-41A3-8E4C-23A7A617D09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Leaking holding hose Hydraulic sytem (Single Crane) 2 hours (11.35 - 13.35)</t>
        </r>
      </text>
    </comment>
    <comment ref="O356" authorId="2" shapeId="0" xr:uid="{5B6B4FF1-E449-4473-B884-0E463B46D8E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due to Broken RL Holding wire CR-2 ( 3:40 to 11:20)
(7 Hours 40 minutes)</t>
        </r>
      </text>
    </comment>
    <comment ref="E363" authorId="2" shapeId="0" xr:uid="{91040B4D-DA1D-4954-A05E-2D3EB48AE3E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Combine with FOTP Derawan
</t>
        </r>
      </text>
    </comment>
    <comment ref="N364" authorId="2" shapeId="0" xr:uid="{5BE821C3-BD6A-4BBE-B99B-D62FE09B7C55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17 Hours 30 minute + Cleaning Hooper 1 &amp; 2  4 Hours 20 minute</t>
        </r>
      </text>
    </comment>
    <comment ref="N376" authorId="2" shapeId="0" xr:uid="{5D25CEF9-245F-483F-BC69-BD45D546BC9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17 Hours 40 minute
Weather 21 Hours 30 Minute</t>
        </r>
      </text>
    </comment>
    <comment ref="O376" authorId="2" shapeId="0" xr:uid="{CCF2DF67-671D-43ED-A90D-C059E50CE5E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Breakdown 3 Hours 30 minute (Stop loading ops due to stuck input shaft gear box BC-3 and replace old input shaft)</t>
        </r>
      </text>
    </comment>
    <comment ref="N379" authorId="2" shapeId="0" xr:uid="{117D3A09-9BC8-4B7A-B9FB-FA0A060B27EB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32 Hours 45 minute</t>
        </r>
      </text>
    </comment>
    <comment ref="O381" authorId="2" shapeId="0" xr:uid="{966F96D7-FD74-41CD-AC37-D60FA8928CAF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8 Hours </t>
        </r>
      </text>
    </comment>
    <comment ref="O382" authorId="2" shapeId="0" xr:uid="{3E3CBC3A-578A-4828-AD68-9C4F8B99196E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2 Hours &amp; Stop loading due to over flow cargo shiploader 2 Hours 20 Minute</t>
        </r>
      </text>
    </comment>
    <comment ref="N383" authorId="2" shapeId="0" xr:uid="{D1A9E0F4-4C78-4B76-968D-42EF0DEF96ED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39 Hours 10 Minute</t>
        </r>
      </text>
    </comment>
    <comment ref="O383" authorId="2" shapeId="0" xr:uid="{E0CF6C7B-21DC-4CF0-A103-51F1DFB5E22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5 Hours 25 Minute</t>
        </r>
      </text>
    </comment>
    <comment ref="N387" authorId="2" shapeId="0" xr:uid="{DE1B19F0-62BA-4FC0-B6B1-EFF99F321906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41 Hours
Weather 1 Hours 45 Minute</t>
        </r>
      </text>
    </comment>
    <comment ref="O392" authorId="2" shapeId="0" xr:uid="{43CB280F-0F8A-4F61-ACB7-D2B15E43B7D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2 Hours, 
Cr-1 due  to F-2070, 2060, 2010 various alarm luffing sensored</t>
        </r>
      </text>
    </comment>
    <comment ref="N393" authorId="2" shapeId="0" xr:uid="{F5660E1E-5BBF-45DD-AB21-514B7526D23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41 hours 35 minute
Weather 10 hours 55 minute</t>
        </r>
      </text>
    </comment>
    <comment ref="O393" authorId="2" shapeId="0" xr:uid="{DB4485D1-5703-4FC0-A708-0F5ADF3660A9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Shifting 5 hours 30 minute</t>
        </r>
      </text>
    </comment>
    <comment ref="N396" authorId="2" shapeId="0" xr:uid="{287BE3DC-86F9-47AF-9E3A-CF9C0E81FD4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77 Hours 25 minute
Weather 15 Hours 15 minute</t>
        </r>
      </text>
    </comment>
    <comment ref="O396" authorId="2" shapeId="0" xr:uid="{ED412297-691C-4EC0-90EE-53438FDA7F0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Ops. Due to check sensor underspeed SHL and BC-4 (40 minute)
Stop Ops due to check jack break down &amp; over flow coal in BC- 4  (1 hour 10 minute)
Shifting 3 Hours 10 minute</t>
        </r>
      </text>
    </comment>
    <comment ref="N399" authorId="2" shapeId="0" xr:uid="{83FC0F80-6BCD-46D0-827F-9211C3D97B0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Weather 18 Hours 35 Minute</t>
        </r>
      </text>
    </comment>
    <comment ref="O399" authorId="2" shapeId="0" xr:uid="{1976910E-DEA8-4004-B62A-FC5BBF519F30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ops due to over flow at BC-3 , 1 hour 15 minute</t>
        </r>
      </text>
    </comment>
    <comment ref="O403" authorId="2" shapeId="0" xr:uid="{65B0D2C9-E21E-476D-B2B5-28478C2E0FF1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ops due to over flow and cleaning coal at BC - 3, and check electro motor BC-3
1 Hour</t>
        </r>
      </text>
    </comment>
    <comment ref="O412" authorId="2" shapeId="0" xr:uid="{BD56F24A-9F21-42D1-BA54-36F81F1C1E2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Replacement hose oil hidraulic by crane no. 2
(Single Crane 2  Hours 45 minute)</t>
        </r>
      </text>
    </comment>
    <comment ref="O413" authorId="2" shapeId="0" xr:uid="{E3A6DE50-B587-406D-BA22-75E0D52255C4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ops due to under speed BC-6 1 hour</t>
        </r>
      </text>
    </comment>
    <comment ref="O414" authorId="2" shapeId="0" xr:uid="{129E3500-4813-4B41-93E0-30DF37AC594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STOP LOADING OPS DUE TO UNDER SPEED BL
1 Hour</t>
        </r>
      </text>
    </comment>
    <comment ref="O418" authorId="2" shapeId="0" xr:uid="{DC69D855-5C05-4A5F-9B2F-1CF114B8EDF1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Shifting average 16 - 20 minute
Check limit SHL shutle in and shutle out  (20 Minute)</t>
        </r>
      </text>
    </comment>
    <comment ref="O419" authorId="2" shapeId="0" xr:uid="{10BBC188-40AA-4ACB-90BD-63EC28B236B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Shifting average 16 - 20 minute
Low Qty Loaded</t>
        </r>
      </text>
    </comment>
    <comment ref="O422" authorId="2" shapeId="0" xr:uid="{25251B8B-AEFF-4455-B0FB-5179872ADE4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1. F-3010-CR-1 stop loading ops due to setting and replaced pressure swicth 7 bar
1 Hour 30 minute
2. Stop loading ops due to over flow wet cargo BC-3
1 hour 15 minute</t>
        </r>
      </text>
    </comment>
    <comment ref="O430" authorId="2" shapeId="0" xr:uid="{1D014CC1-73BB-407F-BAE4-F0F980FE04B8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crane 4 Hours
(Replacement RL Holding wire of CR-1)</t>
        </r>
      </text>
    </comment>
    <comment ref="N443" authorId="2" shapeId="0" xr:uid="{4D98C398-A46E-4B38-9517-E7F85157AF62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11 Hours 55 minutes</t>
        </r>
      </text>
    </comment>
    <comment ref="O458" authorId="3" shapeId="0" xr:uid="{04D45F40-06A7-457F-A8C0-E0C43E0CF453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Crane 14 Hours 15 minute, (CR-1 Stop Ops due to F-1312)
Total stop 30 Minute (CR1 &amp; CR2)</t>
        </r>
      </text>
    </comment>
    <comment ref="O462" authorId="3" shapeId="0" xr:uid="{8E072F01-1DAB-4017-83EB-B3AE84CB58CD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Crane 45 Minute
Low Qty + Awaiting coal 13 Hours 40 minute</t>
        </r>
      </text>
    </comment>
    <comment ref="N493" authorId="3" shapeId="0" xr:uid="{3D4F6AF7-368C-4C4A-8B27-E294498DB764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Awaiting coal 10 Hours 55 minute</t>
        </r>
      </text>
    </comment>
    <comment ref="N494" authorId="3" shapeId="0" xr:uid="{79F94CF4-7BFF-4D64-B6FA-99C691D75D95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Cleaning Excees Coal at chute Ship loader due to sticky ( Cargo From Gurimbang ) (2 Hours 20 minute)</t>
        </r>
      </text>
    </comment>
    <comment ref="N497" authorId="3" shapeId="0" xr:uid="{B1E67BB9-42E6-4580-9530-5744E96D292B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Weather 4 Hours 20 minute</t>
        </r>
      </text>
    </comment>
    <comment ref="O497" authorId="3" shapeId="0" xr:uid="{BA97B527-A66B-4374-96BA-4357AC77DCE4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crane 20 Hours 40 minute</t>
        </r>
      </text>
    </comment>
    <comment ref="O500" authorId="3" shapeId="0" xr:uid="{7C533268-928E-4C1B-8E2F-1AF6C48E102E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crane 1 hour 45 Minute</t>
        </r>
      </text>
    </comment>
    <comment ref="O508" authorId="3" shapeId="0" xr:uid="{FB6E6318-2E9C-4315-A94E-C71707B4FD6E}">
      <text>
        <r>
          <rPr>
            <b/>
            <sz val="10"/>
            <color indexed="81"/>
            <rFont val="Tahoma"/>
            <family val="2"/>
          </rPr>
          <t>AJI OP:</t>
        </r>
        <r>
          <rPr>
            <sz val="10"/>
            <color indexed="81"/>
            <rFont val="Tahoma"/>
            <family val="2"/>
          </rPr>
          <t xml:space="preserve">
Single crane 10 Hours 50 minute</t>
        </r>
      </text>
    </comment>
    <comment ref="N513" authorId="4" shapeId="0" xr:uid="{8D98ADED-A49C-4857-81DB-D47A5BACFDE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6 Hours</t>
        </r>
      </text>
    </comment>
    <comment ref="O513" authorId="4" shapeId="0" xr:uid="{366A130E-F174-42A1-83D8-987FEDDE21E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13 Hours 30 minute
</t>
        </r>
      </text>
    </comment>
    <comment ref="O515" authorId="4" shapeId="0" xr:uid="{2F8ABF7A-20E8-47F4-9653-9EBD825C71B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 hour 50 minute</t>
        </r>
      </text>
    </comment>
    <comment ref="O517" authorId="4" shapeId="0" xr:uid="{15DB2334-F5E6-4695-BC64-35D1A5A4EEA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Laoding 3 hours 55 minte</t>
        </r>
      </text>
    </comment>
    <comment ref="O519" authorId="4" shapeId="0" xr:uid="{77215154-7FC9-4D4E-96EB-04B3BD1A8E1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Stop loading ops due to Safety recall instruction by SHIPPER 1 Hour
2. Stop loading ops due tue over flow bc-3 1 Hour 10 minute</t>
        </r>
      </text>
    </comment>
    <comment ref="O521" authorId="4" shapeId="0" xr:uid="{62879D62-3187-4AA1-B4B6-D7EA806B590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Repleaced rubber skirt BC-4 1 hour 20 minute</t>
        </r>
      </text>
    </comment>
    <comment ref="N525" authorId="4" shapeId="0" xr:uid="{D478D508-24DB-442E-9F99-095AEB32CF3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47 hours 35 minute</t>
        </r>
      </text>
    </comment>
    <comment ref="O528" authorId="4" shapeId="0" xr:uid="{6ABC8C42-6612-43A4-A9B4-93752202E4C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5 Hours 20 Minute</t>
        </r>
      </text>
    </comment>
    <comment ref="N534" authorId="4" shapeId="0" xr:uid="{CBE42DD5-8F60-4084-99AF-2B851A432BC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47 hours 35 minute</t>
        </r>
      </text>
    </comment>
    <comment ref="O534" authorId="4" shapeId="0" xr:uid="{5685304F-0A8C-4F81-9503-6BD96D5ED50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Max. Trimming,ch-7,6,5,3 at Barge no.5 8 hours 10 minute (averaged only about 4 - 5 hours / Barge)
</t>
        </r>
      </text>
    </comment>
    <comment ref="O567" authorId="4" shapeId="0" xr:uid="{86AFB57B-749B-49C1-846F-14DAEB9A0DB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11 Hours 10 Minutes</t>
        </r>
      </text>
    </comment>
    <comment ref="N568" authorId="4" shapeId="0" xr:uid="{CAFABFA9-9018-4E28-990E-43CEE2991A6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31 Hours 40 minutes</t>
        </r>
      </text>
    </comment>
    <comment ref="O568" authorId="4" shapeId="0" xr:uid="{ACFC743F-17A9-45A4-BE9B-26EE0DEE1DF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26 Hours</t>
        </r>
      </text>
    </comment>
    <comment ref="O570" authorId="4" shapeId="0" xr:uid="{3D01FCA6-6F0E-46F7-A331-BF49AF4DFA8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 Hour 15 Minutes</t>
        </r>
      </text>
    </comment>
    <comment ref="O576" authorId="4" shapeId="0" xr:uid="{9B793FA1-A36F-402D-B813-F2829374B82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2 Hours 30 Minute &amp; Single Loading 30 Hours</t>
        </r>
      </text>
    </comment>
    <comment ref="O586" authorId="4" shapeId="0" xr:uid="{98A5F309-88B0-42CC-87CB-2E8EFC3DAC6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10 Hours 30 Minute
</t>
        </r>
      </text>
    </comment>
    <comment ref="T592" authorId="4" shapeId="0" xr:uid="{5B987BC1-A721-4C20-B6D3-CCD2324D8C0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Awaiting instruction by shipper to cast off barge  8 Hours 40 minute
2. Awaiting instruction by shipper to alongside next barge 13 Hours 15 minute
</t>
        </r>
      </text>
    </comment>
    <comment ref="O594" authorId="4" shapeId="0" xr:uid="{6EF49E69-E274-4A3F-88CA-1AF493CEC23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Total Stop 2 Hours 30 minute (Stop loading ops due to Trouble shooting luffting SHL)
Single Crane 1 Hour 15 minute</t>
        </r>
      </text>
    </comment>
    <comment ref="N601" authorId="4" shapeId="0" xr:uid="{AE257525-0BBD-4860-9431-5F4645C51CE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20 Hours 55 Minute</t>
        </r>
      </text>
    </comment>
    <comment ref="T601" authorId="4" shapeId="0" xr:uid="{3317E611-4CB2-41FE-A649-FA127A67219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50 minute</t>
        </r>
      </text>
    </comment>
    <comment ref="E603" authorId="4" shapeId="0" xr:uid="{CBF44AE0-936F-4357-B872-AE58245DC1F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O603" authorId="4" shapeId="0" xr:uid="{E595381E-6F0A-4738-B5C0-5571259BC6C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O609" authorId="4" shapeId="0" xr:uid="{7DCA5455-5119-4179-806E-8C74CA68EE5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7 Hours 15 Minute
</t>
        </r>
      </text>
    </comment>
    <comment ref="N610" authorId="4" shapeId="0" xr:uid="{34A5D323-28A6-494A-BB82-CBC42BF0270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55 Hours 50 Minute</t>
        </r>
      </text>
    </comment>
    <comment ref="O610" authorId="4" shapeId="0" xr:uid="{78926673-CC76-4DDB-8675-375263F7D80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loading 27 Hours 30 minute</t>
        </r>
      </text>
    </comment>
    <comment ref="T610" authorId="4" shapeId="0" xr:uid="{2B343A2E-AE56-4A20-A0B6-7ED9FF1BD56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info from master : Cargo Gurimbang</t>
        </r>
      </text>
    </comment>
    <comment ref="E621" authorId="4" shapeId="0" xr:uid="{4B5446F3-620E-4507-8D85-7306E43CD1D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 (Partial Blending)
</t>
        </r>
      </text>
    </comment>
    <comment ref="E625" authorId="4" shapeId="0" xr:uid="{3940715D-4225-44AE-8CFC-7E82EC7CC84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 (Partial Blending)
</t>
        </r>
      </text>
    </comment>
    <comment ref="N625" authorId="4" shapeId="0" xr:uid="{949383AD-D568-46AA-B45D-12FA6295E89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24 Hours 25 Minute</t>
        </r>
      </text>
    </comment>
    <comment ref="O631" authorId="4" shapeId="0" xr:uid="{3A03A9CA-0DC7-4E1C-A0DC-CCC1E5901F4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 Hours 30 Minute</t>
        </r>
      </text>
    </comment>
    <comment ref="E633" authorId="4" shapeId="0" xr:uid="{A2C20613-E5FE-4462-A00F-93DC973DB89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
</t>
        </r>
      </text>
    </comment>
    <comment ref="N633" authorId="4" shapeId="0" xr:uid="{61383F9C-F152-4298-87EC-EA91271CF92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39 Hours 10 Minute</t>
        </r>
      </text>
    </comment>
    <comment ref="E635" authorId="4" shapeId="0" xr:uid="{3EA13656-23C1-40C0-A2B9-3A3EAF29CCA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 (Partial Blending)</t>
        </r>
      </text>
    </comment>
    <comment ref="N639" authorId="4" shapeId="0" xr:uid="{26E7C3E8-C5F2-4F66-B57A-5D6BA9A68DB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25 Hours 30 Minute</t>
        </r>
      </text>
    </comment>
    <comment ref="N647" authorId="4" shapeId="0" xr:uid="{E08D9867-CF9C-402E-9660-7A59B2EC3CC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 - Awaiting Coal 20 Hours 35 Minute
- Weather 3 Hours 45 Minute</t>
        </r>
      </text>
    </comment>
    <comment ref="E650" authorId="4" shapeId="0" xr:uid="{F622A11B-5CB4-44CA-A4D8-6F7926BA279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
</t>
        </r>
      </text>
    </comment>
    <comment ref="E657" authorId="4" shapeId="0" xr:uid="{0F62CE7B-D8B6-425F-A4DF-0B62D06595F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
</t>
        </r>
      </text>
    </comment>
    <comment ref="N659" authorId="4" shapeId="0" xr:uid="{47E76188-0F8A-4DC9-A137-76FA41A8923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 - Awaiting Coal 25 Hours 35 Minutes
- Weather 45 Minutes</t>
        </r>
      </text>
    </comment>
    <comment ref="O659" authorId="4" shapeId="0" xr:uid="{BAAA1164-1502-4643-B93F-DAADB1B1346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40 Hours 50 Minutes
</t>
        </r>
      </text>
    </comment>
    <comment ref="O660" authorId="4" shapeId="0" xr:uid="{BE44BE7E-799C-45ED-9B61-4407D68ADB3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Crane 25 Hours 15 Minute
2. STOP LOADING DUE TO DAMAGE ROLLER METAL SHL 40 minutes</t>
        </r>
      </text>
    </comment>
    <comment ref="O666" authorId="4" shapeId="0" xr:uid="{236EF1E5-81DD-4400-BEAE-296CAC45384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due to FAILURE MAIN MOTOR CRANE NO.2  28 Hours 10 Minutes</t>
        </r>
      </text>
    </comment>
    <comment ref="E667" authorId="4" shapeId="0" xr:uid="{8BDEEF94-749A-4A75-8244-C3EE9AA0EDE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E671" authorId="4" shapeId="0" xr:uid="{2A65DF4C-C381-48BB-83A2-81CA644EA54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N676" authorId="4" shapeId="0" xr:uid="{CE03492E-CAFC-458B-92F2-3D3DC7E8302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35 Hours 55 minute</t>
        </r>
      </text>
    </comment>
    <comment ref="N679" authorId="4" shapeId="0" xr:uid="{9D230D75-4C8D-43D9-B199-73C4C4CA077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Awaiting Coal 14 Hours 40 minute
- Weather 7 Hours 5 minute</t>
        </r>
      </text>
    </comment>
    <comment ref="E681" authorId="4" shapeId="0" xr:uid="{4A880F46-57D0-4E7C-8BB4-2954E6011047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
</t>
        </r>
      </text>
    </comment>
    <comment ref="N681" authorId="4" shapeId="0" xr:uid="{41469F3D-937D-4CF4-91A5-BDCA1DDCBAA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40 Hours 30 minute</t>
        </r>
      </text>
    </comment>
    <comment ref="E693" authorId="4" shapeId="0" xr:uid="{474B2782-4820-45CD-9914-A59FC8BBF69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N700" authorId="4" shapeId="0" xr:uid="{3192CEE0-D1A3-4F6F-BCE1-21642D3E04C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44 Hours 15 minutes</t>
        </r>
      </text>
    </comment>
    <comment ref="O700" authorId="4" shapeId="0" xr:uid="{378A1312-BFBE-4040-B702-9934E198B46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crane 59 Hours 30 minutes (Malfunction luffing brake CR-2)
2. Breakdown 2 hours 20 Minutes (  Stop loading due to failure main power breaker  CR#1 ( replacement Breaker ))
</t>
        </r>
      </text>
    </comment>
    <comment ref="O703" authorId="4" shapeId="0" xr:uid="{C959526E-B585-46CA-A08C-F42EF463BFD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Crane Replaced joystick closing Holding CR-2 ( Loading Ops using one crane ) 2 hours 30 minutes
2. Check Module analog A2-44 CR-2 ( Loading Ops using one crane ) 1 hour
</t>
        </r>
      </text>
    </comment>
    <comment ref="O705" authorId="4" shapeId="0" xr:uid="{FAB0D43D-DE93-4672-BC06-A0E069A8DE9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34 hours 55 minutes (Malfunction Upper Holding pump CR-2  ( Loading ops using one crane no.1 only))</t>
        </r>
      </text>
    </comment>
    <comment ref="O706" authorId="4" shapeId="0" xr:uid="{AB448E1F-D246-46AC-BC46-6BF1E5DEBCE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1. Single Crane 61 hours 20 minutes (Malfunction Upper Holding pump CR-2  ( Loading ops using one crane no.1 only)
</t>
        </r>
      </text>
    </comment>
    <comment ref="O711" authorId="4" shapeId="0" xr:uid="{FEB93E69-7490-4754-B8B0-A8ECAA6A385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39 hours 5 minutes (Malfunction Upper Holding pump CR-2  ( Loading ops using one crane no.1 only))</t>
        </r>
      </text>
    </comment>
    <comment ref="O712" authorId="4" shapeId="0" xr:uid="{4C9B853D-1604-47C3-BF67-1C9705E2850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8 hours 30 minutes (Malfunction Upper Holding pump CR-2  ( Loading ops using one crane no.1 only))</t>
        </r>
      </text>
    </comment>
    <comment ref="O713" authorId="4" shapeId="0" xr:uid="{D5DE4758-1EDB-4647-9D6A-014772F43381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19 hours 10 minutes (Malfunction Upper Holding pump CR-2  ( Loading ops using one crane no.1 only))</t>
        </r>
      </text>
    </comment>
    <comment ref="N719" authorId="4" shapeId="0" xr:uid="{43B71333-425C-4C06-B440-050896ABD5F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14 Hours 25 minutes</t>
        </r>
      </text>
    </comment>
    <comment ref="N720" authorId="4" shapeId="0" xr:uid="{F499B79B-25ED-4A9B-9D30-F02E3418DD0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22 hours 30 minute
+ Major Holiday idul fitri</t>
        </r>
      </text>
    </comment>
    <comment ref="E732" authorId="4" shapeId="0" xr:uid="{3C9C49A4-5485-4584-9DBB-8ABEEFBF82F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Completed loading by MDM DEMPO on 3 June 2021</t>
        </r>
      </text>
    </comment>
    <comment ref="O741" authorId="4" shapeId="0" xr:uid="{4660408C-CD42-43A4-AF28-D72C8CEBA363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5 Hours 30 Minutes
 CRANE NO.2 TROUBLE (CRANE 2 FAULT 1090  OVER HEAT TEMPERATUR)</t>
        </r>
      </text>
    </comment>
    <comment ref="E742" authorId="4" shapeId="0" xr:uid="{FA9AE05F-BAFD-4523-94E3-B926DA5B48A5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 (Partial blending)</t>
        </r>
      </text>
    </comment>
    <comment ref="N748" authorId="4" shapeId="0" xr:uid="{E69891E6-446C-42D1-A885-9B9A22CDBDB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46 Hours 35 minutes</t>
        </r>
      </text>
    </comment>
    <comment ref="N757" authorId="4" shapeId="0" xr:uid="{A5D5FA2D-2B31-4E54-87CC-CA7F5404989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7 Hours 55 minutes</t>
        </r>
      </text>
    </comment>
    <comment ref="N761" authorId="4" shapeId="0" xr:uid="{D773FB9E-DFE1-4399-B8C5-8F5834E0F42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Weather 6  hours 50 minute
Awaiting coal 5 hours 50 minute</t>
        </r>
      </text>
    </comment>
    <comment ref="E763" authorId="4" shapeId="0" xr:uid="{6F1A1280-3585-4A39-8634-0901E8BA227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 </t>
        </r>
      </text>
    </comment>
    <comment ref="E768" authorId="4" shapeId="0" xr:uid="{3E5E47AB-AEB4-48A4-A2DE-D2B7176F727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N768" authorId="4" shapeId="0" xr:uid="{615A3755-9B93-4E12-9FC2-98E86AEED36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29 Hours 40 Minutes
Weather 20 Hours 10 Minutes</t>
        </r>
      </text>
    </comment>
    <comment ref="E771" authorId="4" shapeId="0" xr:uid="{D9A7F3F1-9203-4717-AF5C-225A865953F8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E774" authorId="4" shapeId="0" xr:uid="{420A438E-9B07-4798-9DDF-D9925DDADBD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E779" authorId="4" shapeId="0" xr:uid="{9778A487-C978-4B5F-9A50-4670FD847E7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E785" authorId="4" shapeId="0" xr:uid="{30E7AFC7-B8AD-442F-853E-5E5359AA78F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N785" authorId="4" shapeId="0" xr:uid="{4CAA1830-2317-49B6-B27E-059BD2E9490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29 hours 5 minute</t>
        </r>
      </text>
    </comment>
    <comment ref="E788" authorId="4" shapeId="0" xr:uid="{9186E133-F560-489E-A53D-D1F5F63EFEB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E790" authorId="4" shapeId="0" xr:uid="{1849EA26-9FEB-4AE1-9222-4ED13F885B7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N796" authorId="4" shapeId="0" xr:uid="{BBCFEBF0-DB12-44A4-A627-4D3B6E4A954C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12 hours 35 minute
Weather 17 Hours 10 minute</t>
        </r>
      </text>
    </comment>
    <comment ref="O796" authorId="4" shapeId="0" xr:uid="{ECDFA7F9-3502-4E9F-8849-B06B0128FD4B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Stop loading due to Low frekwensi DG-2 5 Hours</t>
        </r>
      </text>
    </comment>
    <comment ref="O797" authorId="4" shapeId="0" xr:uid="{9F402E25-6FE3-4465-BC45-1ACF7FB23DB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Crane-1 Electrical failure - Single Crane 9 hours 30 minute</t>
        </r>
      </text>
    </comment>
    <comment ref="N798" authorId="4" shapeId="0" xr:uid="{45EB94E6-3591-48AA-B5A3-1E64240A6E2F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16 Hours 20 minute</t>
        </r>
      </text>
    </comment>
    <comment ref="E802" authorId="4" shapeId="0" xr:uid="{28287925-1FD5-4A3B-B519-07ADBC30B74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O802" authorId="4" shapeId="0" xr:uid="{19230EBB-2CC0-4CED-BBD0-FCF9E36A719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Single crane 40 minutes</t>
        </r>
      </text>
    </comment>
    <comment ref="O804" authorId="4" shapeId="0" xr:uid="{F9F41CE9-D687-4CBE-965C-474B4A919B8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crane no. 2  still not operating normally (slo-mo) info by master</t>
        </r>
      </text>
    </comment>
    <comment ref="E806" authorId="4" shapeId="0" xr:uid="{B240FFCF-3D7D-4858-B47F-D0C6A1BA665E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O806" authorId="4" shapeId="0" xr:uid="{F10A9C15-BA07-4106-81FF-914BD0D36B4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crane no. 2  still not operating normally (slo-mo) info by master</t>
        </r>
      </text>
    </comment>
    <comment ref="N812" authorId="4" shapeId="0" xr:uid="{B7C0D81C-F1C7-4E13-A76E-A1567D3C467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Hold by Hold from Quality - 38 Hours 5 mniute</t>
        </r>
      </text>
    </comment>
    <comment ref="N814" authorId="4" shapeId="0" xr:uid="{032E25C2-E992-466C-8190-8BD9D8A46DD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28 hours</t>
        </r>
      </text>
    </comment>
    <comment ref="E818" authorId="4" shapeId="0" xr:uid="{D581ED70-2840-4C47-930A-F2747E282BFA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Twin barge</t>
        </r>
      </text>
    </comment>
    <comment ref="B837" authorId="4" shapeId="0" xr:uid="{5E1688B3-F391-4AB1-8C2E-676ABE2309C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Cari tau statement On hirenya </t>
        </r>
      </text>
    </comment>
    <comment ref="N841" authorId="4" shapeId="0" xr:uid="{283319E4-4E76-4758-9BA1-D3FD53513DBD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Awaiting cargo 87 hours 44 minute
- Weather 31 hours 8 minute
- Cleaning 20 hours 43 minute</t>
        </r>
      </text>
    </comment>
    <comment ref="O841" authorId="4" shapeId="0" xr:uid="{1C833D66-A66E-49C5-9A31-283FBB58261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Breakdown 56 hours 40 minute
- Single Crane 10 Hours 35 Minute</t>
        </r>
      </text>
    </comment>
    <comment ref="N845" authorId="4" shapeId="0" xr:uid="{2EA773D6-9587-4BFF-82A9-88E7FA2D40F9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Awaiting cargo 147 hours
- Weather 71 hours 30 minute
- Cleaning 5 hours 40 minute</t>
        </r>
      </text>
    </comment>
    <comment ref="O845" authorId="1" shapeId="0" xr:uid="{7F6C746C-5373-4527-BC69-076D513E7740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- Stop loading due to underspeed BC-3 and cargo stuck in transfer point BC-3 for 3 hours 5 minutes 
- Stop loading due to adjust back rubber skirt of BC-5 for 40 minutes</t>
        </r>
      </text>
    </comment>
    <comment ref="N849" authorId="4" shapeId="0" xr:uid="{CA074674-0671-457B-999B-0DDB36FC8C52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Awaiting cargo 132 hours 20 minutes
- Weather 42  hours 45 minute
- Cleaning 3 hours 10 minutes</t>
        </r>
      </text>
    </comment>
    <comment ref="N853" authorId="4" shapeId="0" xr:uid="{2357F79D-003F-4BD7-8820-B5901239FF60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- Awaiting cargo 463 hours 25 minutes
- Weather 63  hours 25 minute
- Cleaning 22 hours 15 minutes</t>
        </r>
      </text>
    </comment>
    <comment ref="O862" authorId="4" shapeId="0" xr:uid="{3B1858F6-692F-4BBC-BD54-5BE1FB01EA04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Breakdown 41 hours 20 minute
- Trouble inverter BC-3 and BC-6 damage 7 hours 
- Stopped loading ops due to broken BC-6 belt 34 hours 20 minute</t>
        </r>
      </text>
    </comment>
    <comment ref="N870" authorId="4" shapeId="0" xr:uid="{47D853F6-C606-4D78-A3F4-B7A167CDD676}">
      <text>
        <r>
          <rPr>
            <b/>
            <sz val="10"/>
            <color indexed="81"/>
            <rFont val="Tahoma"/>
            <family val="2"/>
          </rPr>
          <t>OPS:</t>
        </r>
        <r>
          <rPr>
            <sz val="10"/>
            <color indexed="81"/>
            <rFont val="Tahoma"/>
            <family val="2"/>
          </rPr>
          <t xml:space="preserve">
awaiting coal 256 hours 20 minutes - Weather 14 hours 30 minutes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</author>
    <author>Alfonso</author>
    <author>Personal4</author>
    <author>ALFONSO</author>
  </authors>
  <commentList>
    <comment ref="M110" authorId="0" shapeId="0" xr:uid="{278BDD17-8A0D-4C76-A628-11AB9BCBAC5E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Single Loader on last barge</t>
        </r>
      </text>
    </comment>
    <comment ref="M111" authorId="0" shapeId="0" xr:uid="{361AEBA8-5CB2-45D1-ADEC-213D3ABD6514}">
      <text>
        <r>
          <rPr>
            <b/>
            <sz val="9"/>
            <color indexed="81"/>
            <rFont val="Tahoma"/>
            <family val="2"/>
          </rPr>
          <t>aji:</t>
        </r>
        <r>
          <rPr>
            <sz val="9"/>
            <color indexed="81"/>
            <rFont val="Tahoma"/>
            <family val="2"/>
          </rPr>
          <t xml:space="preserve">
Waiting  Coal</t>
        </r>
      </text>
    </comment>
    <comment ref="N148" authorId="1" shapeId="0" xr:uid="{980F1C7D-BA07-4E31-AA1F-0231A8E53D3E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Breakdown Stop Loading ops Start repair and patching Belt  BC3 due to connected Belt tron/broken condition (7:20:00)
</t>
        </r>
      </text>
    </comment>
    <comment ref="M151" authorId="2" shapeId="0" xr:uid="{A74E20D4-A445-4ECC-9186-B46DAB421B93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37 Hours 20 minute &amp; weather 12 Hours 45 minute</t>
        </r>
      </text>
    </comment>
    <comment ref="M152" authorId="1" shapeId="0" xr:uid="{AF0688BD-2E7E-43FF-BBA5-E32AFD58842F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86:20</t>
        </r>
      </text>
    </comment>
    <comment ref="M154" authorId="1" shapeId="0" xr:uid="{FD293325-822B-4A44-AC59-2DFF98D40B71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52 Hours </t>
        </r>
      </text>
    </comment>
    <comment ref="M155" authorId="1" shapeId="0" xr:uid="{6CA294D7-2E45-4509-985F-5E2683597321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97 hours
Weather 8 hours</t>
        </r>
      </text>
    </comment>
    <comment ref="M156" authorId="1" shapeId="0" xr:uid="{5682F18F-415B-405A-9A5F-233FBE0B3ABC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36 hours 50 minutes 
Weather 6 hours 35 minutes</t>
        </r>
      </text>
    </comment>
    <comment ref="M157" authorId="1" shapeId="0" xr:uid="{9A10F61E-ED41-4D32-8D0A-564F85379F1E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63 hours 50 minutes</t>
        </r>
      </text>
    </comment>
    <comment ref="M158" authorId="1" shapeId="0" xr:uid="{51E97875-D28F-42A1-A6C2-3D6E03EB3C55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44 hours</t>
        </r>
      </text>
    </comment>
    <comment ref="M163" authorId="2" shapeId="0" xr:uid="{C5DE529A-F222-4DCB-9A6A-5BB6B107A79A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Awaiting coal 27 Hours 40 minute</t>
        </r>
      </text>
    </comment>
    <comment ref="N163" authorId="2" shapeId="0" xr:uid="{12DCFB3A-1039-4E21-8C5E-3DC30AA67661}">
      <text>
        <r>
          <rPr>
            <b/>
            <sz val="9"/>
            <color indexed="81"/>
            <rFont val="Tahoma"/>
            <family val="2"/>
          </rPr>
          <t>Personal4:</t>
        </r>
        <r>
          <rPr>
            <sz val="9"/>
            <color indexed="81"/>
            <rFont val="Tahoma"/>
            <family val="2"/>
          </rPr>
          <t xml:space="preserve">
Single Loader 6 Hours 35 minute </t>
        </r>
      </text>
    </comment>
    <comment ref="M167" authorId="1" shapeId="0" xr:uid="{36267DF2-C517-4B77-8CDF-D35EE2316CD3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Awaiting coal 54 hours 20 minutes</t>
        </r>
      </text>
    </comment>
    <comment ref="N189" authorId="1" shapeId="0" xr:uid="{8110D58C-7ED0-4DFF-BEDB-6283E0DC9330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Stop loading Ops due to cleaning at Distribution Chute to BC5 clogged , cargo is sticky and piled up  1 hour 15 minutes</t>
        </r>
      </text>
    </comment>
    <comment ref="N191" authorId="1" shapeId="0" xr:uid="{EE5916BB-22B5-4E1A-809D-AD3364EC8FCB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BreakDown Crane No.1 used one carne for 2 hours</t>
        </r>
      </text>
    </comment>
    <comment ref="N200" authorId="1" shapeId="0" xr:uid="{75D58824-9D78-4F28-94A9-AA10F79B73CB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Single loader 10 Hours due to loading sequence</t>
        </r>
      </text>
    </comment>
    <comment ref="N228" authorId="1" shapeId="0" xr:uid="{9A4FBF08-6A02-4A63-961F-9423CB719162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Single loading 9 hours 30 minutes due to loading sequence</t>
        </r>
      </text>
    </comment>
    <comment ref="N253" authorId="1" shapeId="0" xr:uid="{FDF1FB48-C1CA-4378-BD33-D9529DBDC5CC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Single loader 3 hours 25 minutes</t>
        </r>
      </text>
    </comment>
    <comment ref="N257" authorId="1" shapeId="0" xr:uid="{AFC41600-465B-4C41-BD34-E9F6E75A86FC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Temporary stop due to repair electrical protection failure for 1 hour 25 minutes</t>
        </r>
      </text>
    </comment>
    <comment ref="N288" authorId="1" shapeId="0" xr:uid="{262A450F-2F20-48FB-9A0E-320C850D5818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Repair/insert Belt SHL no. 2 due to cut of for 30 hours 45 minutes</t>
        </r>
      </text>
    </comment>
    <comment ref="N312" authorId="3" shapeId="0" xr:uid="{71F4FC66-7616-488C-B3B2-856D169BA7FA}">
      <text>
        <r>
          <rPr>
            <b/>
            <sz val="9"/>
            <color indexed="81"/>
            <rFont val="Tahoma"/>
            <family val="2"/>
          </rPr>
          <t>ALFONSO:</t>
        </r>
        <r>
          <rPr>
            <sz val="9"/>
            <color indexed="81"/>
            <rFont val="Tahoma"/>
            <family val="2"/>
          </rPr>
          <t xml:space="preserve">
Stop loading Operation due to gear conection elmot Belt conveyor no. 3 broken for 10 hours 45 minutes</t>
        </r>
      </text>
    </comment>
  </commentList>
</comments>
</file>

<file path=xl/sharedStrings.xml><?xml version="1.0" encoding="utf-8"?>
<sst xmlns="http://schemas.openxmlformats.org/spreadsheetml/2006/main" count="4467" uniqueCount="1161">
  <si>
    <t>ATL</t>
  </si>
  <si>
    <t>ATC</t>
  </si>
  <si>
    <t>SAP Plan Number</t>
  </si>
  <si>
    <t>SAP Vessel Number</t>
  </si>
  <si>
    <t>OGV</t>
  </si>
  <si>
    <t>Vessel Type</t>
  </si>
  <si>
    <t>Quantity</t>
  </si>
  <si>
    <t>Disch Country</t>
  </si>
  <si>
    <t>Loading Plan</t>
  </si>
  <si>
    <t>Loaded VS Loading Plan</t>
  </si>
  <si>
    <t>Gross Time</t>
  </si>
  <si>
    <t>Net Time</t>
  </si>
  <si>
    <t>Gross Loading Rate</t>
  </si>
  <si>
    <t>Net Loading Rate</t>
  </si>
  <si>
    <t>Rate To Be Guaranteed</t>
  </si>
  <si>
    <t>Initial ROB</t>
  </si>
  <si>
    <t>Final ROB</t>
  </si>
  <si>
    <t>Consumption</t>
  </si>
  <si>
    <t>Fuel Ratio (8.7)</t>
  </si>
  <si>
    <t>Fuel Ratio (8.5)</t>
  </si>
  <si>
    <t>Var</t>
  </si>
  <si>
    <t>Guarantee</t>
  </si>
  <si>
    <t>Variance</t>
  </si>
  <si>
    <t>Tariff</t>
  </si>
  <si>
    <t>Revenue (exc vat)</t>
  </si>
  <si>
    <t>IDR Revenue</t>
  </si>
  <si>
    <t>Exchange Rate Adj.</t>
  </si>
  <si>
    <t>Performance D/D</t>
  </si>
  <si>
    <t>Bunker Adjustment</t>
  </si>
  <si>
    <t>Shortfall</t>
  </si>
  <si>
    <t>Total January</t>
  </si>
  <si>
    <t>Agnes</t>
  </si>
  <si>
    <t>P</t>
  </si>
  <si>
    <t>China</t>
  </si>
  <si>
    <t>Chrysanti</t>
  </si>
  <si>
    <t>Andhika Nareswari</t>
  </si>
  <si>
    <t>Indonesia</t>
  </si>
  <si>
    <t>Total February</t>
  </si>
  <si>
    <t>Taipower Prosperity I</t>
  </si>
  <si>
    <t>PP</t>
  </si>
  <si>
    <t>Taiwan</t>
  </si>
  <si>
    <t>Taipower Prosperity II</t>
  </si>
  <si>
    <t>Total March</t>
  </si>
  <si>
    <t>Total April</t>
  </si>
  <si>
    <t>Taipower Prosperity VIII</t>
  </si>
  <si>
    <t>Ocean Lucky</t>
  </si>
  <si>
    <t xml:space="preserve">Junior </t>
  </si>
  <si>
    <t>Ulusoy</t>
  </si>
  <si>
    <t>Medi Palmarola</t>
  </si>
  <si>
    <t>India</t>
  </si>
  <si>
    <t>Tuo Fu 11</t>
  </si>
  <si>
    <t>Reversed Shortfall</t>
  </si>
  <si>
    <t>Total May</t>
  </si>
  <si>
    <t>Panamax Universe</t>
  </si>
  <si>
    <t>Glory Energy</t>
  </si>
  <si>
    <t>Bottiglieri Ambition</t>
  </si>
  <si>
    <t>Thetis</t>
  </si>
  <si>
    <t>Pounda</t>
  </si>
  <si>
    <t>C</t>
  </si>
  <si>
    <t>Sea Opal</t>
  </si>
  <si>
    <t>Total June</t>
  </si>
  <si>
    <t>Sea Honesty</t>
  </si>
  <si>
    <t>Korean</t>
  </si>
  <si>
    <t>JK Pioneer</t>
  </si>
  <si>
    <t>Zheng Hao</t>
  </si>
  <si>
    <t>Win - Win</t>
  </si>
  <si>
    <t>Flag Lama</t>
  </si>
  <si>
    <t>Total July</t>
  </si>
  <si>
    <t xml:space="preserve">Kartini Samudra </t>
  </si>
  <si>
    <t xml:space="preserve">Navios Joy </t>
  </si>
  <si>
    <t>-</t>
  </si>
  <si>
    <t>Chandra Kirana</t>
  </si>
  <si>
    <t>Total August</t>
  </si>
  <si>
    <t xml:space="preserve">Taipower Prosperity VII </t>
  </si>
  <si>
    <t>Taipower Prosperity VII (ISS)</t>
  </si>
  <si>
    <t>He Da</t>
  </si>
  <si>
    <t>Chance</t>
  </si>
  <si>
    <t>Huayang Pioneer</t>
  </si>
  <si>
    <t>Total September</t>
  </si>
  <si>
    <t>Iolcos Confidence</t>
  </si>
  <si>
    <t>Rosco Sandalwood</t>
  </si>
  <si>
    <t>Long Shan Hu</t>
  </si>
  <si>
    <t>Blessed Luck</t>
  </si>
  <si>
    <t>Tiger Guangdong</t>
  </si>
  <si>
    <t>Total October</t>
  </si>
  <si>
    <t>GRA</t>
  </si>
  <si>
    <t xml:space="preserve">Korea </t>
  </si>
  <si>
    <t>NA</t>
  </si>
  <si>
    <t>Caravos Triumph</t>
  </si>
  <si>
    <t>Total November</t>
  </si>
  <si>
    <t>Golden Myrtalia</t>
  </si>
  <si>
    <t>Cape</t>
  </si>
  <si>
    <t>Wooyang Banders</t>
  </si>
  <si>
    <t>Korea</t>
  </si>
  <si>
    <t>Adam I</t>
  </si>
  <si>
    <t>Total December</t>
  </si>
  <si>
    <t>YTD 2018</t>
  </si>
  <si>
    <t>Bulk Borneo Performance 2018</t>
  </si>
  <si>
    <t>CTS BULK BORNEO</t>
  </si>
  <si>
    <t>Yokohama</t>
  </si>
  <si>
    <t>South Korea</t>
  </si>
  <si>
    <t>Ocean Carrier</t>
  </si>
  <si>
    <t>Shao Shan 1</t>
  </si>
  <si>
    <t>Dewi Parwati</t>
  </si>
  <si>
    <t xml:space="preserve">Ying Shun </t>
  </si>
  <si>
    <t>Eastern Glamour</t>
  </si>
  <si>
    <t>Well Deep</t>
  </si>
  <si>
    <t>New Herald</t>
  </si>
  <si>
    <t>Dubai Pride</t>
  </si>
  <si>
    <t>Yue Dian 81</t>
  </si>
  <si>
    <t>MSXT Capella</t>
  </si>
  <si>
    <t>Andhika Paramesti</t>
  </si>
  <si>
    <t>Night Kisss</t>
  </si>
  <si>
    <t>Chang Ming</t>
  </si>
  <si>
    <t>Captain Vangelis L</t>
  </si>
  <si>
    <t>Yue Dian 9</t>
  </si>
  <si>
    <t>Jag Anand</t>
  </si>
  <si>
    <t>Darya Moti</t>
  </si>
  <si>
    <t>Reversed Shorfall</t>
  </si>
  <si>
    <t>Gloriever</t>
  </si>
  <si>
    <t>Taipower Prosperity VI</t>
  </si>
  <si>
    <t>Urja</t>
  </si>
  <si>
    <t>Nozomi</t>
  </si>
  <si>
    <t>Evoikos Theo</t>
  </si>
  <si>
    <t>Zheng Jie</t>
  </si>
  <si>
    <t>Salt Lake City</t>
  </si>
  <si>
    <t>Arpeggio</t>
  </si>
  <si>
    <t>Pedhoulas Cherry</t>
  </si>
  <si>
    <t>Yangtze Xing Hua</t>
  </si>
  <si>
    <t>Mineral Hokkaido</t>
  </si>
  <si>
    <t>Nearchos</t>
  </si>
  <si>
    <t>CS Harmony</t>
  </si>
  <si>
    <t>Wooyang Friend</t>
  </si>
  <si>
    <t>Yue Dian 82</t>
  </si>
  <si>
    <t>Medi Genova</t>
  </si>
  <si>
    <t>Atlas B</t>
  </si>
  <si>
    <t>Aliki</t>
  </si>
  <si>
    <t>Ocean Favour</t>
  </si>
  <si>
    <t>F Star</t>
  </si>
  <si>
    <t>Rosco Plum</t>
  </si>
  <si>
    <t>Rosco Plum (ISS)</t>
  </si>
  <si>
    <t>Cemtex Innovation</t>
  </si>
  <si>
    <t>Sky Jade</t>
  </si>
  <si>
    <t>Pan Flower</t>
  </si>
  <si>
    <t>Eastern River</t>
  </si>
  <si>
    <t>Eastern River (ISS)</t>
  </si>
  <si>
    <t>Renaissance</t>
  </si>
  <si>
    <t>Rosco Ginkgo</t>
  </si>
  <si>
    <t>Blessed Luck (ISS)</t>
  </si>
  <si>
    <t>Tong Ying</t>
  </si>
  <si>
    <t>Chang Ming 2</t>
  </si>
  <si>
    <t>Agios Nikolaos 1</t>
  </si>
  <si>
    <t>Rosco Olive</t>
  </si>
  <si>
    <t>Ocean Virgo</t>
  </si>
  <si>
    <t>Cape Brazilia</t>
  </si>
  <si>
    <t>Yue Dian 101</t>
  </si>
  <si>
    <t>Yue Dian 101 (ISS)</t>
  </si>
  <si>
    <t>Chang Ming 2 (ISS)</t>
  </si>
  <si>
    <t>Wu Zhou 8</t>
  </si>
  <si>
    <t>Captain George</t>
  </si>
  <si>
    <t>Captain George (ISS)</t>
  </si>
  <si>
    <t>Andhika Paramesti (ISS)</t>
  </si>
  <si>
    <t>Yue Dian 6</t>
  </si>
  <si>
    <t>Yue Dian 6 (ISS)</t>
  </si>
  <si>
    <t>Hui Zhi</t>
  </si>
  <si>
    <t>Chang Sheng</t>
  </si>
  <si>
    <t>Chang Sheng (ISS)</t>
  </si>
  <si>
    <t>Genco Beauty</t>
  </si>
  <si>
    <t>Genco Beauty  (ISS)</t>
  </si>
  <si>
    <t>Voge Challenger</t>
  </si>
  <si>
    <t>Cape Ioanna</t>
  </si>
  <si>
    <t>Great Dragon 9</t>
  </si>
  <si>
    <t>Great Dragon (ISS)</t>
  </si>
  <si>
    <t>Genco Knight</t>
  </si>
  <si>
    <t>Genco Knight (ISS)</t>
  </si>
  <si>
    <t>Evermerit</t>
  </si>
  <si>
    <t>Evermerit (ISS)</t>
  </si>
  <si>
    <t>Cape Istanbul</t>
  </si>
  <si>
    <t>Cape Istanbul (ISS)</t>
  </si>
  <si>
    <t>Xing Le Hai</t>
  </si>
  <si>
    <t>Odysseas L</t>
  </si>
  <si>
    <t>Odysseas L (ISS)</t>
  </si>
  <si>
    <t>YTD</t>
  </si>
  <si>
    <t>Tasmania (ISS)</t>
  </si>
  <si>
    <t>Tasmania</t>
  </si>
  <si>
    <t>Alpha Afovos</t>
  </si>
  <si>
    <t>Navios Astra</t>
  </si>
  <si>
    <t>Aquaman</t>
  </si>
  <si>
    <t>Antoine</t>
  </si>
  <si>
    <t>Wei Qin (ISS)</t>
  </si>
  <si>
    <t>Wei Qin</t>
  </si>
  <si>
    <t>Xing Le Hai (ISS)</t>
  </si>
  <si>
    <t>Ocean Sapphire</t>
  </si>
  <si>
    <t>Daebo Gladstone</t>
  </si>
  <si>
    <t>Cape Ioanna (ISS)</t>
  </si>
  <si>
    <t>Cape  Ioanna</t>
  </si>
  <si>
    <t>Sfakia Wave</t>
  </si>
  <si>
    <t>Navios Harmony</t>
  </si>
  <si>
    <t>Pan Flower (ISS)</t>
  </si>
  <si>
    <t>Hongkong</t>
  </si>
  <si>
    <t>Anemone</t>
  </si>
  <si>
    <t>Genco Vigour (ISS)</t>
  </si>
  <si>
    <t>Genco Vigour</t>
  </si>
  <si>
    <t>Lake Dolphin (ISS)</t>
  </si>
  <si>
    <t>Lake Dolphin</t>
  </si>
  <si>
    <t>Taipower Prosperity V</t>
  </si>
  <si>
    <t>Best Trader</t>
  </si>
  <si>
    <t>Ocean Energy (ISS)</t>
  </si>
  <si>
    <t>Ocean Energy</t>
  </si>
  <si>
    <t>Pacificif Integrity (ISS)</t>
  </si>
  <si>
    <t>Pacific Integrity</t>
  </si>
  <si>
    <t>Y</t>
  </si>
  <si>
    <t>Supramax</t>
  </si>
  <si>
    <t>N</t>
  </si>
  <si>
    <t>Rui Ning 21</t>
  </si>
  <si>
    <t>Paros Seas</t>
  </si>
  <si>
    <t>Trade Vision (ISS)</t>
  </si>
  <si>
    <t>Trade Vision</t>
  </si>
  <si>
    <t>Lumoso Aman (ISS)</t>
  </si>
  <si>
    <t>Handymax</t>
  </si>
  <si>
    <t>Lumoso Aman</t>
  </si>
  <si>
    <t>Mona Manx</t>
  </si>
  <si>
    <t>Australia Maru</t>
  </si>
  <si>
    <t>Victoria I (ISS)</t>
  </si>
  <si>
    <t>Victoria I</t>
  </si>
  <si>
    <t>Yi Hui</t>
  </si>
  <si>
    <t>Mineral Brugge (ISS)</t>
  </si>
  <si>
    <t>Mineral Brugge</t>
  </si>
  <si>
    <t>Ken Yo</t>
  </si>
  <si>
    <t>Taipower Prosperity VII</t>
  </si>
  <si>
    <t>MP Ultramax 1</t>
  </si>
  <si>
    <t>Sami</t>
  </si>
  <si>
    <t>HL IBT</t>
  </si>
  <si>
    <t>Navios Joy</t>
  </si>
  <si>
    <t>Genco Beauty (ISS)</t>
  </si>
  <si>
    <t>Yue Dian 8 (ISS)</t>
  </si>
  <si>
    <t>Yue Dian 8</t>
  </si>
  <si>
    <t>Taipower Prosperity  I</t>
  </si>
  <si>
    <t>Ying Shun</t>
  </si>
  <si>
    <t>Nameera</t>
  </si>
  <si>
    <t>Win Win</t>
  </si>
  <si>
    <t>Zheng  Kai</t>
  </si>
  <si>
    <t>Topeka</t>
  </si>
  <si>
    <t>Very Maria</t>
  </si>
  <si>
    <t>Stefanos T</t>
  </si>
  <si>
    <t>Wooyang Queen</t>
  </si>
  <si>
    <t>Precious Sky</t>
  </si>
  <si>
    <t>FH Ri Zhao</t>
  </si>
  <si>
    <t>Genco Surprise</t>
  </si>
  <si>
    <t>Lumoso Permai</t>
  </si>
  <si>
    <t>Peace</t>
  </si>
  <si>
    <t>Bulk Norway</t>
  </si>
  <si>
    <t>Cape Fushen</t>
  </si>
  <si>
    <t>Nadhif</t>
  </si>
  <si>
    <t>Ocean Colossus</t>
  </si>
  <si>
    <t>Aanya</t>
  </si>
  <si>
    <t>Yue Dian 2</t>
  </si>
  <si>
    <t>Pacific Energy</t>
  </si>
  <si>
    <t>Asia Graeca</t>
  </si>
  <si>
    <t>Captain Vangelis</t>
  </si>
  <si>
    <t>Night  Kiss</t>
  </si>
  <si>
    <t>Giant Ace</t>
  </si>
  <si>
    <t>Xin Dong Guan 3</t>
  </si>
  <si>
    <t>Leading Glory</t>
  </si>
  <si>
    <t>Cemtex Renaissance</t>
  </si>
  <si>
    <t>Ju Yuan</t>
  </si>
  <si>
    <t>Marivictoria</t>
  </si>
  <si>
    <t>SM Challenger</t>
  </si>
  <si>
    <t>Geared Y/N</t>
  </si>
  <si>
    <t>CTS BULK CELEBES</t>
  </si>
  <si>
    <t>Bulk Celebes Performance 2018</t>
  </si>
  <si>
    <t>Chang Ho</t>
  </si>
  <si>
    <t>Leading Bravery</t>
  </si>
  <si>
    <t>Wangaratta</t>
  </si>
  <si>
    <t>Corona Kingdom</t>
  </si>
  <si>
    <t>Infinity</t>
  </si>
  <si>
    <t>Best Unity</t>
  </si>
  <si>
    <t xml:space="preserve">Sea Empire </t>
  </si>
  <si>
    <t>Andhika Kanishka</t>
  </si>
  <si>
    <t>Anthea</t>
  </si>
  <si>
    <t>Navios Felicity</t>
  </si>
  <si>
    <t>Zheng Kai</t>
  </si>
  <si>
    <t>Everlucky</t>
  </si>
  <si>
    <t>Protefs</t>
  </si>
  <si>
    <t>Ocean Emerald</t>
  </si>
  <si>
    <t>Shao Shan 1 (ISS)</t>
  </si>
  <si>
    <t>Meister</t>
  </si>
  <si>
    <t>Meister (ISS)</t>
  </si>
  <si>
    <t xml:space="preserve">Peace </t>
  </si>
  <si>
    <t>Taipower Prosperity V (ISS)</t>
  </si>
  <si>
    <t>Sea Gemini</t>
  </si>
  <si>
    <t>Seneca (ISS)</t>
  </si>
  <si>
    <t>Ecoan G.O</t>
  </si>
  <si>
    <t>Stella Ellena</t>
  </si>
  <si>
    <t>Kartini Baruna</t>
  </si>
  <si>
    <t>Yun Ton</t>
  </si>
  <si>
    <t>HC Sunshine</t>
  </si>
  <si>
    <t>Phoenix Ocean</t>
  </si>
  <si>
    <t>Prema One</t>
  </si>
  <si>
    <t>Spring Snow</t>
  </si>
  <si>
    <t>DL Acacia</t>
  </si>
  <si>
    <t>Star Angie</t>
  </si>
  <si>
    <t>Aquahaha</t>
  </si>
  <si>
    <t>Victory</t>
  </si>
  <si>
    <t>Lake Dahlia</t>
  </si>
  <si>
    <t>Mineral Dragon</t>
  </si>
  <si>
    <t>Shi Dai 9</t>
  </si>
  <si>
    <t>Sea Triumph</t>
  </si>
  <si>
    <t>Cape Clover</t>
  </si>
  <si>
    <t>Lowlands Tenacity</t>
  </si>
  <si>
    <t>Ocean Pride</t>
  </si>
  <si>
    <t>Galio</t>
  </si>
  <si>
    <t>Nord Polaris</t>
  </si>
  <si>
    <t>Jin Zhu Hai</t>
  </si>
  <si>
    <t>Aristidis</t>
  </si>
  <si>
    <t>Suryawati</t>
  </si>
  <si>
    <t>Cape Race</t>
  </si>
  <si>
    <t>Kartini Samudera</t>
  </si>
  <si>
    <t>CoronaLions</t>
  </si>
  <si>
    <t>Karunia</t>
  </si>
  <si>
    <t>Shao Shan 6</t>
  </si>
  <si>
    <t>Spring Wealth</t>
  </si>
  <si>
    <t>Cemtex Venture</t>
  </si>
  <si>
    <t>Coronis</t>
  </si>
  <si>
    <t>Shi Dai 8</t>
  </si>
  <si>
    <t>Tai Hang 9</t>
  </si>
  <si>
    <t>Rui Ning 22</t>
  </si>
  <si>
    <t>Permata Caroline</t>
  </si>
  <si>
    <t>p</t>
  </si>
  <si>
    <t>Guan Lan Hu</t>
  </si>
  <si>
    <t>Mangarella</t>
  </si>
  <si>
    <t>Neng Yuan</t>
  </si>
  <si>
    <t>Dedalos</t>
  </si>
  <si>
    <t>pp</t>
  </si>
  <si>
    <t>Ningbo Innovation</t>
  </si>
  <si>
    <t xml:space="preserve">Tina IV </t>
  </si>
  <si>
    <t>Mariolina De Carlini (2)</t>
  </si>
  <si>
    <t>Ten Spring</t>
  </si>
  <si>
    <t>High Speed</t>
  </si>
  <si>
    <t xml:space="preserve">SITC Hengshan </t>
  </si>
  <si>
    <t>Chang Yang Jin He (2)</t>
  </si>
  <si>
    <t xml:space="preserve">He Da </t>
  </si>
  <si>
    <t>Yun Long Feng</t>
  </si>
  <si>
    <t xml:space="preserve">Ocean Corona </t>
  </si>
  <si>
    <t>Sweet Venus</t>
  </si>
  <si>
    <t>YTD 2019</t>
  </si>
  <si>
    <t>Aeneas</t>
  </si>
  <si>
    <t>Aeneas (ISS)</t>
  </si>
  <si>
    <t>Guang Xin</t>
  </si>
  <si>
    <t>Flag Zannis</t>
  </si>
  <si>
    <t>Leading Glory (ISS)</t>
  </si>
  <si>
    <t>Aquamarie</t>
  </si>
  <si>
    <t>Reborn</t>
  </si>
  <si>
    <t>Shandong Hai Yao</t>
  </si>
  <si>
    <t>Shandong Hai Yao (ISS)</t>
  </si>
  <si>
    <t>Adam 1</t>
  </si>
  <si>
    <t>NSU Lodestar</t>
  </si>
  <si>
    <t>Clipper Viking</t>
  </si>
  <si>
    <t>AP Libertas</t>
  </si>
  <si>
    <t>AP Libertas (ISS)</t>
  </si>
  <si>
    <t>Cape Kennedy</t>
  </si>
  <si>
    <t>Cape Elise</t>
  </si>
  <si>
    <t>Cape Elise (ISS)</t>
  </si>
  <si>
    <t xml:space="preserve">Great Hope </t>
  </si>
  <si>
    <t>Malaysia</t>
  </si>
  <si>
    <t>Lady Marite</t>
  </si>
  <si>
    <t>Lady Marite (ISS)</t>
  </si>
  <si>
    <t xml:space="preserve">Pacific Energy </t>
  </si>
  <si>
    <t>Pacific Energy (ISS)</t>
  </si>
  <si>
    <t>Aquacarrier</t>
  </si>
  <si>
    <t>Aquacarrier (ISS)</t>
  </si>
  <si>
    <t>Taipower Prosperity II (ISS)</t>
  </si>
  <si>
    <t>China Energy</t>
  </si>
  <si>
    <t>Ocean Domina</t>
  </si>
  <si>
    <t>Ocean Domina (ISS)</t>
  </si>
  <si>
    <t>Pan Mutiara</t>
  </si>
  <si>
    <t>Pan Mutiara (ISS)</t>
  </si>
  <si>
    <t>Gingo</t>
  </si>
  <si>
    <t>Gingo (ISS)</t>
  </si>
  <si>
    <t>Peace Ark</t>
  </si>
  <si>
    <t>Evershine</t>
  </si>
  <si>
    <t>Fortune Union</t>
  </si>
  <si>
    <t>DEPART TO BATAM on 15 May 22:30</t>
  </si>
  <si>
    <t>NOR 24 JULY 16.00 Berau</t>
  </si>
  <si>
    <t>Orient Long</t>
  </si>
  <si>
    <t>Asian Majesty</t>
  </si>
  <si>
    <t>Asian Majesty (ISS)</t>
  </si>
  <si>
    <t>Yun Mi Feng</t>
  </si>
  <si>
    <t>Andhika Nareswari (ISS)</t>
  </si>
  <si>
    <t>DEPART TO Guinea on 30 September 2019 11:30 LT</t>
  </si>
  <si>
    <t>Arrived at Guinea on 18 November 2019 10:00 LT</t>
  </si>
  <si>
    <t xml:space="preserve">Cape Flamengo </t>
  </si>
  <si>
    <t>Berge Aoraki</t>
  </si>
  <si>
    <t>Berge Shong Shan</t>
  </si>
  <si>
    <t>cape</t>
  </si>
  <si>
    <t>Cape Garland</t>
  </si>
  <si>
    <t>D</t>
  </si>
  <si>
    <t>Cape Garland (ISS)</t>
  </si>
  <si>
    <t>Dubai Knight</t>
  </si>
  <si>
    <t>S</t>
  </si>
  <si>
    <t>De Xin Hai</t>
  </si>
  <si>
    <t>NPS Century</t>
  </si>
  <si>
    <t>Yin Ning</t>
  </si>
  <si>
    <t>Grace One</t>
  </si>
  <si>
    <t>Ningbo Innovation (ISS)</t>
  </si>
  <si>
    <t>Ece Nur Bayraktar</t>
  </si>
  <si>
    <t>Neng Yuan (ISS)</t>
  </si>
  <si>
    <t xml:space="preserve">Neng Yuan  </t>
  </si>
  <si>
    <t>Iolcos Commander</t>
  </si>
  <si>
    <t>Tuo Fu 11 (ISS)</t>
  </si>
  <si>
    <t>Oriental Enterprise</t>
  </si>
  <si>
    <t>Canpotex Inspire</t>
  </si>
  <si>
    <t>Hero</t>
  </si>
  <si>
    <t>Dimitra</t>
  </si>
  <si>
    <t>Melbourne</t>
  </si>
  <si>
    <t>Flying Loong</t>
  </si>
  <si>
    <t>Rong Yuan</t>
  </si>
  <si>
    <t>DL Acacia (ISS)</t>
  </si>
  <si>
    <t>Kareem</t>
  </si>
  <si>
    <t>Dewi Parwati (ISS)</t>
  </si>
  <si>
    <t>Xin Dong Guan 11</t>
  </si>
  <si>
    <t>YM Rightness</t>
  </si>
  <si>
    <t>YM Rightness (ISS)</t>
  </si>
  <si>
    <t>Lowlands Phoenix</t>
  </si>
  <si>
    <t>Cui Ping Feng</t>
  </si>
  <si>
    <t>Neng  Yuan</t>
  </si>
  <si>
    <t>Sunlight</t>
  </si>
  <si>
    <t>TW Jiangsu</t>
  </si>
  <si>
    <t>TW Jiangsu (ISS)</t>
  </si>
  <si>
    <t>NS Ningbo</t>
  </si>
  <si>
    <t>GNS Harmony</t>
  </si>
  <si>
    <t>Huayang Dream</t>
  </si>
  <si>
    <t>ISL Star</t>
  </si>
  <si>
    <t>Aurora Confidence</t>
  </si>
  <si>
    <t>Avax</t>
  </si>
  <si>
    <t>Harmony</t>
  </si>
  <si>
    <t xml:space="preserve">Guang Xin </t>
  </si>
  <si>
    <t>Yu Peng Hai</t>
  </si>
  <si>
    <t>Golden Feng</t>
  </si>
  <si>
    <t>GNS Hope</t>
  </si>
  <si>
    <t>Eastern Bund</t>
  </si>
  <si>
    <t>Eastern Bund (ISS)</t>
  </si>
  <si>
    <t>Amis Orchid</t>
  </si>
  <si>
    <t>Amis Orchid (ISS)</t>
  </si>
  <si>
    <t>Orient Long (ISS)</t>
  </si>
  <si>
    <t>Bao Yun Sheng</t>
  </si>
  <si>
    <t>Bao Yun Sheng (ISS)</t>
  </si>
  <si>
    <t>Ya Tai 1</t>
  </si>
  <si>
    <t>Ya Tai 1 (ISS)</t>
  </si>
  <si>
    <t>Cetus Star 1</t>
  </si>
  <si>
    <t>Hardymax</t>
  </si>
  <si>
    <t>Cetus Star 1 (ISS)</t>
  </si>
  <si>
    <t>Xei Hai Kai Tuo</t>
  </si>
  <si>
    <t>Chang Ming (ISS)</t>
  </si>
  <si>
    <t>Desert Dignity</t>
  </si>
  <si>
    <t>Dewi Parwati(ISS)</t>
  </si>
  <si>
    <t>Tai Hang 8</t>
  </si>
  <si>
    <t>Tian Zuo</t>
  </si>
  <si>
    <t>Bei Lun Hai 81</t>
  </si>
  <si>
    <t>Bei Lun Hai 81 (ISS)</t>
  </si>
  <si>
    <t>Good Luck</t>
  </si>
  <si>
    <t xml:space="preserve">Yue Dian 6 </t>
  </si>
  <si>
    <t>African Cheetah</t>
  </si>
  <si>
    <t>African Cheetah (ISS)</t>
  </si>
  <si>
    <t>Tian Zuo (ISS)</t>
  </si>
  <si>
    <t>Nan Xin 9</t>
  </si>
  <si>
    <t>Bulk Friendship</t>
  </si>
  <si>
    <t>Xin Wang Hai</t>
  </si>
  <si>
    <t>Xin Wang Hai (ISS)</t>
  </si>
  <si>
    <t>Hui Zhi (ISS)</t>
  </si>
  <si>
    <t>Taipower Prosperity II ISS</t>
  </si>
  <si>
    <t>Long Shan Hu (ISS)</t>
  </si>
  <si>
    <t>Fortune Rainbow</t>
  </si>
  <si>
    <t>Fortune Rainbow (ISS)</t>
  </si>
  <si>
    <t>PPS Luck</t>
  </si>
  <si>
    <t>Navios Fulvia</t>
  </si>
  <si>
    <t>Navios Fulvia (ISS)</t>
  </si>
  <si>
    <t>Kareem (ISS)</t>
  </si>
  <si>
    <t>YUE DIAN 82</t>
  </si>
  <si>
    <t>Anna S</t>
  </si>
  <si>
    <t>Twin Dragon</t>
  </si>
  <si>
    <t>Eternal Resource</t>
  </si>
  <si>
    <t>Pireas</t>
  </si>
  <si>
    <t>Mistral</t>
  </si>
  <si>
    <t>Mistral (ISS)</t>
  </si>
  <si>
    <t>BEST UNITY</t>
  </si>
  <si>
    <t>Best Unity (ISS)</t>
  </si>
  <si>
    <t>Lucky Jack</t>
  </si>
  <si>
    <t>Lucky Jack (ISS)</t>
  </si>
  <si>
    <t>Invoice Number</t>
  </si>
  <si>
    <t>JR Summer</t>
  </si>
  <si>
    <t>0021</t>
  </si>
  <si>
    <t>Minoan Courage</t>
  </si>
  <si>
    <t>Christina IV</t>
  </si>
  <si>
    <t>Xin Wu Zhou 1</t>
  </si>
  <si>
    <t>Arimbi Baruna</t>
  </si>
  <si>
    <t>Rong Yuan (ISS)</t>
  </si>
  <si>
    <t>Cape Star</t>
  </si>
  <si>
    <t>Seacon 9</t>
  </si>
  <si>
    <t>Malakand</t>
  </si>
  <si>
    <t>Bottiglieri Sophie Green</t>
  </si>
  <si>
    <t>Xin Tang Shan Hai 1</t>
  </si>
  <si>
    <t>Three Stars</t>
  </si>
  <si>
    <t>Jian Qin</t>
  </si>
  <si>
    <t>Jian Qin (ISS)</t>
  </si>
  <si>
    <t xml:space="preserve">China Energy </t>
  </si>
  <si>
    <t xml:space="preserve">Chang Sheng </t>
  </si>
  <si>
    <t>Cemtex Hunter</t>
  </si>
  <si>
    <t>Ocean Aphrodite</t>
  </si>
  <si>
    <t>Sinochart Beijing</t>
  </si>
  <si>
    <t>TTM Hope</t>
  </si>
  <si>
    <t>Milagro</t>
  </si>
  <si>
    <t>Xing Bao</t>
  </si>
  <si>
    <t>Nan Xin 27</t>
  </si>
  <si>
    <t>Chang Yang Jin He</t>
  </si>
  <si>
    <t>Theresa Guangdong</t>
  </si>
  <si>
    <t>Chang Yang Jin An</t>
  </si>
  <si>
    <t>Darya Gayatri</t>
  </si>
  <si>
    <t>Cape Puffin</t>
  </si>
  <si>
    <t>Ningbo Pioneer</t>
  </si>
  <si>
    <t>Azur</t>
  </si>
  <si>
    <t>Panamax Breeze</t>
  </si>
  <si>
    <t>Scarlet Rosella</t>
  </si>
  <si>
    <t>Great Glen</t>
  </si>
  <si>
    <t>Kartini Samudra</t>
  </si>
  <si>
    <t>Guo Yuan 8</t>
  </si>
  <si>
    <t>Andhika Kanishka (2)</t>
  </si>
  <si>
    <t>Manalagi Prita</t>
  </si>
  <si>
    <t>Xie Hai Fan Zhan</t>
  </si>
  <si>
    <t>Andhika Kanishka (3)</t>
  </si>
  <si>
    <t>D Skalkeas</t>
  </si>
  <si>
    <t>Yue Guang Feng</t>
  </si>
  <si>
    <t>Duta Azzam</t>
  </si>
  <si>
    <t xml:space="preserve">Vita Horizon </t>
  </si>
  <si>
    <t xml:space="preserve">Kartini Baruna </t>
  </si>
  <si>
    <t>SITC Hengshan</t>
  </si>
  <si>
    <t xml:space="preserve"> </t>
  </si>
  <si>
    <t>Vishva Vinay</t>
  </si>
  <si>
    <t>Ikan Bagat</t>
  </si>
  <si>
    <t>Briliant Advance</t>
  </si>
  <si>
    <t>Aurilia</t>
  </si>
  <si>
    <t>Shirara</t>
  </si>
  <si>
    <t>Sunny Young</t>
  </si>
  <si>
    <t xml:space="preserve">P </t>
  </si>
  <si>
    <t>Beijing 2008</t>
  </si>
  <si>
    <t>Heda</t>
  </si>
  <si>
    <t>Jin Run</t>
  </si>
  <si>
    <t>Berge  Apo</t>
  </si>
  <si>
    <t>Wang May</t>
  </si>
  <si>
    <t>Ehime Queen</t>
  </si>
  <si>
    <t>Berge Orizaba</t>
  </si>
  <si>
    <t>Aqua Explorer</t>
  </si>
  <si>
    <t>Bulk Shenzhen</t>
  </si>
  <si>
    <t>Cape Flamengo</t>
  </si>
  <si>
    <t>Nicolemy</t>
  </si>
  <si>
    <t>East Trader</t>
  </si>
  <si>
    <t>Anthemis</t>
  </si>
  <si>
    <t>Eka Terkini</t>
  </si>
  <si>
    <t>Berge Apo</t>
  </si>
  <si>
    <t>Mount Sinai</t>
  </si>
  <si>
    <t>Pacific Anouk</t>
  </si>
  <si>
    <t>Cape Sunrise</t>
  </si>
  <si>
    <t>Unique  Carrier</t>
  </si>
  <si>
    <t>Castillo De Valverde</t>
  </si>
  <si>
    <t>New Orleans</t>
  </si>
  <si>
    <t>West Trader</t>
  </si>
  <si>
    <t>Sunrise</t>
  </si>
  <si>
    <t>Bulk Kyushu</t>
  </si>
  <si>
    <t>Atlantic Tiger</t>
  </si>
  <si>
    <t>KSL Seattle</t>
  </si>
  <si>
    <t>CL Rhine River</t>
  </si>
  <si>
    <t>Berge Toubkal</t>
  </si>
  <si>
    <t>Azul Libero</t>
  </si>
  <si>
    <t>Cape Taweelah</t>
  </si>
  <si>
    <t xml:space="preserve">Cheng May </t>
  </si>
  <si>
    <t>Athenian Phonix</t>
  </si>
  <si>
    <t>Seattle Slew</t>
  </si>
  <si>
    <t>Aqua Bonanza</t>
  </si>
  <si>
    <t>Cape Genesis</t>
  </si>
  <si>
    <t>Duta Azzam (ISS)</t>
  </si>
  <si>
    <t>Gorgoy Pikoos</t>
  </si>
  <si>
    <t>Xin Dong Guan 11 (ISS)</t>
  </si>
  <si>
    <t>SBI Virgo</t>
  </si>
  <si>
    <t>SBI Virgo (ISS)</t>
  </si>
  <si>
    <t>Star Damon</t>
  </si>
  <si>
    <t>Star Damon (ISS)</t>
  </si>
  <si>
    <t>African Kingfisher</t>
  </si>
  <si>
    <t>African Kingfisher (ISS)</t>
  </si>
  <si>
    <t>Zhong Meng Hang Lian</t>
  </si>
  <si>
    <t>Zhong Meng Hang Lian (ISS)</t>
  </si>
  <si>
    <t>Beauty Lily</t>
  </si>
  <si>
    <t>Beauty Lily (ISS)</t>
  </si>
  <si>
    <t>Dubai Galactic</t>
  </si>
  <si>
    <t>Dubai Galactic (ISS)</t>
  </si>
  <si>
    <t>Charisma</t>
  </si>
  <si>
    <t>Ocean Venture</t>
  </si>
  <si>
    <t>Lietta</t>
  </si>
  <si>
    <t>Hong Merit</t>
  </si>
  <si>
    <t>Densa Dolphin</t>
  </si>
  <si>
    <t>Urja (ISS)</t>
  </si>
  <si>
    <t>Yu Lin Hai</t>
  </si>
  <si>
    <t>Chang Seng</t>
  </si>
  <si>
    <t>Chang Seng (ISS)</t>
  </si>
  <si>
    <t>Pos Logistics 2</t>
  </si>
  <si>
    <t>Ocean Saga</t>
  </si>
  <si>
    <t>Ocean Saga (ISS)</t>
  </si>
  <si>
    <t>Falcon Trident</t>
  </si>
  <si>
    <t>Eldora</t>
  </si>
  <si>
    <t>Eldora (ISS)</t>
  </si>
  <si>
    <t>Zhen Bang</t>
  </si>
  <si>
    <t>Ocean Master</t>
  </si>
  <si>
    <t>Xin Xiang Hai</t>
  </si>
  <si>
    <t>African Turaco</t>
  </si>
  <si>
    <t>African Turaco (ISS)</t>
  </si>
  <si>
    <t>Indigo Heritage</t>
  </si>
  <si>
    <t>Vicjour Ace</t>
  </si>
  <si>
    <t>Yue Dian 82 (ISS)</t>
  </si>
  <si>
    <t>Kmarin Oslo</t>
  </si>
  <si>
    <t>Kmarin Oslo (ISS)</t>
  </si>
  <si>
    <t>Marinicki</t>
  </si>
  <si>
    <t>Marinicki (ISS)</t>
  </si>
  <si>
    <t>Flag Tom</t>
  </si>
  <si>
    <t>Evoikos Theo (ISS)</t>
  </si>
  <si>
    <t>Cemtex Leader</t>
  </si>
  <si>
    <t>LM Selene</t>
  </si>
  <si>
    <t>LM Selene (ISS)</t>
  </si>
  <si>
    <t>Manalagi Samba</t>
  </si>
  <si>
    <t>Manalagi Samba (ISS)</t>
  </si>
  <si>
    <t>Andhika Kaniska</t>
  </si>
  <si>
    <t>Faye</t>
  </si>
  <si>
    <t>Faye (ISS)</t>
  </si>
  <si>
    <t>Konstantinos II</t>
  </si>
  <si>
    <t>Konstantinos II (ISS)</t>
  </si>
  <si>
    <t>Shi Dai 2</t>
  </si>
  <si>
    <t>Yue Dian 54</t>
  </si>
  <si>
    <t>Yue Dian 54 (ISS)</t>
  </si>
  <si>
    <t>W Raptor</t>
  </si>
  <si>
    <t>W Raptor (ISS)</t>
  </si>
  <si>
    <t>DL Adonis</t>
  </si>
  <si>
    <t>Josco Runzhou</t>
  </si>
  <si>
    <t>Josco Runzhou (ISS)</t>
  </si>
  <si>
    <t>Road Runner Bulker</t>
  </si>
  <si>
    <t>Road Runner Bulker (ISS)</t>
  </si>
  <si>
    <t>Post Logistics 2</t>
  </si>
  <si>
    <t>Post Logistics 2 (ISS)</t>
  </si>
  <si>
    <t>Koushun</t>
  </si>
  <si>
    <t>Koushun (ISS)</t>
  </si>
  <si>
    <t>Yue Dian 58</t>
  </si>
  <si>
    <t>Yue Dian 58 (ISS)</t>
  </si>
  <si>
    <t>Andika Athalia</t>
  </si>
  <si>
    <t>Andika Athalia (ISS)</t>
  </si>
  <si>
    <t>Zhong Gang Kua Yue</t>
  </si>
  <si>
    <t>Zhong Gang Kua Yue (ISS)</t>
  </si>
  <si>
    <t>Ever Progress</t>
  </si>
  <si>
    <t>Ever Progress (ISS)</t>
  </si>
  <si>
    <t>Bulk Aquila</t>
  </si>
  <si>
    <t>Amoy Fortune</t>
  </si>
  <si>
    <t>Claire Z</t>
  </si>
  <si>
    <t>HC Forward</t>
  </si>
  <si>
    <t>supramax</t>
  </si>
  <si>
    <t>Wu Zhou 6</t>
  </si>
  <si>
    <t>Wu Zhou 6 (ISS)</t>
  </si>
  <si>
    <t>Victoria 1</t>
  </si>
  <si>
    <t>Zhong Lian Si Fang</t>
  </si>
  <si>
    <t>Zhong Lian Si Fang (ISS)</t>
  </si>
  <si>
    <t>Manalagi Prita (ISS)</t>
  </si>
  <si>
    <t>Jin Bo</t>
  </si>
  <si>
    <t>Jin Bo (ISS)</t>
  </si>
  <si>
    <t>Ammar</t>
  </si>
  <si>
    <t>Ulusoy -12</t>
  </si>
  <si>
    <t>Ulusoy -12 (ISS)</t>
  </si>
  <si>
    <t>Arion</t>
  </si>
  <si>
    <t>Arion (ISS)</t>
  </si>
  <si>
    <t>Taipower Prosperty VII</t>
  </si>
  <si>
    <t>Achilleas. S</t>
  </si>
  <si>
    <t>Kenta</t>
  </si>
  <si>
    <t>Kenta (ISS)</t>
  </si>
  <si>
    <t>LAY UP - Off hire 31 August 2020 18:00  - On hire 1 November 2020  10:00</t>
  </si>
  <si>
    <t>Sarah S</t>
  </si>
  <si>
    <t>Coral Ring</t>
  </si>
  <si>
    <t>Coral Ring (ISS)</t>
  </si>
  <si>
    <t>Vienna Wood N</t>
  </si>
  <si>
    <t>Vienna Wood N (ISS)</t>
  </si>
  <si>
    <t>Sofia</t>
  </si>
  <si>
    <t>Unity Force</t>
  </si>
  <si>
    <t>Unity Force (ISS)</t>
  </si>
  <si>
    <t>Ocean Love</t>
  </si>
  <si>
    <t>Ocean Love (ISS)</t>
  </si>
  <si>
    <t>Yin Fu</t>
  </si>
  <si>
    <t>Yin Cai</t>
  </si>
  <si>
    <t>Yin Cai (ISS)</t>
  </si>
  <si>
    <t>Otzias</t>
  </si>
  <si>
    <t>Amira Ilham</t>
  </si>
  <si>
    <t>Ocean Lady</t>
  </si>
  <si>
    <t>Ocean Lady (ISS)</t>
  </si>
  <si>
    <t>Wan Li</t>
  </si>
  <si>
    <t>Wan Li (ISS)</t>
  </si>
  <si>
    <t>Bulk Ara</t>
  </si>
  <si>
    <t>Bulk Ara (ISS)</t>
  </si>
  <si>
    <t>Dato Success</t>
  </si>
  <si>
    <t>Dato Success (ISS)</t>
  </si>
  <si>
    <t xml:space="preserve"> HC Unity</t>
  </si>
  <si>
    <t xml:space="preserve"> HC Unity (ISS)</t>
  </si>
  <si>
    <t>New Unity</t>
  </si>
  <si>
    <t>New Unity (ISS)</t>
  </si>
  <si>
    <t>Prosperity For All</t>
  </si>
  <si>
    <t>Hanton Trader II</t>
  </si>
  <si>
    <t>Hanton Trader II (ISS)</t>
  </si>
  <si>
    <t>Doro</t>
  </si>
  <si>
    <t>KM Sydney</t>
  </si>
  <si>
    <t xml:space="preserve">Chang Ming </t>
  </si>
  <si>
    <t>Santarli</t>
  </si>
  <si>
    <t xml:space="preserve">Lucky Jason </t>
  </si>
  <si>
    <t>JY Hongkong</t>
  </si>
  <si>
    <t>Ocean Treasure</t>
  </si>
  <si>
    <t>Xie Hai Fa Zhan</t>
  </si>
  <si>
    <t xml:space="preserve">Yue Dian 82 </t>
  </si>
  <si>
    <t>Sweet Lydia</t>
  </si>
  <si>
    <t>Ocean Rhea</t>
  </si>
  <si>
    <t>Dutta Azzam</t>
  </si>
  <si>
    <t>Aqua Katana</t>
  </si>
  <si>
    <t>Yue Dian 81 (ISS)</t>
  </si>
  <si>
    <t>BJ Alice</t>
  </si>
  <si>
    <t>Cemtex Renaisance</t>
  </si>
  <si>
    <t>Konstantinous II</t>
  </si>
  <si>
    <t>Adonis</t>
  </si>
  <si>
    <t>Zakikaya Power</t>
  </si>
  <si>
    <t>Ningbo Inovation</t>
  </si>
  <si>
    <t>Pos Logistics 1</t>
  </si>
  <si>
    <t>Bon Voyage</t>
  </si>
  <si>
    <t>Alam Kuasa</t>
  </si>
  <si>
    <t>Yangze 10</t>
  </si>
  <si>
    <t>Yasa Team</t>
  </si>
  <si>
    <t>Panamax Ostria</t>
  </si>
  <si>
    <t>Feyha</t>
  </si>
  <si>
    <t>Theresa Shandong</t>
  </si>
  <si>
    <t>Xin Meng Xiang</t>
  </si>
  <si>
    <t>Margreth Pissarek</t>
  </si>
  <si>
    <t>Cape Britannia</t>
  </si>
  <si>
    <t>Giorgis</t>
  </si>
  <si>
    <t>King Lan</t>
  </si>
  <si>
    <t>Rising Himeji</t>
  </si>
  <si>
    <t>JP Coral</t>
  </si>
  <si>
    <t>Antwerpia</t>
  </si>
  <si>
    <t>Hermes</t>
  </si>
  <si>
    <t>Lucky Loong</t>
  </si>
  <si>
    <t>Seastrength</t>
  </si>
  <si>
    <t>Heng Mao</t>
  </si>
  <si>
    <t>KM Sidney</t>
  </si>
  <si>
    <t>New Leonidas</t>
  </si>
  <si>
    <t>Star Ophelia</t>
  </si>
  <si>
    <t>De Yuan</t>
  </si>
  <si>
    <t>Mineral Tianjin</t>
  </si>
  <si>
    <t>Alpha Bravery</t>
  </si>
  <si>
    <t>Oriental Glory</t>
  </si>
  <si>
    <t>Fortuna</t>
  </si>
  <si>
    <t>Jian Ming</t>
  </si>
  <si>
    <t>Zampa Blue</t>
  </si>
  <si>
    <t>Guang Yuan</t>
  </si>
  <si>
    <t>May</t>
  </si>
  <si>
    <t>Miyama</t>
  </si>
  <si>
    <t>Silvermine</t>
  </si>
  <si>
    <t>New Honor</t>
  </si>
  <si>
    <t>W-Arcturus</t>
  </si>
  <si>
    <t>Atlantic B</t>
  </si>
  <si>
    <t>Nea Elpis</t>
  </si>
  <si>
    <t>Guo May</t>
  </si>
  <si>
    <t>Shun Fu Xing</t>
  </si>
  <si>
    <t>Ocean Road</t>
  </si>
  <si>
    <t>TW Hamburg</t>
  </si>
  <si>
    <t>Priscilla</t>
  </si>
  <si>
    <t>Geneva Queen</t>
  </si>
  <si>
    <t>Chailease Blossom</t>
  </si>
  <si>
    <t>Aquaenna</t>
  </si>
  <si>
    <t>Yarra</t>
  </si>
  <si>
    <t>Lila Kyoto</t>
  </si>
  <si>
    <t>Vidyut</t>
  </si>
  <si>
    <t>Qin Fa 18</t>
  </si>
  <si>
    <t>KSL Sidney</t>
  </si>
  <si>
    <t>Hong Yu</t>
  </si>
  <si>
    <t>CL Grace</t>
  </si>
  <si>
    <t>Dooyang Jeju</t>
  </si>
  <si>
    <t>Lumoso Pratama</t>
  </si>
  <si>
    <t>W-Pearl</t>
  </si>
  <si>
    <t>Guo Yuan 18</t>
  </si>
  <si>
    <t>Angelic Peace</t>
  </si>
  <si>
    <t>Thassos Warrior</t>
  </si>
  <si>
    <t>Golden Harvest</t>
  </si>
  <si>
    <t>Pan Energen</t>
  </si>
  <si>
    <t>Anggrek Laut</t>
  </si>
  <si>
    <t>NS Xiamen</t>
  </si>
  <si>
    <t>Attalia</t>
  </si>
  <si>
    <t>MBA Liberty</t>
  </si>
  <si>
    <t>Themis</t>
  </si>
  <si>
    <t>Orient Union</t>
  </si>
  <si>
    <t>Cape Boss</t>
  </si>
  <si>
    <t>He Yuan</t>
  </si>
  <si>
    <t>Santa Regina</t>
  </si>
  <si>
    <t>SM Donghae</t>
  </si>
  <si>
    <t>Sea Future</t>
  </si>
  <si>
    <t>Orient Prima</t>
  </si>
  <si>
    <t>Tramontana</t>
  </si>
  <si>
    <t xml:space="preserve">Sea Hope </t>
  </si>
  <si>
    <t>Kambanos</t>
  </si>
  <si>
    <t>Sweet Lidya</t>
  </si>
  <si>
    <t>Prabhu Yuvika</t>
  </si>
  <si>
    <t>Fortune Sun</t>
  </si>
  <si>
    <t>Indian Goodwill</t>
  </si>
  <si>
    <t>Gu Imabari</t>
  </si>
  <si>
    <t>Barcarena</t>
  </si>
  <si>
    <t>Qi Ming Star</t>
  </si>
  <si>
    <t>CL Pearl River</t>
  </si>
  <si>
    <t>Wen Chang Star</t>
  </si>
  <si>
    <t>Heroic</t>
  </si>
  <si>
    <t>Ariadne</t>
  </si>
  <si>
    <t>CL Huang Pu River</t>
  </si>
  <si>
    <t>Berge Nimba</t>
  </si>
  <si>
    <t>Suigo</t>
  </si>
  <si>
    <t>Rhine River</t>
  </si>
  <si>
    <t>Los Angeles</t>
  </si>
  <si>
    <t>Vangelis</t>
  </si>
  <si>
    <t>Berge Weisshorn</t>
  </si>
  <si>
    <t>Cape Magnolia</t>
  </si>
  <si>
    <t>Navios Canary</t>
  </si>
  <si>
    <t>Star Marilena</t>
  </si>
  <si>
    <t>Alpha Faith</t>
  </si>
  <si>
    <t>Marijeannie</t>
  </si>
  <si>
    <t>Berge Broad Peak</t>
  </si>
  <si>
    <t>Xin May</t>
  </si>
  <si>
    <t>Pontotriton</t>
  </si>
  <si>
    <t>Cape Aster</t>
  </si>
  <si>
    <t>SJ Asia</t>
  </si>
  <si>
    <t>Kanaris</t>
  </si>
  <si>
    <t>Qiming Star</t>
  </si>
  <si>
    <t>Cape Ride</t>
  </si>
  <si>
    <t>Cape Ride 2nd</t>
  </si>
  <si>
    <t>Cape Ride 3rd</t>
  </si>
  <si>
    <t>Cape Ride 4th</t>
  </si>
  <si>
    <t>Shioshai</t>
  </si>
  <si>
    <t>Berge Cristobal</t>
  </si>
  <si>
    <t>AM Tarang</t>
  </si>
  <si>
    <t>Jin Niu Star</t>
  </si>
  <si>
    <t>Mariperla</t>
  </si>
  <si>
    <t>JS Salem</t>
  </si>
  <si>
    <t>Orient Angel</t>
  </si>
  <si>
    <t>Cape Violet</t>
  </si>
  <si>
    <t>Katie K</t>
  </si>
  <si>
    <t>Katie K 2nd</t>
  </si>
  <si>
    <t>Championship</t>
  </si>
  <si>
    <t>Cape Amal</t>
  </si>
  <si>
    <t>Single / Blending</t>
  </si>
  <si>
    <t>Royal Forward</t>
  </si>
  <si>
    <t>Partial Blending</t>
  </si>
  <si>
    <t>Winning Bright</t>
  </si>
  <si>
    <t>Winning Bright (ISS)</t>
  </si>
  <si>
    <t>Cas Avanca</t>
  </si>
  <si>
    <t>Cas Avanca (ISS)</t>
  </si>
  <si>
    <t>Fortune Genius</t>
  </si>
  <si>
    <t>Fortune Genius (ISS)</t>
  </si>
  <si>
    <t>Blending</t>
  </si>
  <si>
    <t>Presinge Trader</t>
  </si>
  <si>
    <t>Presinge Trader (ISS)</t>
  </si>
  <si>
    <t>Yue Guan Feng</t>
  </si>
  <si>
    <t>Lumoso Lestari</t>
  </si>
  <si>
    <t>Lumoso Lestari (ISS)</t>
  </si>
  <si>
    <t>Ella</t>
  </si>
  <si>
    <t>Ella (ISS)</t>
  </si>
  <si>
    <t>Post Logistics</t>
  </si>
  <si>
    <t>Post Logistics (ISS)</t>
  </si>
  <si>
    <t>Jubilant Success</t>
  </si>
  <si>
    <t>Vosco Sunrise</t>
  </si>
  <si>
    <t>Lumoso Alam</t>
  </si>
  <si>
    <t>Lumoso Alam (ISS)</t>
  </si>
  <si>
    <t>Cemtex Rainessance</t>
  </si>
  <si>
    <t>Andhika Kanishka (ISS)</t>
  </si>
  <si>
    <t>Zhong Hai Cang Yun 6</t>
  </si>
  <si>
    <t>Taipower Prosperity VIII (ISS)</t>
  </si>
  <si>
    <t>Porto Leone</t>
  </si>
  <si>
    <t>Porto Leone (ISS)</t>
  </si>
  <si>
    <t>Leo Ocean</t>
  </si>
  <si>
    <t>Aquabella</t>
  </si>
  <si>
    <t>Aquabella (ISS)</t>
  </si>
  <si>
    <t>Sarah S (ISS)</t>
  </si>
  <si>
    <t>Faclon Confidence</t>
  </si>
  <si>
    <t>Faclon Confidence (ISS)</t>
  </si>
  <si>
    <t>African Parrot</t>
  </si>
  <si>
    <t>African Parrot (ISS)</t>
  </si>
  <si>
    <t>Andhika Athalia</t>
  </si>
  <si>
    <t>Andhika Athalia (ISS)</t>
  </si>
  <si>
    <t>Calypso N</t>
  </si>
  <si>
    <t>Calypso N (ISS)</t>
  </si>
  <si>
    <t>Maran Brilliance</t>
  </si>
  <si>
    <t>Mineral Destelbergen</t>
  </si>
  <si>
    <t>Mineral Destelbergen (ISS)</t>
  </si>
  <si>
    <t>Jian Xiang</t>
  </si>
  <si>
    <t>Rhea</t>
  </si>
  <si>
    <t>Jia May</t>
  </si>
  <si>
    <t>Jia May (ISS)</t>
  </si>
  <si>
    <t>De Yuan (ISS)</t>
  </si>
  <si>
    <t>MBA Giovanni</t>
  </si>
  <si>
    <t>Lumoso Pratama (ISS)</t>
  </si>
  <si>
    <t>Grace Mild</t>
  </si>
  <si>
    <t>Bao Rui Ling</t>
  </si>
  <si>
    <t>Bao Rui Ling (ISS)</t>
  </si>
  <si>
    <t>Ocean Loong</t>
  </si>
  <si>
    <t>Xin Dong Guan 3 (ISS)</t>
  </si>
  <si>
    <t>Hua Xu</t>
  </si>
  <si>
    <t>Star Peace</t>
  </si>
  <si>
    <t>Star Peace (ISS)</t>
  </si>
  <si>
    <t>Gong Ying 1</t>
  </si>
  <si>
    <t>Gong Ying 1 (ISS)</t>
  </si>
  <si>
    <t>Odysseus N</t>
  </si>
  <si>
    <t>Oinoussian Virtue</t>
  </si>
  <si>
    <t>Oinoussian Virtue (ISS)</t>
  </si>
  <si>
    <t>Agri Kinsale</t>
  </si>
  <si>
    <t>Agri Kinsale (ISS)</t>
  </si>
  <si>
    <t>RHL Marta</t>
  </si>
  <si>
    <t>Anna Barbara</t>
  </si>
  <si>
    <t>Anna Barbara (ISS)</t>
  </si>
  <si>
    <t>Hua Yang Chuan Qi</t>
  </si>
  <si>
    <t>Manalagi Dasa</t>
  </si>
  <si>
    <t>Wu Zhou 8 (ISS)</t>
  </si>
  <si>
    <t>Jin Run (ISS)</t>
  </si>
  <si>
    <t>San Shin</t>
  </si>
  <si>
    <t>Huayang Endeavour</t>
  </si>
  <si>
    <t>Huayang Endeavour (ISS)</t>
  </si>
  <si>
    <t>IC Phoenix</t>
  </si>
  <si>
    <t>IC Phoenix (ISS)</t>
  </si>
  <si>
    <t>Christinab</t>
  </si>
  <si>
    <t>Christinab (ISS)</t>
  </si>
  <si>
    <t>Pan Crocus</t>
  </si>
  <si>
    <t>Pan Crocus (ISS)</t>
  </si>
  <si>
    <t>Chang Yang Jin An (ISS)</t>
  </si>
  <si>
    <t>Jin Hai Qiang</t>
  </si>
  <si>
    <t>Jin Hai Qiang (ISS)</t>
  </si>
  <si>
    <t>He Da (ISS)</t>
  </si>
  <si>
    <t>Sea Express</t>
  </si>
  <si>
    <t>Nord Titan</t>
  </si>
  <si>
    <t>Nord Titan (ISS)</t>
  </si>
  <si>
    <t>Yu Xiao 1</t>
  </si>
  <si>
    <t>Yu Xiao 1 (ISS)</t>
  </si>
  <si>
    <t>Evans</t>
  </si>
  <si>
    <t>Evans (ISS)</t>
  </si>
  <si>
    <t>Skiathos</t>
  </si>
  <si>
    <t>Ibis Wind</t>
  </si>
  <si>
    <t>Arkas</t>
  </si>
  <si>
    <t>Arkas (ISS)</t>
  </si>
  <si>
    <t>Levante</t>
  </si>
  <si>
    <t>Levante (ISS)</t>
  </si>
  <si>
    <t>Pan Eldorado</t>
  </si>
  <si>
    <t>Pan Eldorado (ISS)</t>
  </si>
  <si>
    <t>Ocean Diamond</t>
  </si>
  <si>
    <t>Welprofit</t>
  </si>
  <si>
    <t>Gunaleila</t>
  </si>
  <si>
    <t>Subarnarekha</t>
  </si>
  <si>
    <t>Star Athena</t>
  </si>
  <si>
    <t>Hamda</t>
  </si>
  <si>
    <t>Pan Energen (ISS)</t>
  </si>
  <si>
    <t xml:space="preserve"> Off hire 15 October 2021 11:45 - Muara Pantai - (</t>
  </si>
  <si>
    <t>Taho Australia</t>
  </si>
  <si>
    <t>Star Aphrodite</t>
  </si>
  <si>
    <t>Star Piera</t>
  </si>
  <si>
    <t>Konstanttinos II</t>
  </si>
  <si>
    <t>Robusto</t>
  </si>
  <si>
    <t>Golden Deb</t>
  </si>
  <si>
    <t>Indus Victory</t>
  </si>
  <si>
    <t>Rosco Litchi</t>
  </si>
  <si>
    <t>Saronic Champion</t>
  </si>
  <si>
    <t>Sea Venus</t>
  </si>
  <si>
    <t>LT Ocean Star</t>
  </si>
  <si>
    <t>Sea Power II</t>
  </si>
  <si>
    <t>Jal Vaibhav</t>
  </si>
  <si>
    <t>Bulk Promise</t>
  </si>
  <si>
    <t>Jupiter N</t>
  </si>
  <si>
    <t>Proteas</t>
  </si>
  <si>
    <t>Elva</t>
  </si>
  <si>
    <t>Shadong Hai Wang</t>
  </si>
  <si>
    <t>Guo Yuan 16</t>
  </si>
  <si>
    <t>Yarra Star</t>
  </si>
  <si>
    <t>Pan Topaz</t>
  </si>
  <si>
    <t>Rubicon</t>
  </si>
  <si>
    <t>Xiang Ming</t>
  </si>
  <si>
    <t>Urmila</t>
  </si>
  <si>
    <t>Rosewood</t>
  </si>
  <si>
    <t>Da Jia</t>
  </si>
  <si>
    <t>Kmax Leader</t>
  </si>
  <si>
    <t>Ikan Belanak</t>
  </si>
  <si>
    <t>Cemtex Orient</t>
  </si>
  <si>
    <t>Nuri Bey</t>
  </si>
  <si>
    <t>Golden Enterprise</t>
  </si>
  <si>
    <t>Shipper</t>
  </si>
  <si>
    <t>JMB</t>
  </si>
  <si>
    <t>MHU</t>
  </si>
  <si>
    <t>Mariloula</t>
  </si>
  <si>
    <t>Aquamarine</t>
  </si>
  <si>
    <t>LHI</t>
  </si>
  <si>
    <t>Movers 3</t>
  </si>
  <si>
    <t>Medi Kyoto</t>
  </si>
  <si>
    <t>ABN</t>
  </si>
  <si>
    <t>Star Markella</t>
  </si>
  <si>
    <t>Colossus</t>
  </si>
  <si>
    <t>Lumoso Kasih</t>
  </si>
  <si>
    <t>Jin Tai Feng</t>
  </si>
  <si>
    <t>INDOMINING</t>
  </si>
  <si>
    <t>ABK</t>
  </si>
  <si>
    <t>Captain J Neofotistos</t>
  </si>
  <si>
    <t>TANITO</t>
  </si>
  <si>
    <t>Hong Xiang</t>
  </si>
  <si>
    <t>TMU</t>
  </si>
  <si>
    <t>LHI &amp; SGP</t>
  </si>
  <si>
    <t>Ocean Artemis</t>
  </si>
  <si>
    <t>Golden Daisy</t>
  </si>
  <si>
    <t>Lowlands Spirit</t>
  </si>
  <si>
    <t>Mineral Noble</t>
  </si>
  <si>
    <t>Hampton Ocean</t>
  </si>
  <si>
    <t>Anglo Barinthus</t>
  </si>
  <si>
    <t>Thalassini Agatha</t>
  </si>
  <si>
    <t>Far Eastern Mercury</t>
  </si>
  <si>
    <t>Sentosa Spirit</t>
  </si>
  <si>
    <t>Bulk Lambert</t>
  </si>
  <si>
    <t>Lila Nantong</t>
  </si>
  <si>
    <t>Skyros</t>
  </si>
  <si>
    <t>Mutiara Jawa</t>
  </si>
  <si>
    <t>Fomento One</t>
  </si>
  <si>
    <t>Hong Run 6</t>
  </si>
  <si>
    <t>New Elly</t>
  </si>
  <si>
    <t>Restinga</t>
  </si>
  <si>
    <t>Maha Anosha</t>
  </si>
  <si>
    <t>SGP</t>
  </si>
  <si>
    <t>Atmosphere</t>
  </si>
  <si>
    <t>TW Manila</t>
  </si>
  <si>
    <t>Yangtze Xing Zhong</t>
  </si>
  <si>
    <t>Golden Scape</t>
  </si>
  <si>
    <t>Ruby Indah</t>
  </si>
  <si>
    <t>INSANI</t>
  </si>
  <si>
    <t>Star Europe</t>
  </si>
  <si>
    <t>Caro</t>
  </si>
  <si>
    <t>Genco Resolute</t>
  </si>
  <si>
    <t xml:space="preserve">Caro </t>
  </si>
  <si>
    <t>AM Ghent</t>
  </si>
  <si>
    <t>Alexandra P</t>
  </si>
  <si>
    <t>ABP</t>
  </si>
  <si>
    <t>Egret Star</t>
  </si>
  <si>
    <t>Aquavita Sky</t>
  </si>
  <si>
    <t>Camellia island</t>
  </si>
  <si>
    <t>BBG Yulin</t>
  </si>
  <si>
    <t>Chorinthian Phoenix</t>
  </si>
  <si>
    <t>LHA &amp; SGP</t>
  </si>
  <si>
    <t>Prabhu Sumat</t>
  </si>
  <si>
    <t>Ulusoy-12</t>
  </si>
  <si>
    <t>ASL Moon</t>
  </si>
  <si>
    <t>Flying Tiger</t>
  </si>
  <si>
    <t>Parapola</t>
  </si>
  <si>
    <t>Shen Yu 79</t>
  </si>
  <si>
    <t>SLE</t>
  </si>
  <si>
    <t>Giacometti</t>
  </si>
  <si>
    <t>Regina Oldendorff</t>
  </si>
  <si>
    <t>Theresa Jilin</t>
  </si>
  <si>
    <t>Cape Proteus</t>
  </si>
  <si>
    <t>Wisdom of the Sea 1</t>
  </si>
  <si>
    <t>Manalagi Asti</t>
  </si>
  <si>
    <t>Heide</t>
  </si>
  <si>
    <t>Ausca 1</t>
  </si>
  <si>
    <t>Maria Nashwah</t>
  </si>
  <si>
    <t>Grampus Charm</t>
  </si>
  <si>
    <t>Avalon</t>
  </si>
  <si>
    <t>GH Power</t>
  </si>
  <si>
    <t>Bei Lun Hai Shi</t>
  </si>
  <si>
    <t>Cemtex Honor</t>
  </si>
  <si>
    <t>Ning May</t>
  </si>
  <si>
    <t>Shi Dai 20</t>
  </si>
  <si>
    <t>Navios Phoenix</t>
  </si>
  <si>
    <t>Kyla Fortune</t>
  </si>
  <si>
    <t>Valadon</t>
  </si>
  <si>
    <t>Zaleha Fitrat</t>
  </si>
  <si>
    <t>Anastasia</t>
  </si>
  <si>
    <t>Athenian Phoenix (A)</t>
  </si>
  <si>
    <t>SGP/LHI</t>
  </si>
  <si>
    <t>Athenian Phoenix (B)</t>
  </si>
  <si>
    <t>Riscea</t>
  </si>
  <si>
    <t>BAYAN</t>
  </si>
  <si>
    <t>Magic Venus</t>
  </si>
  <si>
    <t>Genco Liberty</t>
  </si>
  <si>
    <t>Anglo Cynosure</t>
  </si>
  <si>
    <t>Miyagawa Maru</t>
  </si>
  <si>
    <t>Herun China</t>
  </si>
  <si>
    <t>Spring Progress</t>
  </si>
  <si>
    <t>Berge Ishizuchi (A)</t>
  </si>
  <si>
    <t>Berge Ishizuchi (B)</t>
  </si>
  <si>
    <t>Berge Ishizuchi (C)</t>
  </si>
  <si>
    <t>Berge Ishizuchi (D)</t>
  </si>
  <si>
    <t>Orient Vesta</t>
  </si>
  <si>
    <t>SDTR Alice</t>
  </si>
  <si>
    <t>Nefeli C</t>
  </si>
  <si>
    <t>AE Jupiter</t>
  </si>
  <si>
    <t>Genco Defender</t>
  </si>
  <si>
    <t>Despina D</t>
  </si>
  <si>
    <t>Illawarra Fortune</t>
  </si>
  <si>
    <t>SAMC Transpoter</t>
  </si>
  <si>
    <t>Anshapura</t>
  </si>
  <si>
    <t>Herun Global</t>
  </si>
  <si>
    <t>LDPL</t>
  </si>
  <si>
    <t>George Island</t>
  </si>
  <si>
    <t>Turner marine</t>
  </si>
  <si>
    <t>Maharaj</t>
  </si>
  <si>
    <t>Bulk Borneo departed from Freetown on 9 Sep 16:40 LT with ROB FO 49.739 liters and FW 107.300 Liter // ROB FO VGN Jordan 12.609 and FW 7.100 liters</t>
  </si>
  <si>
    <t>Bulk Borneo arrived Kamsar 13 Sep on 00:00 LT with ROB FO 39.860 and FW 105.410 // ROB FO VGN Jordan 7.910 and FW 10.900 (transfer fuel oil from BB during sailing FO 6.059 liters and FW 5.000 liters)</t>
  </si>
  <si>
    <t>NOR Tendered on 14 Sep 15:00 LT with ROB 37.780 Liters</t>
  </si>
  <si>
    <t>Maran Hope</t>
  </si>
  <si>
    <t>Agios Charalambos</t>
  </si>
  <si>
    <t>Arise</t>
  </si>
  <si>
    <t>BULK CELEBES - ON HIRE 27.01.22  -  ???</t>
  </si>
  <si>
    <t>Fakarava</t>
  </si>
  <si>
    <t>Judd</t>
  </si>
  <si>
    <t>Pink Sands</t>
  </si>
  <si>
    <t>Rangiroa</t>
  </si>
  <si>
    <t>Conquistador</t>
  </si>
  <si>
    <t>Marini</t>
  </si>
  <si>
    <t>Cancun</t>
  </si>
  <si>
    <t>Yin Xing Hu</t>
  </si>
  <si>
    <t>Hiu Xin 8</t>
  </si>
  <si>
    <t>Selina</t>
  </si>
  <si>
    <t>Kmax Ruler</t>
  </si>
  <si>
    <t>Gleamstar</t>
  </si>
  <si>
    <t>Siana</t>
  </si>
  <si>
    <t>G B Corrado</t>
  </si>
  <si>
    <t>Xin Dong Guan 12</t>
  </si>
  <si>
    <t>Fuxing</t>
  </si>
  <si>
    <t>W-Raptor</t>
  </si>
  <si>
    <t>Thalia</t>
  </si>
  <si>
    <t>Electra</t>
  </si>
  <si>
    <t>Piavia</t>
  </si>
  <si>
    <t>Amaryllis</t>
  </si>
  <si>
    <t>Sea Hope</t>
  </si>
  <si>
    <t>Kmax Evdokia</t>
  </si>
  <si>
    <t>Indus Prosperity</t>
  </si>
  <si>
    <t>Magic Rainbow</t>
  </si>
  <si>
    <t>Van Continent</t>
  </si>
  <si>
    <t>Anglo Marimar</t>
  </si>
  <si>
    <t>Chola Unity</t>
  </si>
  <si>
    <t>Eirini P</t>
  </si>
  <si>
    <t>Modest SW</t>
  </si>
  <si>
    <t>Ocean Venus</t>
  </si>
  <si>
    <t>Zheng Run</t>
  </si>
  <si>
    <t>Redmer Oldendorff</t>
  </si>
  <si>
    <t>Tai Hang 1</t>
  </si>
  <si>
    <t>Edgar</t>
  </si>
  <si>
    <t>HC Progress</t>
  </si>
  <si>
    <t>Amazing Salute</t>
  </si>
  <si>
    <t>Philipp Oldendorff</t>
  </si>
  <si>
    <t>Theresa Hebei</t>
  </si>
  <si>
    <t>Declan Duff</t>
  </si>
  <si>
    <t>Pellonia</t>
  </si>
  <si>
    <t>Aeolian Heritage</t>
  </si>
  <si>
    <t>The Evolution</t>
  </si>
  <si>
    <t>Regina Oldendorf</t>
  </si>
  <si>
    <t>Chorus</t>
  </si>
  <si>
    <t>Cemtex Excellence</t>
  </si>
  <si>
    <t>Evangelina</t>
  </si>
  <si>
    <t>Guo Yuan 28</t>
  </si>
  <si>
    <t>BBG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</si>
</sst>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??_);_(@_)"/>
    <numFmt numFmtId="165" formatCode="_(&quot;$&quot;* #,##0_);_(&quot;$&quot;* \(#,##0\);_(&quot;$&quot;* &quot;-&quot;??_);_(@_)"/>
    <numFmt numFmtId="166" formatCode="d/m/yyyy\ h:mm"/>
    <numFmt numFmtId="167" formatCode="_(* #,##0.00_);_(* \(#,##0.00\);_(* &quot;-&quot;??_);_(@_)"/>
    <numFmt numFmtId="168" formatCode="_(* #.##0.00_);_(* \(#.##0.00\);_(* &quot;-&quot;??_);_(@_)"/>
    <numFmt numFmtId="169" formatCode="_(&quot;$&quot;* #.##0.00_);_(&quot;$&quot;* \(#.##0.00\);_(&quot;$&quot;* &quot;-&quot;??_);_(@_)"/>
    <numFmt numFmtId="170" formatCode="_-* #.##0_-;\-* #.##0_-;_-* &quot;-&quot;_-;_-@_-"/>
    <numFmt numFmtId="171" formatCode="&quot;$&quot;#,##0.00"/>
    <numFmt numFmtId="172" formatCode="_(* #,##0.0000_);_(* \(#,##0.0000\);_(* &quot;-&quot;??_);_(@_)"/>
    <numFmt numFmtId="173" formatCode="_(* #,##0.000_);_(* \(#,##0.000\);_(* &quot;-&quot;??_);_(@_)"/>
    <numFmt numFmtId="174" formatCode="_(* #,##0.0_);_(* \(#,##0.0\);_(* &quot;-&quot;??_);_(@_)"/>
    <numFmt numFmtId="175" formatCode="0.0000"/>
    <numFmt numFmtId="176" formatCode="_(* #.##0_);_(* \(#.##0\);_(* &quot;-&quot;_);_(@_)"/>
    <numFmt numFmtId="177" formatCode="0.0%"/>
    <numFmt numFmtId="178" formatCode="0.00000"/>
    <numFmt numFmtId="179" formatCode="&quot;Rp&quot;#,##0.00"/>
    <numFmt numFmtId="180" formatCode="dd\/mm\/yy\ hh:mm"/>
    <numFmt numFmtId="181" formatCode="dd/mm/yy\ hh:m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name val="Garamond"/>
      <family val="1"/>
    </font>
    <font>
      <sz val="9"/>
      <color indexed="8"/>
      <name val="Arial"/>
      <family val="2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8" fillId="0" borderId="0"/>
  </cellStyleXfs>
  <cellXfs count="74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5" applyNumberFormat="1" applyFont="1" applyAlignment="1">
      <alignment horizontal="center" vertical="center" wrapText="1"/>
    </xf>
    <xf numFmtId="164" fontId="5" fillId="0" borderId="0" xfId="5" applyNumberFormat="1" applyFont="1" applyAlignment="1">
      <alignment horizontal="center" vertical="top" wrapText="1"/>
    </xf>
    <xf numFmtId="168" fontId="5" fillId="0" borderId="0" xfId="5" applyFont="1" applyAlignment="1">
      <alignment horizontal="center" vertical="center" wrapText="1"/>
    </xf>
    <xf numFmtId="165" fontId="5" fillId="0" borderId="0" xfId="6" applyNumberFormat="1" applyFont="1" applyBorder="1" applyAlignment="1">
      <alignment horizontal="center" vertical="center" wrapText="1"/>
    </xf>
    <xf numFmtId="165" fontId="5" fillId="0" borderId="0" xfId="6" applyNumberFormat="1" applyFont="1" applyAlignment="1">
      <alignment horizontal="center" vertical="center" wrapText="1"/>
    </xf>
    <xf numFmtId="165" fontId="5" fillId="0" borderId="0" xfId="5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6" fontId="9" fillId="0" borderId="0" xfId="7" applyNumberFormat="1" applyFont="1" applyBorder="1"/>
    <xf numFmtId="164" fontId="7" fillId="0" borderId="0" xfId="0" applyNumberFormat="1" applyFont="1"/>
    <xf numFmtId="171" fontId="7" fillId="0" borderId="0" xfId="0" applyNumberFormat="1" applyFont="1" applyBorder="1" applyAlignment="1">
      <alignment horizontal="right"/>
    </xf>
    <xf numFmtId="0" fontId="10" fillId="0" borderId="0" xfId="0" applyFont="1"/>
    <xf numFmtId="0" fontId="10" fillId="2" borderId="0" xfId="0" applyFont="1" applyFill="1"/>
    <xf numFmtId="164" fontId="10" fillId="2" borderId="0" xfId="4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46" fontId="11" fillId="0" borderId="0" xfId="7" applyNumberFormat="1" applyFont="1" applyBorder="1"/>
    <xf numFmtId="164" fontId="6" fillId="0" borderId="0" xfId="5" applyNumberFormat="1" applyFont="1"/>
    <xf numFmtId="167" fontId="6" fillId="0" borderId="0" xfId="5" applyNumberFormat="1" applyFont="1"/>
    <xf numFmtId="172" fontId="6" fillId="0" borderId="0" xfId="5" applyNumberFormat="1" applyFont="1"/>
    <xf numFmtId="164" fontId="6" fillId="0" borderId="0" xfId="0" applyNumberFormat="1" applyFont="1" applyFill="1"/>
    <xf numFmtId="164" fontId="6" fillId="0" borderId="0" xfId="4" applyNumberFormat="1" applyFont="1" applyFill="1" applyAlignment="1">
      <alignment horizontal="center"/>
    </xf>
    <xf numFmtId="171" fontId="6" fillId="0" borderId="0" xfId="0" applyNumberFormat="1" applyFont="1" applyBorder="1" applyAlignment="1">
      <alignment horizontal="right"/>
    </xf>
    <xf numFmtId="171" fontId="6" fillId="0" borderId="0" xfId="5" applyNumberFormat="1" applyFont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5" applyNumberFormat="1" applyFont="1" applyFill="1"/>
    <xf numFmtId="171" fontId="6" fillId="0" borderId="0" xfId="6" applyNumberFormat="1" applyFont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4" applyNumberFormat="1" applyFont="1" applyFill="1" applyAlignment="1">
      <alignment horizontal="center"/>
    </xf>
    <xf numFmtId="10" fontId="6" fillId="0" borderId="0" xfId="5" applyNumberFormat="1" applyFont="1"/>
    <xf numFmtId="10" fontId="10" fillId="2" borderId="0" xfId="4" applyNumberFormat="1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72" fontId="6" fillId="0" borderId="0" xfId="5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6" fillId="0" borderId="0" xfId="0" applyNumberFormat="1" applyFont="1" applyFill="1" applyAlignment="1">
      <alignment horizontal="center"/>
    </xf>
    <xf numFmtId="167" fontId="6" fillId="0" borderId="0" xfId="5" applyNumberFormat="1" applyFont="1" applyFill="1"/>
    <xf numFmtId="10" fontId="6" fillId="0" borderId="0" xfId="5" applyNumberFormat="1" applyFont="1" applyFill="1"/>
    <xf numFmtId="171" fontId="11" fillId="0" borderId="0" xfId="0" applyNumberFormat="1" applyFont="1" applyFill="1" applyBorder="1" applyAlignment="1">
      <alignment horizontal="right"/>
    </xf>
    <xf numFmtId="171" fontId="6" fillId="0" borderId="0" xfId="0" applyNumberFormat="1" applyFont="1" applyFill="1" applyBorder="1" applyAlignment="1">
      <alignment horizontal="right"/>
    </xf>
    <xf numFmtId="167" fontId="6" fillId="0" borderId="0" xfId="5" applyNumberFormat="1" applyFont="1" applyAlignment="1">
      <alignment horizontal="center" vertical="center"/>
    </xf>
    <xf numFmtId="167" fontId="6" fillId="0" borderId="0" xfId="5" applyNumberFormat="1" applyFont="1" applyAlignment="1">
      <alignment vertical="center"/>
    </xf>
    <xf numFmtId="10" fontId="6" fillId="0" borderId="0" xfId="5" applyNumberFormat="1" applyFont="1" applyAlignment="1">
      <alignment vertical="center"/>
    </xf>
    <xf numFmtId="171" fontId="11" fillId="0" borderId="0" xfId="0" applyNumberFormat="1" applyFont="1" applyBorder="1" applyAlignment="1">
      <alignment horizontal="right"/>
    </xf>
    <xf numFmtId="166" fontId="6" fillId="0" borderId="0" xfId="0" applyNumberFormat="1" applyFont="1" applyFill="1" applyAlignment="1">
      <alignment horizontal="center" vertical="center"/>
    </xf>
    <xf numFmtId="164" fontId="6" fillId="0" borderId="0" xfId="5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46" fontId="11" fillId="0" borderId="0" xfId="7" applyNumberFormat="1" applyFont="1" applyFill="1" applyBorder="1" applyAlignment="1">
      <alignment vertical="center"/>
    </xf>
    <xf numFmtId="167" fontId="6" fillId="0" borderId="0" xfId="5" applyNumberFormat="1" applyFont="1" applyFill="1" applyAlignment="1">
      <alignment vertical="center"/>
    </xf>
    <xf numFmtId="172" fontId="6" fillId="0" borderId="0" xfId="5" applyNumberFormat="1" applyFont="1" applyFill="1"/>
    <xf numFmtId="167" fontId="6" fillId="0" borderId="0" xfId="5" applyNumberFormat="1" applyFont="1" applyFill="1" applyAlignment="1">
      <alignment horizontal="center" vertical="center"/>
    </xf>
    <xf numFmtId="10" fontId="6" fillId="0" borderId="0" xfId="5" applyNumberFormat="1" applyFont="1" applyFill="1" applyAlignment="1">
      <alignment vertical="center"/>
    </xf>
    <xf numFmtId="171" fontId="6" fillId="0" borderId="0" xfId="6" applyNumberFormat="1" applyFont="1" applyAlignment="1">
      <alignment vertical="center"/>
    </xf>
    <xf numFmtId="164" fontId="6" fillId="0" borderId="0" xfId="5" applyNumberFormat="1" applyFont="1" applyFill="1" applyAlignment="1">
      <alignment horizontal="left"/>
    </xf>
    <xf numFmtId="2" fontId="6" fillId="0" borderId="0" xfId="0" applyNumberFormat="1" applyFont="1" applyFill="1"/>
    <xf numFmtId="166" fontId="11" fillId="0" borderId="0" xfId="0" applyNumberFormat="1" applyFont="1" applyAlignment="1">
      <alignment horizontal="center"/>
    </xf>
    <xf numFmtId="0" fontId="11" fillId="0" borderId="0" xfId="0" applyFont="1" applyFill="1"/>
    <xf numFmtId="164" fontId="11" fillId="0" borderId="0" xfId="5" applyNumberFormat="1" applyFont="1" applyFill="1"/>
    <xf numFmtId="164" fontId="11" fillId="0" borderId="0" xfId="0" applyNumberFormat="1" applyFont="1"/>
    <xf numFmtId="164" fontId="11" fillId="0" borderId="0" xfId="5" applyNumberFormat="1" applyFont="1"/>
    <xf numFmtId="2" fontId="11" fillId="0" borderId="0" xfId="0" applyNumberFormat="1" applyFont="1" applyFill="1"/>
    <xf numFmtId="167" fontId="11" fillId="0" borderId="0" xfId="5" applyNumberFormat="1" applyFont="1"/>
    <xf numFmtId="172" fontId="11" fillId="0" borderId="0" xfId="5" applyNumberFormat="1" applyFont="1"/>
    <xf numFmtId="10" fontId="11" fillId="0" borderId="0" xfId="5" applyNumberFormat="1" applyFont="1"/>
    <xf numFmtId="171" fontId="11" fillId="0" borderId="0" xfId="6" applyNumberFormat="1" applyFont="1" applyAlignment="1">
      <alignment horizontal="right"/>
    </xf>
    <xf numFmtId="171" fontId="11" fillId="0" borderId="0" xfId="0" quotePrefix="1" applyNumberFormat="1" applyFont="1" applyBorder="1" applyAlignment="1">
      <alignment horizontal="right"/>
    </xf>
    <xf numFmtId="0" fontId="11" fillId="0" borderId="0" xfId="0" applyFont="1"/>
    <xf numFmtId="171" fontId="6" fillId="0" borderId="0" xfId="0" quotePrefix="1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67" fontId="11" fillId="0" borderId="0" xfId="5" applyNumberFormat="1" applyFont="1" applyAlignment="1">
      <alignment vertical="center"/>
    </xf>
    <xf numFmtId="46" fontId="11" fillId="0" borderId="0" xfId="7" applyNumberFormat="1" applyFont="1" applyBorder="1" applyAlignment="1">
      <alignment horizontal="right"/>
    </xf>
    <xf numFmtId="164" fontId="6" fillId="0" borderId="0" xfId="5" applyNumberFormat="1" applyFont="1" applyAlignment="1">
      <alignment horizontal="right"/>
    </xf>
    <xf numFmtId="174" fontId="6" fillId="0" borderId="0" xfId="5" applyNumberFormat="1" applyFont="1"/>
    <xf numFmtId="168" fontId="6" fillId="0" borderId="0" xfId="5" applyFont="1" applyBorder="1" applyAlignment="1">
      <alignment horizontal="right"/>
    </xf>
    <xf numFmtId="172" fontId="0" fillId="0" borderId="0" xfId="0" applyNumberFormat="1"/>
    <xf numFmtId="166" fontId="3" fillId="0" borderId="0" xfId="0" applyNumberFormat="1" applyFont="1"/>
    <xf numFmtId="164" fontId="5" fillId="0" borderId="0" xfId="8" applyNumberFormat="1" applyFont="1" applyAlignment="1">
      <alignment horizontal="center" vertical="center" wrapText="1"/>
    </xf>
    <xf numFmtId="164" fontId="5" fillId="0" borderId="0" xfId="8" applyNumberFormat="1" applyFont="1" applyAlignment="1">
      <alignment horizontal="center" vertical="top" wrapText="1"/>
    </xf>
    <xf numFmtId="168" fontId="5" fillId="0" borderId="0" xfId="8" applyFont="1" applyAlignment="1">
      <alignment horizontal="center" vertical="center" wrapText="1"/>
    </xf>
    <xf numFmtId="165" fontId="5" fillId="0" borderId="0" xfId="9" applyNumberFormat="1" applyFont="1" applyBorder="1" applyAlignment="1">
      <alignment horizontal="center" vertical="center" wrapText="1"/>
    </xf>
    <xf numFmtId="165" fontId="5" fillId="0" borderId="0" xfId="9" applyNumberFormat="1" applyFont="1" applyAlignment="1">
      <alignment horizontal="center" vertical="center" wrapText="1"/>
    </xf>
    <xf numFmtId="165" fontId="5" fillId="0" borderId="0" xfId="8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164" fontId="6" fillId="0" borderId="0" xfId="8" applyNumberFormat="1" applyFont="1" applyAlignment="1"/>
    <xf numFmtId="164" fontId="6" fillId="0" borderId="0" xfId="8" applyNumberFormat="1" applyFont="1" applyAlignment="1">
      <alignment horizontal="left"/>
    </xf>
    <xf numFmtId="164" fontId="6" fillId="0" borderId="0" xfId="8" applyNumberFormat="1" applyFont="1" applyAlignment="1">
      <alignment horizontal="right"/>
    </xf>
    <xf numFmtId="46" fontId="11" fillId="0" borderId="0" xfId="10" applyNumberFormat="1" applyFont="1" applyBorder="1"/>
    <xf numFmtId="164" fontId="6" fillId="0" borderId="0" xfId="8" applyNumberFormat="1" applyFont="1"/>
    <xf numFmtId="175" fontId="6" fillId="0" borderId="0" xfId="0" applyNumberFormat="1" applyFont="1"/>
    <xf numFmtId="10" fontId="6" fillId="0" borderId="0" xfId="8" applyNumberFormat="1" applyFont="1"/>
    <xf numFmtId="167" fontId="6" fillId="0" borderId="0" xfId="8" applyNumberFormat="1" applyFont="1"/>
    <xf numFmtId="171" fontId="6" fillId="0" borderId="0" xfId="9" applyNumberFormat="1" applyFont="1" applyAlignment="1">
      <alignment horizontal="right"/>
    </xf>
    <xf numFmtId="171" fontId="6" fillId="0" borderId="0" xfId="9" applyNumberFormat="1" applyFont="1" applyBorder="1" applyAlignment="1">
      <alignment horizontal="right"/>
    </xf>
    <xf numFmtId="167" fontId="6" fillId="0" borderId="0" xfId="8" applyNumberFormat="1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8" applyNumberFormat="1" applyFont="1" applyAlignment="1">
      <alignment vertical="center"/>
    </xf>
    <xf numFmtId="46" fontId="11" fillId="0" borderId="0" xfId="10" applyNumberFormat="1" applyFont="1" applyBorder="1" applyAlignment="1">
      <alignment vertical="center"/>
    </xf>
    <xf numFmtId="167" fontId="6" fillId="0" borderId="0" xfId="8" applyNumberFormat="1" applyFont="1" applyAlignment="1">
      <alignment vertical="center"/>
    </xf>
    <xf numFmtId="171" fontId="6" fillId="0" borderId="0" xfId="9" applyNumberFormat="1" applyFont="1" applyAlignment="1">
      <alignment vertical="center"/>
    </xf>
    <xf numFmtId="171" fontId="6" fillId="0" borderId="0" xfId="9" applyNumberFormat="1" applyFont="1" applyAlignment="1">
      <alignment horizontal="right" vertical="center"/>
    </xf>
    <xf numFmtId="164" fontId="7" fillId="0" borderId="0" xfId="8" applyNumberFormat="1" applyFont="1"/>
    <xf numFmtId="164" fontId="7" fillId="0" borderId="0" xfId="8" applyNumberFormat="1" applyFont="1" applyAlignment="1">
      <alignment vertical="center"/>
    </xf>
    <xf numFmtId="46" fontId="9" fillId="0" borderId="0" xfId="10" applyNumberFormat="1" applyFont="1" applyBorder="1" applyAlignment="1">
      <alignment vertical="center"/>
    </xf>
    <xf numFmtId="167" fontId="7" fillId="0" borderId="0" xfId="8" applyNumberFormat="1" applyFont="1" applyAlignment="1">
      <alignment vertical="center"/>
    </xf>
    <xf numFmtId="171" fontId="7" fillId="0" borderId="0" xfId="9" applyNumberFormat="1" applyFont="1" applyAlignment="1">
      <alignment horizontal="right" vertical="center"/>
    </xf>
    <xf numFmtId="171" fontId="7" fillId="0" borderId="0" xfId="9" applyNumberFormat="1" applyFont="1" applyBorder="1" applyAlignment="1">
      <alignment horizontal="righ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4" fontId="10" fillId="2" borderId="0" xfId="8" applyNumberFormat="1" applyFont="1" applyFill="1" applyAlignment="1">
      <alignment horizontal="center"/>
    </xf>
    <xf numFmtId="46" fontId="11" fillId="2" borderId="0" xfId="10" applyNumberFormat="1" applyFont="1" applyFill="1" applyBorder="1"/>
    <xf numFmtId="167" fontId="10" fillId="2" borderId="0" xfId="8" applyNumberFormat="1" applyFont="1" applyFill="1" applyAlignment="1">
      <alignment horizontal="center"/>
    </xf>
    <xf numFmtId="172" fontId="10" fillId="2" borderId="0" xfId="8" applyNumberFormat="1" applyFont="1" applyFill="1" applyAlignment="1">
      <alignment horizontal="center"/>
    </xf>
    <xf numFmtId="10" fontId="10" fillId="2" borderId="0" xfId="4" applyNumberFormat="1" applyFont="1" applyFill="1" applyAlignment="1">
      <alignment horizontal="center"/>
    </xf>
    <xf numFmtId="164" fontId="10" fillId="2" borderId="0" xfId="8" applyNumberFormat="1" applyFont="1" applyFill="1" applyAlignment="1">
      <alignment horizontal="center" vertical="center"/>
    </xf>
    <xf numFmtId="167" fontId="10" fillId="2" borderId="0" xfId="4" applyNumberFormat="1" applyFont="1" applyFill="1" applyAlignment="1">
      <alignment horizontal="center"/>
    </xf>
    <xf numFmtId="171" fontId="10" fillId="2" borderId="0" xfId="9" applyNumberFormat="1" applyFont="1" applyFill="1" applyAlignment="1">
      <alignment horizontal="right"/>
    </xf>
    <xf numFmtId="171" fontId="10" fillId="2" borderId="0" xfId="9" applyNumberFormat="1" applyFont="1" applyFill="1" applyBorder="1" applyAlignment="1">
      <alignment horizontal="right"/>
    </xf>
    <xf numFmtId="164" fontId="6" fillId="0" borderId="0" xfId="0" applyNumberFormat="1" applyFont="1" applyAlignment="1"/>
    <xf numFmtId="46" fontId="9" fillId="0" borderId="0" xfId="10" applyNumberFormat="1" applyFont="1" applyBorder="1"/>
    <xf numFmtId="164" fontId="7" fillId="0" borderId="0" xfId="8" applyNumberFormat="1" applyFont="1" applyAlignment="1"/>
    <xf numFmtId="167" fontId="7" fillId="0" borderId="0" xfId="8" applyNumberFormat="1" applyFont="1" applyAlignment="1"/>
    <xf numFmtId="164" fontId="7" fillId="0" borderId="0" xfId="0" applyNumberFormat="1" applyFont="1" applyAlignment="1"/>
    <xf numFmtId="171" fontId="7" fillId="0" borderId="0" xfId="9" applyNumberFormat="1" applyFont="1" applyAlignment="1">
      <alignment horizontal="right"/>
    </xf>
    <xf numFmtId="164" fontId="6" fillId="0" borderId="0" xfId="8" applyNumberFormat="1" applyFont="1" applyFill="1"/>
    <xf numFmtId="164" fontId="6" fillId="0" borderId="0" xfId="8" applyNumberFormat="1" applyFont="1" applyFill="1" applyAlignment="1">
      <alignment horizontal="center" vertical="center"/>
    </xf>
    <xf numFmtId="9" fontId="6" fillId="0" borderId="0" xfId="4" applyFont="1" applyFill="1" applyAlignment="1">
      <alignment horizontal="center"/>
    </xf>
    <xf numFmtId="0" fontId="6" fillId="3" borderId="0" xfId="0" applyFont="1" applyFill="1"/>
    <xf numFmtId="164" fontId="6" fillId="0" borderId="0" xfId="8" applyNumberFormat="1" applyFont="1" applyFill="1" applyAlignment="1"/>
    <xf numFmtId="168" fontId="6" fillId="0" borderId="0" xfId="8" applyFont="1" applyFill="1"/>
    <xf numFmtId="171" fontId="6" fillId="0" borderId="0" xfId="9" applyNumberFormat="1" applyFont="1" applyFill="1" applyBorder="1" applyAlignment="1">
      <alignment horizontal="right"/>
    </xf>
    <xf numFmtId="166" fontId="6" fillId="0" borderId="0" xfId="0" applyNumberFormat="1" applyFont="1" applyAlignment="1">
      <alignment vertical="center"/>
    </xf>
    <xf numFmtId="171" fontId="6" fillId="0" borderId="0" xfId="9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4" fontId="6" fillId="0" borderId="0" xfId="8" applyNumberFormat="1" applyFont="1" applyAlignment="1">
      <alignment horizontal="left" vertical="center"/>
    </xf>
    <xf numFmtId="164" fontId="6" fillId="0" borderId="0" xfId="8" applyNumberFormat="1" applyFont="1" applyAlignment="1">
      <alignment horizontal="center" vertical="center"/>
    </xf>
    <xf numFmtId="46" fontId="11" fillId="0" borderId="0" xfId="10" applyNumberFormat="1" applyFont="1" applyBorder="1" applyAlignment="1">
      <alignment horizontal="right" vertical="center"/>
    </xf>
    <xf numFmtId="167" fontId="6" fillId="0" borderId="0" xfId="8" applyNumberFormat="1" applyFont="1" applyAlignment="1">
      <alignment horizontal="center" vertical="center"/>
    </xf>
    <xf numFmtId="171" fontId="6" fillId="0" borderId="0" xfId="9" applyNumberFormat="1" applyFont="1" applyBorder="1" applyAlignment="1">
      <alignment horizontal="right" vertical="center"/>
    </xf>
    <xf numFmtId="175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4" fontId="7" fillId="0" borderId="0" xfId="8" applyNumberFormat="1" applyFont="1" applyAlignment="1">
      <alignment horizontal="left" vertical="center"/>
    </xf>
    <xf numFmtId="164" fontId="7" fillId="0" borderId="0" xfId="8" applyNumberFormat="1" applyFont="1" applyAlignment="1">
      <alignment horizontal="center" vertical="center"/>
    </xf>
    <xf numFmtId="46" fontId="9" fillId="0" borderId="0" xfId="10" applyNumberFormat="1" applyFont="1" applyBorder="1" applyAlignment="1">
      <alignment horizontal="right" vertical="center"/>
    </xf>
    <xf numFmtId="46" fontId="9" fillId="0" borderId="0" xfId="10" applyNumberFormat="1" applyFont="1" applyBorder="1" applyAlignment="1">
      <alignment horizontal="center" vertical="center"/>
    </xf>
    <xf numFmtId="167" fontId="7" fillId="0" borderId="0" xfId="8" applyNumberFormat="1" applyFont="1" applyAlignment="1">
      <alignment horizontal="center" vertical="center"/>
    </xf>
    <xf numFmtId="175" fontId="7" fillId="0" borderId="0" xfId="0" applyNumberFormat="1" applyFont="1" applyAlignment="1">
      <alignment horizontal="right" vertical="center"/>
    </xf>
    <xf numFmtId="171" fontId="7" fillId="0" borderId="0" xfId="9" applyNumberFormat="1" applyFont="1" applyBorder="1" applyAlignment="1">
      <alignment horizontal="right" vertical="center"/>
    </xf>
    <xf numFmtId="46" fontId="15" fillId="2" borderId="0" xfId="10" applyNumberFormat="1" applyFont="1" applyFill="1" applyBorder="1" applyAlignment="1">
      <alignment horizontal="right" vertical="center"/>
    </xf>
    <xf numFmtId="46" fontId="15" fillId="2" borderId="0" xfId="10" applyNumberFormat="1" applyFont="1" applyFill="1" applyBorder="1" applyAlignment="1">
      <alignment vertical="center"/>
    </xf>
    <xf numFmtId="164" fontId="10" fillId="2" borderId="0" xfId="8" applyNumberFormat="1" applyFont="1" applyFill="1"/>
    <xf numFmtId="171" fontId="6" fillId="0" borderId="0" xfId="9" applyNumberFormat="1" applyFont="1" applyFill="1" applyAlignment="1">
      <alignment horizontal="right"/>
    </xf>
    <xf numFmtId="164" fontId="6" fillId="0" borderId="0" xfId="8" applyNumberFormat="1" applyFont="1" applyFill="1" applyAlignment="1">
      <alignment horizontal="left" vertical="center"/>
    </xf>
    <xf numFmtId="46" fontId="11" fillId="0" borderId="0" xfId="1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0" fillId="2" borderId="0" xfId="8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6" fillId="0" borderId="0" xfId="8" applyNumberFormat="1" applyFont="1" applyFill="1" applyAlignment="1">
      <alignment vertical="center"/>
    </xf>
    <xf numFmtId="171" fontId="6" fillId="0" borderId="0" xfId="9" applyNumberFormat="1" applyFont="1" applyFill="1" applyAlignment="1">
      <alignment vertical="center"/>
    </xf>
    <xf numFmtId="166" fontId="6" fillId="0" borderId="0" xfId="0" applyNumberFormat="1" applyFont="1" applyAlignment="1">
      <alignment horizontal="right" vertical="center"/>
    </xf>
    <xf numFmtId="171" fontId="6" fillId="0" borderId="0" xfId="9" applyNumberFormat="1" applyFont="1" applyFill="1" applyAlignment="1">
      <alignment horizontal="right" vertical="center"/>
    </xf>
    <xf numFmtId="166" fontId="6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6" fontId="11" fillId="0" borderId="0" xfId="10" applyNumberFormat="1" applyFont="1" applyFill="1" applyBorder="1"/>
    <xf numFmtId="167" fontId="6" fillId="0" borderId="0" xfId="8" applyNumberFormat="1" applyFont="1" applyFill="1" applyAlignment="1"/>
    <xf numFmtId="167" fontId="6" fillId="0" borderId="0" xfId="8" applyNumberFormat="1" applyFont="1" applyFill="1" applyAlignment="1">
      <alignment vertical="center"/>
    </xf>
    <xf numFmtId="175" fontId="6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67" fontId="6" fillId="0" borderId="0" xfId="8" applyNumberFormat="1" applyFont="1" applyFill="1"/>
    <xf numFmtId="165" fontId="0" fillId="0" borderId="0" xfId="0" applyNumberFormat="1" applyFill="1"/>
    <xf numFmtId="46" fontId="11" fillId="0" borderId="0" xfId="10" applyNumberFormat="1" applyFont="1" applyFill="1" applyBorder="1" applyAlignment="1">
      <alignment vertical="center"/>
    </xf>
    <xf numFmtId="167" fontId="6" fillId="0" borderId="0" xfId="8" applyNumberFormat="1" applyFont="1" applyFill="1" applyAlignment="1">
      <alignment horizontal="center" vertical="center"/>
    </xf>
    <xf numFmtId="164" fontId="0" fillId="0" borderId="0" xfId="0" applyNumberFormat="1" applyFill="1" applyAlignment="1"/>
    <xf numFmtId="0" fontId="0" fillId="0" borderId="0" xfId="0" applyFill="1" applyAlignment="1"/>
    <xf numFmtId="165" fontId="0" fillId="0" borderId="0" xfId="0" applyNumberFormat="1" applyFill="1" applyAlignment="1">
      <alignment vertical="center"/>
    </xf>
    <xf numFmtId="166" fontId="11" fillId="0" borderId="0" xfId="0" applyNumberFormat="1" applyFont="1" applyFill="1" applyAlignment="1">
      <alignment vertical="center"/>
    </xf>
    <xf numFmtId="166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164" fontId="11" fillId="0" borderId="0" xfId="8" applyNumberFormat="1" applyFont="1" applyFill="1"/>
    <xf numFmtId="164" fontId="11" fillId="0" borderId="0" xfId="8" applyNumberFormat="1" applyFont="1" applyFill="1" applyAlignment="1">
      <alignment vertical="center"/>
    </xf>
    <xf numFmtId="167" fontId="11" fillId="0" borderId="0" xfId="8" applyNumberFormat="1" applyFont="1" applyFill="1" applyAlignment="1">
      <alignment vertical="center"/>
    </xf>
    <xf numFmtId="175" fontId="11" fillId="0" borderId="0" xfId="0" applyNumberFormat="1" applyFont="1" applyFill="1"/>
    <xf numFmtId="167" fontId="11" fillId="0" borderId="0" xfId="8" applyNumberFormat="1" applyFont="1" applyFill="1" applyAlignment="1">
      <alignment horizontal="center" vertical="center"/>
    </xf>
    <xf numFmtId="164" fontId="16" fillId="0" borderId="0" xfId="0" applyNumberFormat="1" applyFont="1" applyFill="1" applyAlignment="1"/>
    <xf numFmtId="0" fontId="16" fillId="0" borderId="0" xfId="0" applyFont="1" applyFill="1" applyAlignment="1"/>
    <xf numFmtId="167" fontId="11" fillId="0" borderId="0" xfId="8" applyNumberFormat="1" applyFont="1" applyFill="1"/>
    <xf numFmtId="165" fontId="16" fillId="0" borderId="0" xfId="0" applyNumberFormat="1" applyFont="1" applyFill="1" applyAlignment="1">
      <alignment vertical="center"/>
    </xf>
    <xf numFmtId="171" fontId="11" fillId="0" borderId="0" xfId="9" applyNumberFormat="1" applyFont="1" applyFill="1" applyAlignment="1">
      <alignment vertical="center"/>
    </xf>
    <xf numFmtId="171" fontId="11" fillId="0" borderId="0" xfId="9" applyNumberFormat="1" applyFont="1" applyFill="1" applyBorder="1" applyAlignment="1">
      <alignment horizontal="right"/>
    </xf>
    <xf numFmtId="0" fontId="16" fillId="0" borderId="0" xfId="0" applyFont="1" applyFill="1"/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>
      <alignment vertical="center"/>
    </xf>
    <xf numFmtId="166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164" fontId="7" fillId="0" borderId="0" xfId="8" applyNumberFormat="1" applyFont="1" applyFill="1"/>
    <xf numFmtId="164" fontId="7" fillId="0" borderId="0" xfId="8" applyNumberFormat="1" applyFont="1" applyFill="1" applyAlignment="1">
      <alignment vertical="center"/>
    </xf>
    <xf numFmtId="175" fontId="7" fillId="0" borderId="0" xfId="0" applyNumberFormat="1" applyFont="1"/>
    <xf numFmtId="164" fontId="17" fillId="0" borderId="0" xfId="0" applyNumberFormat="1" applyFont="1" applyAlignment="1"/>
    <xf numFmtId="0" fontId="17" fillId="0" borderId="0" xfId="0" applyFont="1" applyAlignment="1"/>
    <xf numFmtId="165" fontId="17" fillId="0" borderId="0" xfId="0" applyNumberFormat="1" applyFont="1" applyAlignment="1">
      <alignment vertical="center"/>
    </xf>
    <xf numFmtId="171" fontId="7" fillId="0" borderId="0" xfId="9" applyNumberFormat="1" applyFont="1" applyFill="1" applyAlignment="1">
      <alignment vertical="center"/>
    </xf>
    <xf numFmtId="0" fontId="17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171" fontId="7" fillId="0" borderId="0" xfId="9" applyNumberFormat="1" applyFont="1" applyFill="1" applyAlignment="1">
      <alignment horizontal="right"/>
    </xf>
    <xf numFmtId="167" fontId="6" fillId="0" borderId="0" xfId="0" applyNumberFormat="1" applyFont="1"/>
    <xf numFmtId="164" fontId="9" fillId="0" borderId="0" xfId="8" applyNumberFormat="1" applyFont="1" applyFill="1" applyAlignment="1">
      <alignment vertical="center"/>
    </xf>
    <xf numFmtId="171" fontId="7" fillId="0" borderId="0" xfId="9" applyNumberFormat="1" applyFont="1" applyFill="1" applyAlignment="1">
      <alignment horizontal="right" vertical="center"/>
    </xf>
    <xf numFmtId="172" fontId="6" fillId="0" borderId="0" xfId="8" applyNumberFormat="1" applyFont="1" applyAlignment="1"/>
    <xf numFmtId="166" fontId="11" fillId="0" borderId="0" xfId="0" applyNumberFormat="1" applyFont="1" applyAlignment="1">
      <alignment vertical="center"/>
    </xf>
    <xf numFmtId="0" fontId="11" fillId="0" borderId="0" xfId="0" applyFont="1" applyFill="1" applyAlignment="1">
      <alignment horizontal="center"/>
    </xf>
    <xf numFmtId="164" fontId="11" fillId="0" borderId="0" xfId="8" applyNumberFormat="1" applyFont="1" applyAlignment="1">
      <alignment vertical="center"/>
    </xf>
    <xf numFmtId="164" fontId="11" fillId="0" borderId="0" xfId="8" applyNumberFormat="1" applyFont="1"/>
    <xf numFmtId="167" fontId="11" fillId="0" borderId="0" xfId="0" applyNumberFormat="1" applyFont="1"/>
    <xf numFmtId="172" fontId="11" fillId="0" borderId="0" xfId="8" applyNumberFormat="1" applyFont="1" applyAlignment="1"/>
    <xf numFmtId="175" fontId="11" fillId="0" borderId="0" xfId="0" applyNumberFormat="1" applyFont="1"/>
    <xf numFmtId="167" fontId="11" fillId="0" borderId="0" xfId="8" applyNumberFormat="1" applyFont="1" applyAlignment="1"/>
    <xf numFmtId="164" fontId="16" fillId="0" borderId="0" xfId="0" applyNumberFormat="1" applyFont="1"/>
    <xf numFmtId="0" fontId="16" fillId="0" borderId="0" xfId="0" applyFont="1"/>
    <xf numFmtId="167" fontId="11" fillId="0" borderId="0" xfId="8" applyNumberFormat="1" applyFont="1"/>
    <xf numFmtId="165" fontId="16" fillId="0" borderId="0" xfId="0" applyNumberFormat="1" applyFont="1"/>
    <xf numFmtId="171" fontId="11" fillId="0" borderId="0" xfId="9" applyNumberFormat="1" applyFont="1" applyFill="1" applyAlignment="1">
      <alignment horizontal="right"/>
    </xf>
    <xf numFmtId="171" fontId="11" fillId="0" borderId="0" xfId="9" quotePrefix="1" applyNumberFormat="1" applyFont="1" applyBorder="1" applyAlignment="1">
      <alignment horizontal="right"/>
    </xf>
    <xf numFmtId="164" fontId="0" fillId="0" borderId="0" xfId="0" applyNumberFormat="1" applyFont="1"/>
    <xf numFmtId="0" fontId="0" fillId="0" borderId="0" xfId="0" applyFont="1"/>
    <xf numFmtId="165" fontId="0" fillId="0" borderId="0" xfId="0" applyNumberFormat="1" applyFont="1"/>
    <xf numFmtId="171" fontId="6" fillId="0" borderId="0" xfId="9" quotePrefix="1" applyNumberFormat="1" applyFont="1" applyBorder="1" applyAlignment="1">
      <alignment horizontal="right"/>
    </xf>
    <xf numFmtId="2" fontId="7" fillId="0" borderId="0" xfId="0" applyNumberFormat="1" applyFont="1" applyFill="1"/>
    <xf numFmtId="167" fontId="7" fillId="0" borderId="0" xfId="0" applyNumberFormat="1" applyFont="1"/>
    <xf numFmtId="172" fontId="7" fillId="0" borderId="0" xfId="8" applyNumberFormat="1" applyFont="1" applyAlignment="1"/>
    <xf numFmtId="164" fontId="11" fillId="0" borderId="0" xfId="8" applyNumberFormat="1" applyFont="1" applyAlignment="1"/>
    <xf numFmtId="167" fontId="0" fillId="0" borderId="0" xfId="0" applyNumberFormat="1"/>
    <xf numFmtId="171" fontId="6" fillId="0" borderId="0" xfId="0" applyNumberFormat="1" applyFont="1" applyBorder="1" applyAlignment="1">
      <alignment vertical="center"/>
    </xf>
    <xf numFmtId="0" fontId="16" fillId="0" borderId="0" xfId="0" applyFont="1" applyAlignment="1"/>
    <xf numFmtId="167" fontId="16" fillId="0" borderId="0" xfId="0" applyNumberFormat="1" applyFont="1"/>
    <xf numFmtId="167" fontId="17" fillId="0" borderId="0" xfId="0" applyNumberFormat="1" applyFont="1"/>
    <xf numFmtId="167" fontId="7" fillId="0" borderId="0" xfId="8" applyNumberFormat="1" applyFont="1"/>
    <xf numFmtId="171" fontId="7" fillId="0" borderId="0" xfId="0" applyNumberFormat="1" applyFont="1" applyBorder="1" applyAlignment="1">
      <alignment horizontal="right" vertical="center"/>
    </xf>
    <xf numFmtId="171" fontId="11" fillId="0" borderId="0" xfId="9" applyNumberFormat="1" applyFont="1" applyBorder="1" applyAlignment="1">
      <alignment horizontal="right"/>
    </xf>
    <xf numFmtId="173" fontId="6" fillId="0" borderId="0" xfId="8" applyNumberFormat="1" applyFont="1"/>
    <xf numFmtId="172" fontId="10" fillId="2" borderId="0" xfId="8" applyNumberFormat="1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171" fontId="6" fillId="0" borderId="0" xfId="12" applyNumberFormat="1" applyFont="1" applyFill="1" applyBorder="1" applyAlignment="1">
      <alignment horizontal="right"/>
    </xf>
    <xf numFmtId="171" fontId="6" fillId="0" borderId="0" xfId="12" applyNumberFormat="1" applyFont="1" applyBorder="1" applyAlignment="1">
      <alignment horizontal="right"/>
    </xf>
    <xf numFmtId="173" fontId="6" fillId="0" borderId="0" xfId="11" applyNumberFormat="1" applyFont="1" applyAlignment="1">
      <alignment horizontal="center"/>
    </xf>
    <xf numFmtId="164" fontId="6" fillId="0" borderId="0" xfId="11" applyNumberFormat="1" applyFont="1" applyAlignment="1">
      <alignment horizontal="center"/>
    </xf>
    <xf numFmtId="164" fontId="6" fillId="0" borderId="0" xfId="11" applyNumberFormat="1" applyFont="1"/>
    <xf numFmtId="46" fontId="11" fillId="0" borderId="0" xfId="13" applyNumberFormat="1" applyFont="1" applyBorder="1"/>
    <xf numFmtId="164" fontId="11" fillId="0" borderId="0" xfId="11" applyNumberFormat="1" applyFont="1" applyFill="1"/>
    <xf numFmtId="164" fontId="6" fillId="0" borderId="0" xfId="11" applyNumberFormat="1" applyFont="1" applyFill="1"/>
    <xf numFmtId="172" fontId="6" fillId="0" borderId="0" xfId="0" applyNumberFormat="1" applyFont="1"/>
    <xf numFmtId="172" fontId="10" fillId="2" borderId="0" xfId="11" applyNumberFormat="1" applyFont="1" applyFill="1"/>
    <xf numFmtId="164" fontId="11" fillId="0" borderId="0" xfId="13" applyNumberFormat="1" applyFont="1" applyBorder="1"/>
    <xf numFmtId="171" fontId="10" fillId="2" borderId="0" xfId="12" applyNumberFormat="1" applyFont="1" applyFill="1" applyBorder="1" applyAlignment="1">
      <alignment horizontal="right"/>
    </xf>
    <xf numFmtId="171" fontId="10" fillId="2" borderId="0" xfId="12" applyNumberFormat="1" applyFont="1" applyFill="1" applyAlignment="1">
      <alignment horizontal="right"/>
    </xf>
    <xf numFmtId="164" fontId="10" fillId="2" borderId="0" xfId="11" applyNumberFormat="1" applyFont="1" applyFill="1" applyAlignment="1">
      <alignment horizontal="center" vertical="center"/>
    </xf>
    <xf numFmtId="167" fontId="10" fillId="2" borderId="0" xfId="11" applyNumberFormat="1" applyFont="1" applyFill="1" applyAlignment="1">
      <alignment horizontal="center"/>
    </xf>
    <xf numFmtId="164" fontId="10" fillId="2" borderId="0" xfId="11" applyNumberFormat="1" applyFont="1" applyFill="1" applyAlignment="1">
      <alignment horizontal="center"/>
    </xf>
    <xf numFmtId="171" fontId="11" fillId="0" borderId="0" xfId="12" applyNumberFormat="1" applyFont="1" applyFill="1" applyBorder="1" applyAlignment="1">
      <alignment horizontal="right"/>
    </xf>
    <xf numFmtId="167" fontId="11" fillId="0" borderId="0" xfId="11" applyNumberFormat="1" applyFont="1" applyAlignment="1">
      <alignment horizontal="center"/>
    </xf>
    <xf numFmtId="164" fontId="11" fillId="0" borderId="0" xfId="11" applyNumberFormat="1" applyFont="1" applyAlignment="1">
      <alignment horizontal="center"/>
    </xf>
    <xf numFmtId="164" fontId="11" fillId="0" borderId="0" xfId="11" applyNumberFormat="1" applyFont="1"/>
    <xf numFmtId="172" fontId="11" fillId="0" borderId="0" xfId="11" applyNumberFormat="1" applyFont="1" applyAlignment="1"/>
    <xf numFmtId="0" fontId="2" fillId="0" borderId="0" xfId="0" applyFont="1"/>
    <xf numFmtId="171" fontId="18" fillId="0" borderId="0" xfId="12" applyNumberFormat="1" applyFont="1" applyFill="1" applyBorder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167" fontId="6" fillId="0" borderId="0" xfId="11" applyNumberFormat="1" applyFont="1" applyAlignment="1">
      <alignment horizontal="center"/>
    </xf>
    <xf numFmtId="172" fontId="6" fillId="0" borderId="0" xfId="11" applyNumberFormat="1" applyFont="1" applyAlignment="1"/>
    <xf numFmtId="171" fontId="11" fillId="0" borderId="0" xfId="11" quotePrefix="1" applyNumberFormat="1" applyFont="1" applyBorder="1" applyAlignment="1">
      <alignment horizontal="right"/>
    </xf>
    <xf numFmtId="171" fontId="11" fillId="0" borderId="0" xfId="12" applyNumberFormat="1" applyFont="1" applyBorder="1" applyAlignment="1">
      <alignment horizontal="right"/>
    </xf>
    <xf numFmtId="171" fontId="6" fillId="0" borderId="0" xfId="12" applyNumberFormat="1" applyFont="1" applyFill="1" applyAlignment="1">
      <alignment vertical="center"/>
    </xf>
    <xf numFmtId="171" fontId="7" fillId="0" borderId="0" xfId="12" applyNumberFormat="1" applyFont="1" applyBorder="1" applyAlignment="1">
      <alignment horizontal="right"/>
    </xf>
    <xf numFmtId="167" fontId="7" fillId="0" borderId="0" xfId="11" applyNumberFormat="1" applyFont="1" applyAlignment="1">
      <alignment horizontal="center"/>
    </xf>
    <xf numFmtId="172" fontId="7" fillId="0" borderId="0" xfId="11" applyNumberFormat="1" applyFont="1" applyAlignment="1"/>
    <xf numFmtId="164" fontId="7" fillId="0" borderId="0" xfId="11" applyNumberFormat="1" applyFont="1" applyAlignment="1">
      <alignment horizontal="center"/>
    </xf>
    <xf numFmtId="164" fontId="7" fillId="0" borderId="0" xfId="11" applyNumberFormat="1" applyFont="1"/>
    <xf numFmtId="46" fontId="9" fillId="0" borderId="0" xfId="13" applyNumberFormat="1" applyFont="1" applyBorder="1"/>
    <xf numFmtId="164" fontId="7" fillId="0" borderId="0" xfId="11" applyNumberFormat="1" applyFont="1" applyFill="1"/>
    <xf numFmtId="171" fontId="11" fillId="0" borderId="0" xfId="12" applyNumberFormat="1" applyFont="1" applyFill="1" applyAlignment="1">
      <alignment vertical="center"/>
    </xf>
    <xf numFmtId="0" fontId="16" fillId="0" borderId="0" xfId="0" applyFont="1" applyAlignment="1">
      <alignment horizontal="center"/>
    </xf>
    <xf numFmtId="0" fontId="6" fillId="0" borderId="0" xfId="0" applyFont="1" applyFill="1" applyAlignment="1"/>
    <xf numFmtId="46" fontId="6" fillId="0" borderId="0" xfId="0" applyNumberFormat="1" applyFont="1" applyFill="1" applyAlignment="1"/>
    <xf numFmtId="171" fontId="7" fillId="0" borderId="0" xfId="12" applyNumberFormat="1" applyFont="1" applyFill="1" applyAlignment="1">
      <alignment horizontal="right"/>
    </xf>
    <xf numFmtId="171" fontId="6" fillId="0" borderId="0" xfId="12" applyNumberFormat="1" applyFont="1" applyFill="1" applyAlignment="1">
      <alignment horizontal="right"/>
    </xf>
    <xf numFmtId="171" fontId="11" fillId="0" borderId="0" xfId="12" applyNumberFormat="1" applyFont="1" applyFill="1" applyAlignment="1">
      <alignment horizontal="right"/>
    </xf>
    <xf numFmtId="171" fontId="11" fillId="0" borderId="0" xfId="11" applyNumberFormat="1" applyFont="1" applyFill="1" applyBorder="1" applyAlignment="1">
      <alignment horizontal="right"/>
    </xf>
    <xf numFmtId="171" fontId="10" fillId="0" borderId="0" xfId="12" applyNumberFormat="1" applyFont="1" applyBorder="1" applyAlignment="1">
      <alignment horizontal="right"/>
    </xf>
    <xf numFmtId="164" fontId="6" fillId="0" borderId="0" xfId="11" applyNumberFormat="1" applyFont="1" applyFill="1" applyAlignment="1"/>
    <xf numFmtId="167" fontId="10" fillId="2" borderId="0" xfId="11" applyNumberFormat="1" applyFont="1" applyFill="1"/>
    <xf numFmtId="171" fontId="9" fillId="0" borderId="0" xfId="11" applyNumberFormat="1" applyFont="1" applyBorder="1" applyAlignment="1">
      <alignment horizontal="right"/>
    </xf>
    <xf numFmtId="171" fontId="19" fillId="0" borderId="0" xfId="12" applyNumberFormat="1" applyFont="1" applyBorder="1" applyAlignment="1">
      <alignment horizontal="right"/>
    </xf>
    <xf numFmtId="164" fontId="7" fillId="0" borderId="0" xfId="11" applyNumberFormat="1" applyFont="1" applyFill="1" applyAlignment="1"/>
    <xf numFmtId="167" fontId="6" fillId="0" borderId="0" xfId="0" applyNumberFormat="1" applyFont="1" applyAlignment="1">
      <alignment horizontal="center" vertical="center"/>
    </xf>
    <xf numFmtId="164" fontId="6" fillId="0" borderId="0" xfId="11" applyNumberFormat="1" applyFont="1" applyAlignment="1">
      <alignment vertical="center"/>
    </xf>
    <xf numFmtId="46" fontId="11" fillId="0" borderId="0" xfId="13" applyNumberFormat="1" applyFont="1" applyBorder="1" applyAlignment="1">
      <alignment vertical="center"/>
    </xf>
    <xf numFmtId="164" fontId="6" fillId="0" borderId="0" xfId="11" applyNumberFormat="1" applyFont="1" applyFill="1" applyAlignment="1">
      <alignment vertical="center"/>
    </xf>
    <xf numFmtId="167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71" fontId="6" fillId="0" borderId="0" xfId="12" applyNumberFormat="1" applyFont="1" applyFill="1" applyAlignment="1">
      <alignment horizontal="right" vertical="center"/>
    </xf>
    <xf numFmtId="167" fontId="6" fillId="0" borderId="0" xfId="11" applyNumberFormat="1" applyFont="1" applyFill="1" applyAlignment="1">
      <alignment horizontal="center"/>
    </xf>
    <xf numFmtId="167" fontId="6" fillId="0" borderId="0" xfId="0" applyNumberFormat="1" applyFont="1" applyFill="1"/>
    <xf numFmtId="172" fontId="6" fillId="0" borderId="0" xfId="11" applyNumberFormat="1" applyFont="1" applyFill="1" applyAlignment="1"/>
    <xf numFmtId="164" fontId="6" fillId="0" borderId="0" xfId="11" applyNumberFormat="1" applyFont="1" applyFill="1" applyAlignment="1">
      <alignment horizontal="center"/>
    </xf>
    <xf numFmtId="46" fontId="11" fillId="0" borderId="0" xfId="13" applyNumberFormat="1" applyFont="1" applyFill="1" applyBorder="1" applyAlignment="1">
      <alignment vertical="center"/>
    </xf>
    <xf numFmtId="46" fontId="11" fillId="0" borderId="0" xfId="13" applyNumberFormat="1" applyFont="1" applyFill="1" applyBorder="1"/>
    <xf numFmtId="171" fontId="11" fillId="0" borderId="0" xfId="11" applyNumberFormat="1" applyFont="1" applyBorder="1" applyAlignment="1">
      <alignment horizontal="right"/>
    </xf>
    <xf numFmtId="171" fontId="10" fillId="0" borderId="0" xfId="12" applyNumberFormat="1" applyFont="1" applyFill="1" applyBorder="1" applyAlignment="1">
      <alignment horizontal="right"/>
    </xf>
    <xf numFmtId="167" fontId="6" fillId="0" borderId="0" xfId="0" applyNumberFormat="1" applyFont="1" applyFill="1" applyAlignment="1">
      <alignment vertical="center"/>
    </xf>
    <xf numFmtId="172" fontId="6" fillId="0" borderId="0" xfId="11" applyNumberFormat="1" applyFont="1" applyAlignment="1">
      <alignment horizontal="center" vertical="center"/>
    </xf>
    <xf numFmtId="167" fontId="6" fillId="0" borderId="0" xfId="0" applyNumberFormat="1" applyFont="1" applyAlignment="1">
      <alignment horizontal="right"/>
    </xf>
    <xf numFmtId="171" fontId="11" fillId="0" borderId="0" xfId="12" applyNumberFormat="1" applyFont="1" applyAlignment="1">
      <alignment horizontal="right"/>
    </xf>
    <xf numFmtId="168" fontId="18" fillId="0" borderId="0" xfId="11" applyFont="1" applyAlignment="1">
      <alignment horizontal="center"/>
    </xf>
    <xf numFmtId="164" fontId="18" fillId="0" borderId="0" xfId="11" applyNumberFormat="1" applyFont="1" applyAlignment="1">
      <alignment horizontal="center"/>
    </xf>
    <xf numFmtId="164" fontId="6" fillId="0" borderId="0" xfId="11" applyNumberFormat="1" applyFont="1" applyAlignment="1">
      <alignment horizontal="left"/>
    </xf>
    <xf numFmtId="0" fontId="10" fillId="2" borderId="0" xfId="11" applyNumberFormat="1" applyFont="1" applyFill="1"/>
    <xf numFmtId="164" fontId="10" fillId="2" borderId="0" xfId="11" applyNumberFormat="1" applyFont="1" applyFill="1" applyBorder="1" applyAlignment="1">
      <alignment horizontal="center"/>
    </xf>
    <xf numFmtId="168" fontId="6" fillId="0" borderId="0" xfId="11" applyFont="1" applyFill="1"/>
    <xf numFmtId="164" fontId="6" fillId="0" borderId="0" xfId="11" applyNumberFormat="1" applyFont="1" applyFill="1" applyAlignment="1">
      <alignment horizontal="left"/>
    </xf>
    <xf numFmtId="0" fontId="10" fillId="0" borderId="0" xfId="0" applyFont="1" applyFill="1"/>
    <xf numFmtId="164" fontId="10" fillId="0" borderId="0" xfId="4" applyNumberFormat="1" applyFont="1" applyFill="1" applyAlignment="1">
      <alignment horizontal="center"/>
    </xf>
    <xf numFmtId="164" fontId="10" fillId="0" borderId="0" xfId="11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/>
    </xf>
    <xf numFmtId="164" fontId="6" fillId="0" borderId="0" xfId="11" applyNumberFormat="1" applyFont="1" applyFill="1" applyAlignment="1">
      <alignment horizontal="center" vertical="center"/>
    </xf>
    <xf numFmtId="171" fontId="15" fillId="2" borderId="0" xfId="12" applyNumberFormat="1" applyFont="1" applyFill="1" applyBorder="1" applyAlignment="1">
      <alignment horizontal="right"/>
    </xf>
    <xf numFmtId="164" fontId="10" fillId="2" borderId="0" xfId="11" applyNumberFormat="1" applyFont="1" applyFill="1" applyAlignment="1">
      <alignment horizontal="left"/>
    </xf>
    <xf numFmtId="171" fontId="9" fillId="0" borderId="0" xfId="12" applyNumberFormat="1" applyFont="1" applyAlignment="1">
      <alignment horizontal="right"/>
    </xf>
    <xf numFmtId="168" fontId="12" fillId="0" borderId="0" xfId="11" applyFont="1" applyAlignment="1">
      <alignment horizontal="center"/>
    </xf>
    <xf numFmtId="164" fontId="12" fillId="0" borderId="0" xfId="11" applyNumberFormat="1" applyFont="1" applyAlignment="1">
      <alignment horizontal="center"/>
    </xf>
    <xf numFmtId="164" fontId="7" fillId="0" borderId="0" xfId="11" applyNumberFormat="1" applyFont="1" applyAlignment="1">
      <alignment vertical="center"/>
    </xf>
    <xf numFmtId="164" fontId="7" fillId="0" borderId="0" xfId="11" applyNumberFormat="1" applyFont="1" applyAlignment="1">
      <alignment horizontal="left"/>
    </xf>
    <xf numFmtId="0" fontId="7" fillId="0" borderId="0" xfId="0" applyFont="1" applyAlignment="1">
      <alignment horizontal="left"/>
    </xf>
    <xf numFmtId="171" fontId="11" fillId="0" borderId="0" xfId="12" applyNumberFormat="1" applyFont="1" applyAlignment="1">
      <alignment horizontal="right" vertical="center"/>
    </xf>
    <xf numFmtId="171" fontId="11" fillId="0" borderId="0" xfId="12" applyNumberFormat="1" applyFont="1" applyAlignment="1">
      <alignment vertical="center"/>
    </xf>
    <xf numFmtId="167" fontId="6" fillId="0" borderId="0" xfId="11" applyNumberFormat="1" applyFont="1" applyAlignment="1"/>
    <xf numFmtId="10" fontId="6" fillId="0" borderId="0" xfId="11" applyNumberFormat="1" applyFont="1"/>
    <xf numFmtId="164" fontId="10" fillId="2" borderId="0" xfId="11" applyNumberFormat="1" applyFont="1" applyFill="1"/>
    <xf numFmtId="171" fontId="15" fillId="2" borderId="0" xfId="12" applyNumberFormat="1" applyFont="1" applyFill="1" applyAlignment="1">
      <alignment horizontal="right"/>
    </xf>
    <xf numFmtId="0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8" fontId="18" fillId="0" borderId="0" xfId="11" applyFont="1" applyFill="1" applyAlignment="1">
      <alignment horizontal="center"/>
    </xf>
    <xf numFmtId="164" fontId="18" fillId="0" borderId="0" xfId="11" applyNumberFormat="1" applyFont="1" applyFill="1" applyAlignment="1">
      <alignment horizontal="center"/>
    </xf>
    <xf numFmtId="164" fontId="6" fillId="0" borderId="0" xfId="11" applyNumberFormat="1" applyFont="1" applyAlignment="1">
      <alignment horizontal="center" vertical="center"/>
    </xf>
    <xf numFmtId="46" fontId="11" fillId="0" borderId="0" xfId="13" applyNumberFormat="1" applyFont="1" applyBorder="1" applyAlignment="1">
      <alignment horizontal="right" vertical="center"/>
    </xf>
    <xf numFmtId="164" fontId="6" fillId="0" borderId="0" xfId="11" applyNumberFormat="1" applyFont="1" applyAlignment="1">
      <alignment horizontal="left" vertical="center"/>
    </xf>
    <xf numFmtId="164" fontId="6" fillId="0" borderId="0" xfId="11" applyNumberFormat="1" applyFont="1" applyAlignment="1"/>
    <xf numFmtId="165" fontId="5" fillId="0" borderId="0" xfId="11" applyNumberFormat="1" applyFont="1" applyBorder="1" applyAlignment="1">
      <alignment horizontal="center" vertical="center" wrapText="1"/>
    </xf>
    <xf numFmtId="165" fontId="5" fillId="0" borderId="0" xfId="12" applyNumberFormat="1" applyFont="1" applyAlignment="1">
      <alignment horizontal="center" vertical="center" wrapText="1"/>
    </xf>
    <xf numFmtId="165" fontId="5" fillId="0" borderId="0" xfId="12" applyNumberFormat="1" applyFont="1" applyBorder="1" applyAlignment="1">
      <alignment horizontal="center" vertical="center" wrapText="1"/>
    </xf>
    <xf numFmtId="168" fontId="5" fillId="0" borderId="0" xfId="11" applyFont="1" applyAlignment="1">
      <alignment horizontal="center" vertical="center" wrapText="1"/>
    </xf>
    <xf numFmtId="164" fontId="5" fillId="0" borderId="0" xfId="11" applyNumberFormat="1" applyFont="1" applyAlignment="1">
      <alignment horizontal="center" vertical="center" wrapText="1"/>
    </xf>
    <xf numFmtId="166" fontId="10" fillId="0" borderId="0" xfId="0" applyNumberFormat="1" applyFont="1"/>
    <xf numFmtId="165" fontId="6" fillId="0" borderId="0" xfId="0" applyNumberFormat="1" applyFont="1"/>
    <xf numFmtId="164" fontId="5" fillId="0" borderId="0" xfId="14" applyNumberFormat="1" applyFont="1" applyAlignment="1">
      <alignment horizontal="center" vertical="center" wrapText="1"/>
    </xf>
    <xf numFmtId="168" fontId="5" fillId="0" borderId="0" xfId="14" applyFont="1" applyAlignment="1">
      <alignment horizontal="center" vertical="center" wrapText="1"/>
    </xf>
    <xf numFmtId="165" fontId="5" fillId="0" borderId="0" xfId="15" applyNumberFormat="1" applyFont="1" applyBorder="1" applyAlignment="1">
      <alignment horizontal="center" vertical="center" wrapText="1"/>
    </xf>
    <xf numFmtId="165" fontId="5" fillId="0" borderId="0" xfId="15" applyNumberFormat="1" applyFont="1" applyAlignment="1">
      <alignment horizontal="center" vertical="center" wrapText="1"/>
    </xf>
    <xf numFmtId="165" fontId="5" fillId="0" borderId="0" xfId="14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4" fontId="6" fillId="0" borderId="0" xfId="14" applyNumberFormat="1" applyFont="1"/>
    <xf numFmtId="46" fontId="11" fillId="0" borderId="0" xfId="16" applyNumberFormat="1" applyFont="1" applyBorder="1"/>
    <xf numFmtId="167" fontId="6" fillId="0" borderId="0" xfId="14" applyNumberFormat="1" applyFont="1" applyAlignment="1">
      <alignment horizontal="right"/>
    </xf>
    <xf numFmtId="167" fontId="6" fillId="0" borderId="0" xfId="14" applyNumberFormat="1" applyFont="1"/>
    <xf numFmtId="172" fontId="6" fillId="0" borderId="0" xfId="14" applyNumberFormat="1" applyFont="1"/>
    <xf numFmtId="164" fontId="6" fillId="0" borderId="0" xfId="0" applyNumberFormat="1" applyFont="1" applyAlignment="1">
      <alignment horizontal="center"/>
    </xf>
    <xf numFmtId="171" fontId="6" fillId="0" borderId="0" xfId="15" applyNumberFormat="1" applyFont="1" applyAlignment="1">
      <alignment horizontal="right"/>
    </xf>
    <xf numFmtId="171" fontId="6" fillId="0" borderId="0" xfId="15" applyNumberFormat="1" applyFont="1" applyBorder="1" applyAlignment="1">
      <alignment horizontal="right"/>
    </xf>
    <xf numFmtId="164" fontId="6" fillId="0" borderId="0" xfId="14" applyNumberFormat="1" applyFont="1" applyAlignment="1">
      <alignment wrapText="1"/>
    </xf>
    <xf numFmtId="164" fontId="6" fillId="0" borderId="0" xfId="14" applyNumberFormat="1" applyFont="1" applyFill="1"/>
    <xf numFmtId="164" fontId="6" fillId="0" borderId="0" xfId="14" applyNumberFormat="1" applyFont="1" applyFill="1" applyAlignment="1"/>
    <xf numFmtId="168" fontId="6" fillId="0" borderId="0" xfId="14" applyFont="1" applyFill="1"/>
    <xf numFmtId="171" fontId="6" fillId="0" borderId="0" xfId="14" applyNumberFormat="1" applyFont="1" applyFill="1" applyAlignment="1">
      <alignment horizontal="right"/>
    </xf>
    <xf numFmtId="164" fontId="6" fillId="0" borderId="0" xfId="14" applyNumberFormat="1" applyFont="1" applyAlignment="1">
      <alignment vertical="center"/>
    </xf>
    <xf numFmtId="164" fontId="6" fillId="0" borderId="0" xfId="14" applyNumberFormat="1" applyFont="1" applyAlignment="1"/>
    <xf numFmtId="46" fontId="11" fillId="0" borderId="0" xfId="16" applyNumberFormat="1" applyFont="1" applyBorder="1" applyAlignment="1">
      <alignment vertical="center"/>
    </xf>
    <xf numFmtId="167" fontId="6" fillId="0" borderId="0" xfId="14" applyNumberFormat="1" applyFont="1" applyAlignment="1">
      <alignment vertical="center"/>
    </xf>
    <xf numFmtId="171" fontId="6" fillId="0" borderId="0" xfId="15" applyNumberFormat="1" applyFont="1" applyAlignment="1">
      <alignment vertical="center"/>
    </xf>
    <xf numFmtId="172" fontId="6" fillId="0" borderId="0" xfId="14" applyNumberFormat="1" applyFont="1" applyAlignment="1">
      <alignment horizontal="center" vertical="center"/>
    </xf>
    <xf numFmtId="164" fontId="6" fillId="0" borderId="0" xfId="14" applyNumberFormat="1" applyFont="1" applyAlignment="1">
      <alignment horizontal="left" vertical="center"/>
    </xf>
    <xf numFmtId="164" fontId="6" fillId="0" borderId="0" xfId="14" applyNumberFormat="1" applyFont="1" applyFill="1" applyAlignment="1">
      <alignment horizontal="center" vertical="center"/>
    </xf>
    <xf numFmtId="46" fontId="11" fillId="0" borderId="0" xfId="16" applyNumberFormat="1" applyFont="1" applyBorder="1" applyAlignment="1">
      <alignment horizontal="center" vertical="center"/>
    </xf>
    <xf numFmtId="164" fontId="6" fillId="0" borderId="0" xfId="14" applyNumberFormat="1" applyFont="1" applyAlignment="1">
      <alignment horizontal="center" vertical="center"/>
    </xf>
    <xf numFmtId="167" fontId="6" fillId="0" borderId="0" xfId="14" applyNumberFormat="1" applyFont="1" applyAlignment="1">
      <alignment horizontal="center" vertical="center"/>
    </xf>
    <xf numFmtId="164" fontId="6" fillId="0" borderId="0" xfId="14" applyNumberFormat="1" applyFont="1" applyFill="1" applyAlignment="1">
      <alignment vertical="center"/>
    </xf>
    <xf numFmtId="171" fontId="6" fillId="0" borderId="0" xfId="14" applyNumberFormat="1" applyFont="1" applyFill="1" applyAlignment="1">
      <alignment vertical="center"/>
    </xf>
    <xf numFmtId="164" fontId="11" fillId="0" borderId="0" xfId="14" applyNumberFormat="1" applyFont="1" applyFill="1" applyAlignment="1">
      <alignment vertical="center"/>
    </xf>
    <xf numFmtId="4" fontId="6" fillId="0" borderId="0" xfId="14" applyNumberFormat="1" applyFont="1" applyFill="1" applyAlignment="1">
      <alignment horizontal="right"/>
    </xf>
    <xf numFmtId="164" fontId="11" fillId="0" borderId="0" xfId="14" applyNumberFormat="1" applyFont="1" applyFill="1"/>
    <xf numFmtId="164" fontId="11" fillId="0" borderId="0" xfId="14" applyNumberFormat="1" applyFont="1"/>
    <xf numFmtId="167" fontId="11" fillId="0" borderId="0" xfId="14" applyNumberFormat="1" applyFont="1" applyAlignment="1">
      <alignment vertical="center"/>
    </xf>
    <xf numFmtId="172" fontId="11" fillId="0" borderId="0" xfId="14" applyNumberFormat="1" applyFont="1"/>
    <xf numFmtId="167" fontId="11" fillId="0" borderId="0" xfId="14" applyNumberFormat="1" applyFont="1"/>
    <xf numFmtId="164" fontId="11" fillId="0" borderId="0" xfId="14" applyNumberFormat="1" applyFont="1" applyFill="1" applyAlignment="1"/>
    <xf numFmtId="164" fontId="11" fillId="0" borderId="0" xfId="4" applyNumberFormat="1" applyFont="1" applyFill="1" applyAlignment="1">
      <alignment horizontal="center"/>
    </xf>
    <xf numFmtId="4" fontId="11" fillId="0" borderId="0" xfId="14" applyNumberFormat="1" applyFont="1" applyFill="1" applyAlignment="1">
      <alignment horizontal="right"/>
    </xf>
    <xf numFmtId="171" fontId="11" fillId="0" borderId="0" xfId="15" quotePrefix="1" applyNumberFormat="1" applyFont="1" applyBorder="1" applyAlignment="1">
      <alignment horizontal="right"/>
    </xf>
    <xf numFmtId="171" fontId="6" fillId="0" borderId="0" xfId="15" quotePrefix="1" applyNumberFormat="1" applyFont="1" applyBorder="1" applyAlignment="1">
      <alignment horizontal="right"/>
    </xf>
    <xf numFmtId="177" fontId="6" fillId="0" borderId="0" xfId="4" applyNumberFormat="1" applyFont="1" applyFill="1"/>
    <xf numFmtId="171" fontId="11" fillId="0" borderId="0" xfId="14" applyNumberFormat="1" applyFont="1" applyFill="1" applyAlignment="1">
      <alignment horizontal="right"/>
    </xf>
    <xf numFmtId="178" fontId="11" fillId="0" borderId="0" xfId="0" applyNumberFormat="1" applyFont="1" applyFill="1"/>
    <xf numFmtId="166" fontId="11" fillId="0" borderId="0" xfId="0" applyNumberFormat="1" applyFont="1" applyAlignment="1">
      <alignment horizontal="center" vertical="center"/>
    </xf>
    <xf numFmtId="164" fontId="11" fillId="0" borderId="0" xfId="14" applyNumberFormat="1" applyFont="1" applyAlignment="1">
      <alignment vertical="center"/>
    </xf>
    <xf numFmtId="167" fontId="11" fillId="0" borderId="0" xfId="14" applyNumberFormat="1" applyFont="1" applyAlignment="1">
      <alignment horizontal="center" vertical="center"/>
    </xf>
    <xf numFmtId="171" fontId="11" fillId="0" borderId="0" xfId="14" applyNumberFormat="1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171" fontId="11" fillId="0" borderId="0" xfId="15" applyNumberFormat="1" applyFont="1" applyBorder="1" applyAlignment="1">
      <alignment horizontal="right"/>
    </xf>
    <xf numFmtId="164" fontId="5" fillId="0" borderId="0" xfId="1" applyNumberFormat="1" applyFont="1" applyAlignment="1">
      <alignment horizontal="center" vertical="center" wrapText="1"/>
    </xf>
    <xf numFmtId="43" fontId="5" fillId="0" borderId="0" xfId="1" applyFont="1" applyAlignment="1">
      <alignment horizontal="center" vertical="center" wrapText="1"/>
    </xf>
    <xf numFmtId="165" fontId="5" fillId="0" borderId="0" xfId="3" applyNumberFormat="1" applyFont="1" applyBorder="1" applyAlignment="1">
      <alignment horizontal="center" vertical="center" wrapText="1"/>
    </xf>
    <xf numFmtId="165" fontId="5" fillId="0" borderId="0" xfId="3" applyNumberFormat="1" applyFont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 vertical="center" wrapText="1"/>
    </xf>
    <xf numFmtId="164" fontId="10" fillId="2" borderId="0" xfId="1" applyNumberFormat="1" applyFont="1" applyFill="1"/>
    <xf numFmtId="171" fontId="10" fillId="2" borderId="0" xfId="3" applyNumberFormat="1" applyFont="1" applyFill="1" applyAlignment="1">
      <alignment horizontal="right"/>
    </xf>
    <xf numFmtId="164" fontId="6" fillId="0" borderId="0" xfId="1" applyNumberFormat="1" applyFont="1" applyFill="1"/>
    <xf numFmtId="164" fontId="6" fillId="0" borderId="0" xfId="1" applyNumberFormat="1" applyFont="1"/>
    <xf numFmtId="172" fontId="6" fillId="0" borderId="0" xfId="1" applyNumberFormat="1" applyFont="1"/>
    <xf numFmtId="167" fontId="6" fillId="0" borderId="0" xfId="1" applyNumberFormat="1" applyFont="1"/>
    <xf numFmtId="10" fontId="6" fillId="0" borderId="0" xfId="1" applyNumberFormat="1" applyFont="1"/>
    <xf numFmtId="171" fontId="6" fillId="0" borderId="0" xfId="3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7" fontId="10" fillId="2" borderId="0" xfId="1" applyNumberFormat="1" applyFont="1" applyFill="1"/>
    <xf numFmtId="172" fontId="10" fillId="2" borderId="0" xfId="1" applyNumberFormat="1" applyFont="1" applyFill="1" applyAlignment="1">
      <alignment horizontal="center"/>
    </xf>
    <xf numFmtId="164" fontId="10" fillId="2" borderId="0" xfId="1" applyNumberFormat="1" applyFont="1" applyFill="1" applyAlignment="1"/>
    <xf numFmtId="167" fontId="6" fillId="0" borderId="0" xfId="1" applyNumberFormat="1" applyFont="1" applyFill="1"/>
    <xf numFmtId="164" fontId="6" fillId="0" borderId="0" xfId="1" applyNumberFormat="1" applyFont="1" applyFill="1" applyAlignment="1"/>
    <xf numFmtId="171" fontId="6" fillId="0" borderId="0" xfId="3" applyNumberFormat="1" applyFont="1" applyFill="1" applyAlignment="1">
      <alignment horizontal="right"/>
    </xf>
    <xf numFmtId="171" fontId="10" fillId="2" borderId="0" xfId="3" applyNumberFormat="1" applyFont="1" applyFill="1" applyBorder="1" applyAlignment="1">
      <alignment horizontal="right"/>
    </xf>
    <xf numFmtId="164" fontId="6" fillId="0" borderId="0" xfId="1" applyNumberFormat="1" applyFont="1" applyFill="1" applyAlignment="1">
      <alignment vertical="center"/>
    </xf>
    <xf numFmtId="46" fontId="11" fillId="0" borderId="0" xfId="7" applyNumberFormat="1" applyFont="1" applyBorder="1" applyAlignment="1">
      <alignment vertical="center"/>
    </xf>
    <xf numFmtId="164" fontId="6" fillId="0" borderId="0" xfId="1" applyNumberFormat="1" applyFont="1" applyAlignment="1">
      <alignment vertical="center"/>
    </xf>
    <xf numFmtId="172" fontId="6" fillId="0" borderId="0" xfId="1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71" fontId="6" fillId="0" borderId="0" xfId="3" applyNumberFormat="1" applyFont="1" applyAlignment="1">
      <alignment vertical="center"/>
    </xf>
    <xf numFmtId="172" fontId="10" fillId="2" borderId="0" xfId="1" applyNumberFormat="1" applyFont="1" applyFill="1"/>
    <xf numFmtId="164" fontId="6" fillId="0" borderId="0" xfId="1" applyNumberFormat="1" applyFont="1" applyAlignment="1">
      <alignment horizontal="right"/>
    </xf>
    <xf numFmtId="167" fontId="6" fillId="0" borderId="0" xfId="1" applyNumberFormat="1" applyFont="1" applyAlignment="1">
      <alignment vertical="center"/>
    </xf>
    <xf numFmtId="164" fontId="6" fillId="0" borderId="0" xfId="1" applyNumberFormat="1" applyFont="1" applyFill="1" applyAlignment="1">
      <alignment horizontal="left"/>
    </xf>
    <xf numFmtId="164" fontId="7" fillId="0" borderId="0" xfId="1" applyNumberFormat="1" applyFont="1" applyFill="1"/>
    <xf numFmtId="167" fontId="7" fillId="0" borderId="0" xfId="1" applyNumberFormat="1" applyFont="1"/>
    <xf numFmtId="10" fontId="7" fillId="0" borderId="0" xfId="1" applyNumberFormat="1" applyFont="1"/>
    <xf numFmtId="171" fontId="7" fillId="0" borderId="0" xfId="3" applyNumberFormat="1" applyFont="1" applyAlignment="1">
      <alignment horizontal="right"/>
    </xf>
    <xf numFmtId="175" fontId="6" fillId="0" borderId="0" xfId="0" applyNumberFormat="1" applyFont="1" applyAlignment="1">
      <alignment horizontal="center" vertical="center"/>
    </xf>
    <xf numFmtId="164" fontId="18" fillId="0" borderId="0" xfId="1" applyNumberFormat="1" applyFont="1"/>
    <xf numFmtId="174" fontId="6" fillId="0" borderId="0" xfId="1" applyNumberFormat="1" applyFont="1"/>
    <xf numFmtId="43" fontId="6" fillId="0" borderId="0" xfId="1" applyFont="1" applyBorder="1" applyAlignment="1">
      <alignment horizontal="right"/>
    </xf>
    <xf numFmtId="173" fontId="6" fillId="0" borderId="0" xfId="1" applyNumberFormat="1" applyFont="1"/>
    <xf numFmtId="164" fontId="5" fillId="0" borderId="0" xfId="1" applyNumberFormat="1" applyFont="1" applyAlignment="1">
      <alignment horizontal="center" vertical="top" wrapText="1"/>
    </xf>
    <xf numFmtId="164" fontId="6" fillId="0" borderId="0" xfId="1" applyNumberFormat="1" applyFont="1" applyAlignment="1"/>
    <xf numFmtId="164" fontId="6" fillId="0" borderId="0" xfId="1" applyNumberFormat="1" applyFont="1" applyAlignment="1">
      <alignment horizontal="left"/>
    </xf>
    <xf numFmtId="171" fontId="6" fillId="0" borderId="0" xfId="3" applyNumberFormat="1" applyFont="1" applyBorder="1" applyAlignment="1">
      <alignment horizontal="right"/>
    </xf>
    <xf numFmtId="166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1" applyNumberFormat="1" applyFont="1" applyAlignment="1">
      <alignment horizontal="right"/>
    </xf>
    <xf numFmtId="46" fontId="18" fillId="0" borderId="0" xfId="7" applyNumberFormat="1" applyFont="1" applyBorder="1"/>
    <xf numFmtId="164" fontId="18" fillId="0" borderId="0" xfId="1" applyNumberFormat="1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0" borderId="0" xfId="1" applyNumberFormat="1" applyFont="1" applyAlignment="1">
      <alignment vertical="center"/>
    </xf>
    <xf numFmtId="46" fontId="18" fillId="0" borderId="0" xfId="7" applyNumberFormat="1" applyFont="1" applyBorder="1" applyAlignment="1">
      <alignment vertical="center"/>
    </xf>
    <xf numFmtId="164" fontId="10" fillId="2" borderId="0" xfId="1" applyNumberFormat="1" applyFont="1" applyFill="1" applyAlignment="1">
      <alignment horizontal="center"/>
    </xf>
    <xf numFmtId="46" fontId="11" fillId="2" borderId="0" xfId="7" applyNumberFormat="1" applyFont="1" applyFill="1" applyBorder="1"/>
    <xf numFmtId="167" fontId="10" fillId="2" borderId="0" xfId="1" applyNumberFormat="1" applyFont="1" applyFill="1" applyAlignment="1">
      <alignment horizontal="center"/>
    </xf>
    <xf numFmtId="164" fontId="10" fillId="2" borderId="0" xfId="1" applyNumberFormat="1" applyFont="1" applyFill="1" applyAlignment="1">
      <alignment horizontal="center" vertical="center"/>
    </xf>
    <xf numFmtId="167" fontId="6" fillId="0" borderId="0" xfId="1" applyNumberFormat="1" applyFont="1" applyAlignment="1"/>
    <xf numFmtId="164" fontId="6" fillId="0" borderId="0" xfId="1" applyNumberFormat="1" applyFont="1" applyFill="1" applyAlignment="1">
      <alignment horizontal="center" vertical="center"/>
    </xf>
    <xf numFmtId="43" fontId="6" fillId="0" borderId="0" xfId="1" applyFont="1" applyFill="1"/>
    <xf numFmtId="171" fontId="6" fillId="0" borderId="0" xfId="3" applyNumberFormat="1" applyFont="1" applyFill="1" applyBorder="1" applyAlignment="1">
      <alignment horizontal="right"/>
    </xf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71" fontId="6" fillId="0" borderId="0" xfId="3" applyNumberFormat="1" applyFont="1" applyBorder="1" applyAlignment="1">
      <alignment horizontal="right" vertical="center"/>
    </xf>
    <xf numFmtId="46" fontId="11" fillId="0" borderId="0" xfId="7" applyNumberFormat="1" applyFont="1" applyBorder="1" applyAlignment="1">
      <alignment horizontal="right" vertical="center"/>
    </xf>
    <xf numFmtId="0" fontId="6" fillId="0" borderId="0" xfId="0" applyFont="1" applyAlignment="1"/>
    <xf numFmtId="175" fontId="6" fillId="0" borderId="0" xfId="0" applyNumberFormat="1" applyFont="1" applyAlignment="1">
      <alignment vertical="center"/>
    </xf>
    <xf numFmtId="46" fontId="15" fillId="2" borderId="0" xfId="7" applyNumberFormat="1" applyFont="1" applyFill="1" applyBorder="1" applyAlignment="1">
      <alignment horizontal="right" vertical="center"/>
    </xf>
    <xf numFmtId="46" fontId="15" fillId="2" borderId="0" xfId="7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horizontal="left" vertical="center"/>
    </xf>
    <xf numFmtId="46" fontId="11" fillId="0" borderId="0" xfId="7" applyNumberFormat="1" applyFont="1" applyBorder="1" applyAlignment="1">
      <alignment horizontal="center" vertical="center"/>
    </xf>
    <xf numFmtId="167" fontId="6" fillId="0" borderId="0" xfId="1" applyNumberFormat="1" applyFont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/>
    </xf>
    <xf numFmtId="171" fontId="7" fillId="0" borderId="0" xfId="3" applyNumberFormat="1" applyFont="1" applyBorder="1" applyAlignment="1">
      <alignment horizontal="right" vertical="center"/>
    </xf>
    <xf numFmtId="171" fontId="7" fillId="0" borderId="0" xfId="3" applyNumberFormat="1" applyFont="1" applyBorder="1" applyAlignment="1">
      <alignment horizontal="right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164" fontId="7" fillId="0" borderId="0" xfId="1" applyNumberFormat="1" applyFont="1" applyAlignment="1"/>
    <xf numFmtId="167" fontId="7" fillId="0" borderId="0" xfId="1" applyNumberFormat="1" applyFont="1" applyAlignment="1">
      <alignment vertical="center"/>
    </xf>
    <xf numFmtId="172" fontId="7" fillId="0" borderId="0" xfId="1" applyNumberFormat="1" applyFont="1"/>
    <xf numFmtId="164" fontId="7" fillId="0" borderId="0" xfId="1" applyNumberFormat="1" applyFont="1" applyFill="1" applyAlignment="1"/>
    <xf numFmtId="43" fontId="7" fillId="0" borderId="0" xfId="1" applyFont="1" applyFill="1"/>
    <xf numFmtId="171" fontId="7" fillId="0" borderId="0" xfId="3" applyNumberFormat="1" applyFont="1" applyFill="1" applyAlignment="1">
      <alignment horizontal="right"/>
    </xf>
    <xf numFmtId="164" fontId="11" fillId="0" borderId="0" xfId="1" applyNumberFormat="1" applyFont="1" applyFill="1"/>
    <xf numFmtId="164" fontId="11" fillId="0" borderId="0" xfId="1" applyNumberFormat="1" applyFont="1" applyFill="1" applyAlignment="1">
      <alignment vertical="center"/>
    </xf>
    <xf numFmtId="167" fontId="11" fillId="0" borderId="0" xfId="1" applyNumberFormat="1" applyFont="1" applyFill="1" applyAlignment="1">
      <alignment vertical="center"/>
    </xf>
    <xf numFmtId="167" fontId="11" fillId="0" borderId="0" xfId="1" applyNumberFormat="1" applyFont="1" applyFill="1" applyAlignment="1">
      <alignment horizontal="center" vertical="center"/>
    </xf>
    <xf numFmtId="167" fontId="11" fillId="0" borderId="0" xfId="1" applyNumberFormat="1" applyFont="1" applyFill="1"/>
    <xf numFmtId="171" fontId="11" fillId="0" borderId="0" xfId="3" applyNumberFormat="1" applyFont="1" applyFill="1" applyAlignment="1">
      <alignment vertical="center"/>
    </xf>
    <xf numFmtId="171" fontId="11" fillId="0" borderId="0" xfId="3" applyNumberFormat="1" applyFont="1" applyFill="1" applyBorder="1" applyAlignment="1">
      <alignment horizontal="right"/>
    </xf>
    <xf numFmtId="164" fontId="10" fillId="3" borderId="0" xfId="4" applyNumberFormat="1" applyFont="1" applyFill="1" applyAlignment="1">
      <alignment horizontal="center"/>
    </xf>
    <xf numFmtId="167" fontId="10" fillId="3" borderId="0" xfId="4" applyNumberFormat="1" applyFont="1" applyFill="1" applyAlignment="1">
      <alignment horizontal="center"/>
    </xf>
    <xf numFmtId="171" fontId="10" fillId="3" borderId="0" xfId="3" applyNumberFormat="1" applyFont="1" applyFill="1" applyAlignment="1">
      <alignment horizontal="right"/>
    </xf>
    <xf numFmtId="171" fontId="10" fillId="3" borderId="0" xfId="3" applyNumberFormat="1" applyFont="1" applyFill="1" applyBorder="1" applyAlignment="1">
      <alignment horizontal="right"/>
    </xf>
    <xf numFmtId="164" fontId="7" fillId="0" borderId="0" xfId="1" applyNumberFormat="1" applyFont="1" applyFill="1" applyAlignment="1">
      <alignment vertical="center"/>
    </xf>
    <xf numFmtId="167" fontId="7" fillId="0" borderId="0" xfId="1" applyNumberFormat="1" applyFont="1" applyAlignment="1">
      <alignment horizontal="center" vertical="center"/>
    </xf>
    <xf numFmtId="171" fontId="7" fillId="0" borderId="0" xfId="3" applyNumberFormat="1" applyFont="1" applyFill="1" applyAlignment="1">
      <alignment horizontal="right" vertical="center"/>
    </xf>
    <xf numFmtId="172" fontId="6" fillId="0" borderId="0" xfId="1" applyNumberFormat="1" applyFont="1" applyAlignment="1"/>
    <xf numFmtId="171" fontId="6" fillId="0" borderId="0" xfId="3" quotePrefix="1" applyNumberFormat="1" applyFont="1" applyBorder="1" applyAlignment="1">
      <alignment horizontal="right"/>
    </xf>
    <xf numFmtId="46" fontId="9" fillId="0" borderId="0" xfId="7" applyNumberFormat="1" applyFont="1" applyBorder="1" applyAlignment="1">
      <alignment vertical="center"/>
    </xf>
    <xf numFmtId="164" fontId="7" fillId="0" borderId="0" xfId="1" applyNumberFormat="1" applyFont="1" applyAlignment="1">
      <alignment vertical="center"/>
    </xf>
    <xf numFmtId="167" fontId="7" fillId="0" borderId="0" xfId="1" applyNumberFormat="1" applyFont="1" applyAlignme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164" fontId="6" fillId="4" borderId="0" xfId="1" applyNumberFormat="1" applyFont="1" applyFill="1"/>
    <xf numFmtId="164" fontId="6" fillId="4" borderId="0" xfId="1" applyNumberFormat="1" applyFont="1" applyFill="1" applyAlignment="1"/>
    <xf numFmtId="164" fontId="18" fillId="0" borderId="0" xfId="1" applyNumberFormat="1" applyFont="1" applyFill="1"/>
    <xf numFmtId="167" fontId="18" fillId="0" borderId="0" xfId="1" applyNumberFormat="1" applyFont="1" applyAlignment="1"/>
    <xf numFmtId="173" fontId="18" fillId="0" borderId="0" xfId="1" applyNumberFormat="1" applyFont="1"/>
    <xf numFmtId="171" fontId="18" fillId="0" borderId="0" xfId="0" applyNumberFormat="1" applyFont="1" applyBorder="1" applyAlignment="1">
      <alignment horizontal="right"/>
    </xf>
    <xf numFmtId="171" fontId="18" fillId="0" borderId="0" xfId="3" applyNumberFormat="1" applyFont="1" applyFill="1" applyAlignment="1">
      <alignment horizontal="right"/>
    </xf>
    <xf numFmtId="171" fontId="18" fillId="0" borderId="0" xfId="3" applyNumberFormat="1" applyFont="1" applyBorder="1" applyAlignment="1">
      <alignment horizontal="right"/>
    </xf>
    <xf numFmtId="0" fontId="0" fillId="0" borderId="0" xfId="0" applyAlignment="1">
      <alignment horizontal="center"/>
    </xf>
    <xf numFmtId="164" fontId="6" fillId="0" borderId="0" xfId="1" applyNumberFormat="1" applyFont="1" applyAlignment="1">
      <alignment horizontal="center"/>
    </xf>
    <xf numFmtId="43" fontId="18" fillId="0" borderId="0" xfId="1" applyFont="1" applyAlignment="1">
      <alignment horizontal="center"/>
    </xf>
    <xf numFmtId="167" fontId="6" fillId="0" borderId="0" xfId="1" applyNumberFormat="1" applyFont="1" applyAlignment="1">
      <alignment horizontal="center"/>
    </xf>
    <xf numFmtId="171" fontId="11" fillId="0" borderId="0" xfId="3" applyNumberFormat="1" applyFont="1" applyAlignment="1">
      <alignment horizontal="right"/>
    </xf>
    <xf numFmtId="171" fontId="11" fillId="0" borderId="0" xfId="1" applyNumberFormat="1" applyFont="1" applyBorder="1" applyAlignment="1">
      <alignment horizontal="right"/>
    </xf>
    <xf numFmtId="171" fontId="11" fillId="0" borderId="0" xfId="3" applyNumberFormat="1" applyFont="1" applyAlignment="1">
      <alignment horizontal="right" vertical="center"/>
    </xf>
    <xf numFmtId="164" fontId="6" fillId="0" borderId="0" xfId="1" applyNumberFormat="1" applyFont="1" applyFill="1" applyAlignment="1">
      <alignment horizontal="center"/>
    </xf>
    <xf numFmtId="172" fontId="6" fillId="0" borderId="0" xfId="1" applyNumberFormat="1" applyFont="1" applyFill="1" applyAlignment="1">
      <alignment vertical="center"/>
    </xf>
    <xf numFmtId="172" fontId="6" fillId="0" borderId="0" xfId="1" applyNumberFormat="1" applyFont="1" applyAlignment="1">
      <alignment vertical="center"/>
    </xf>
    <xf numFmtId="164" fontId="18" fillId="0" borderId="0" xfId="1" applyNumberFormat="1" applyFont="1" applyFill="1" applyAlignment="1">
      <alignment horizontal="center"/>
    </xf>
    <xf numFmtId="43" fontId="18" fillId="0" borderId="0" xfId="1" applyFont="1" applyFill="1" applyAlignment="1">
      <alignment horizontal="center"/>
    </xf>
    <xf numFmtId="171" fontId="11" fillId="0" borderId="0" xfId="1" applyNumberFormat="1" applyFont="1" applyFill="1" applyBorder="1" applyAlignment="1">
      <alignment horizontal="right"/>
    </xf>
    <xf numFmtId="171" fontId="11" fillId="0" borderId="0" xfId="3" applyNumberFormat="1" applyFont="1" applyFill="1" applyAlignment="1">
      <alignment horizontal="right"/>
    </xf>
    <xf numFmtId="171" fontId="15" fillId="2" borderId="0" xfId="3" applyNumberFormat="1" applyFont="1" applyFill="1" applyAlignment="1">
      <alignment horizontal="right"/>
    </xf>
    <xf numFmtId="171" fontId="15" fillId="2" borderId="0" xfId="3" applyNumberFormat="1" applyFont="1" applyFill="1" applyBorder="1" applyAlignment="1">
      <alignment horizontal="right"/>
    </xf>
    <xf numFmtId="164" fontId="18" fillId="0" borderId="0" xfId="1" applyNumberFormat="1" applyFont="1" applyAlignment="1">
      <alignment horizontal="center"/>
    </xf>
    <xf numFmtId="164" fontId="10" fillId="2" borderId="0" xfId="1" applyNumberFormat="1" applyFont="1" applyFill="1" applyAlignment="1">
      <alignment horizontal="left"/>
    </xf>
    <xf numFmtId="164" fontId="10" fillId="0" borderId="0" xfId="1" applyNumberFormat="1" applyFont="1" applyFill="1" applyAlignment="1">
      <alignment horizontal="center" vertical="center"/>
    </xf>
    <xf numFmtId="164" fontId="11" fillId="0" borderId="0" xfId="1" applyNumberFormat="1" applyFont="1" applyFill="1" applyAlignment="1">
      <alignment horizontal="left"/>
    </xf>
    <xf numFmtId="164" fontId="11" fillId="0" borderId="0" xfId="1" applyNumberFormat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1" fontId="6" fillId="0" borderId="0" xfId="3" applyNumberFormat="1" applyFont="1" applyFill="1" applyAlignment="1">
      <alignment vertical="center"/>
    </xf>
    <xf numFmtId="171" fontId="10" fillId="0" borderId="0" xfId="3" applyNumberFormat="1" applyFont="1" applyBorder="1" applyAlignment="1">
      <alignment horizontal="right"/>
    </xf>
    <xf numFmtId="46" fontId="11" fillId="0" borderId="0" xfId="7" applyNumberFormat="1" applyFont="1" applyFill="1" applyBorder="1"/>
    <xf numFmtId="171" fontId="10" fillId="0" borderId="0" xfId="3" applyNumberFormat="1" applyFont="1" applyFill="1" applyBorder="1" applyAlignment="1">
      <alignment horizontal="right"/>
    </xf>
    <xf numFmtId="164" fontId="11" fillId="0" borderId="0" xfId="1" applyNumberFormat="1" applyFont="1"/>
    <xf numFmtId="171" fontId="6" fillId="0" borderId="0" xfId="3" applyNumberFormat="1" applyFont="1" applyFill="1" applyAlignment="1">
      <alignment horizontal="right" vertical="center"/>
    </xf>
    <xf numFmtId="164" fontId="7" fillId="0" borderId="0" xfId="1" applyNumberFormat="1" applyFont="1" applyAlignment="1">
      <alignment horizontal="center"/>
    </xf>
    <xf numFmtId="164" fontId="9" fillId="0" borderId="0" xfId="1" applyNumberFormat="1" applyFont="1"/>
    <xf numFmtId="171" fontId="19" fillId="0" borderId="0" xfId="3" applyNumberFormat="1" applyFont="1" applyBorder="1" applyAlignment="1">
      <alignment horizontal="right"/>
    </xf>
    <xf numFmtId="171" fontId="9" fillId="0" borderId="0" xfId="1" applyNumberFormat="1" applyFont="1" applyFill="1" applyBorder="1" applyAlignment="1">
      <alignment horizontal="right"/>
    </xf>
    <xf numFmtId="171" fontId="11" fillId="0" borderId="0" xfId="1" quotePrefix="1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6" fontId="6" fillId="0" borderId="1" xfId="0" applyNumberFormat="1" applyFont="1" applyBorder="1" applyAlignment="1">
      <alignment vertical="center"/>
    </xf>
    <xf numFmtId="166" fontId="6" fillId="0" borderId="2" xfId="0" applyNumberFormat="1" applyFont="1" applyBorder="1" applyAlignment="1">
      <alignment vertical="center"/>
    </xf>
    <xf numFmtId="166" fontId="6" fillId="0" borderId="2" xfId="0" applyNumberFormat="1" applyFont="1" applyBorder="1" applyAlignment="1">
      <alignment horizontal="center"/>
    </xf>
    <xf numFmtId="0" fontId="6" fillId="0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164" fontId="6" fillId="3" borderId="3" xfId="1" applyNumberFormat="1" applyFont="1" applyFill="1" applyBorder="1"/>
    <xf numFmtId="166" fontId="6" fillId="0" borderId="4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6" fillId="0" borderId="5" xfId="1" applyNumberFormat="1" applyFont="1" applyFill="1" applyBorder="1"/>
    <xf numFmtId="166" fontId="6" fillId="0" borderId="6" xfId="0" applyNumberFormat="1" applyFont="1" applyBorder="1" applyAlignment="1">
      <alignment vertical="center"/>
    </xf>
    <xf numFmtId="166" fontId="6" fillId="0" borderId="7" xfId="0" applyNumberFormat="1" applyFont="1" applyBorder="1" applyAlignment="1">
      <alignment vertical="center"/>
    </xf>
    <xf numFmtId="166" fontId="6" fillId="0" borderId="7" xfId="0" applyNumberFormat="1" applyFont="1" applyBorder="1" applyAlignment="1">
      <alignment horizontal="center"/>
    </xf>
    <xf numFmtId="0" fontId="6" fillId="0" borderId="7" xfId="0" applyFont="1" applyFill="1" applyBorder="1"/>
    <xf numFmtId="0" fontId="0" fillId="0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164" fontId="6" fillId="0" borderId="8" xfId="1" applyNumberFormat="1" applyFont="1" applyFill="1" applyBorder="1"/>
    <xf numFmtId="0" fontId="6" fillId="3" borderId="0" xfId="0" applyFont="1" applyFill="1" applyAlignment="1">
      <alignment horizontal="center"/>
    </xf>
    <xf numFmtId="164" fontId="6" fillId="3" borderId="0" xfId="1" applyNumberFormat="1" applyFont="1" applyFill="1"/>
    <xf numFmtId="167" fontId="18" fillId="0" borderId="0" xfId="0" applyNumberFormat="1" applyFont="1"/>
    <xf numFmtId="173" fontId="18" fillId="0" borderId="0" xfId="1" applyNumberFormat="1" applyFont="1" applyAlignment="1">
      <alignment horizontal="center"/>
    </xf>
    <xf numFmtId="171" fontId="18" fillId="0" borderId="0" xfId="3" applyNumberFormat="1" applyFont="1" applyFill="1" applyBorder="1" applyAlignment="1">
      <alignment horizontal="right"/>
    </xf>
    <xf numFmtId="173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wrapText="1"/>
    </xf>
    <xf numFmtId="1" fontId="6" fillId="0" borderId="0" xfId="0" quotePrefix="1" applyNumberFormat="1" applyFont="1" applyBorder="1" applyAlignment="1">
      <alignment horizontal="right"/>
    </xf>
    <xf numFmtId="171" fontId="6" fillId="0" borderId="0" xfId="1" applyNumberFormat="1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164" fontId="11" fillId="0" borderId="0" xfId="1" applyNumberFormat="1" applyFont="1" applyAlignment="1">
      <alignment horizontal="left" vertical="center"/>
    </xf>
    <xf numFmtId="164" fontId="18" fillId="0" borderId="0" xfId="1" applyNumberFormat="1" applyFont="1" applyFill="1" applyAlignment="1">
      <alignment horizontal="center" vertical="center"/>
    </xf>
    <xf numFmtId="46" fontId="18" fillId="0" borderId="0" xfId="7" applyNumberFormat="1" applyFont="1" applyBorder="1" applyAlignment="1">
      <alignment horizontal="center" vertical="center"/>
    </xf>
    <xf numFmtId="164" fontId="11" fillId="0" borderId="0" xfId="1" applyNumberFormat="1" applyFont="1" applyFill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72" fontId="11" fillId="0" borderId="0" xfId="1" applyNumberFormat="1" applyFont="1"/>
    <xf numFmtId="164" fontId="11" fillId="0" borderId="0" xfId="1" applyNumberFormat="1" applyFont="1" applyFill="1" applyAlignment="1"/>
    <xf numFmtId="171" fontId="11" fillId="0" borderId="0" xfId="3" applyNumberFormat="1" applyFont="1" applyAlignment="1">
      <alignment vertical="center"/>
    </xf>
    <xf numFmtId="171" fontId="11" fillId="0" borderId="0" xfId="3" applyNumberFormat="1" applyFont="1" applyBorder="1" applyAlignment="1">
      <alignment horizontal="right"/>
    </xf>
    <xf numFmtId="171" fontId="6" fillId="0" borderId="0" xfId="1" applyNumberFormat="1" applyFont="1" applyFill="1" applyAlignment="1">
      <alignment vertical="center"/>
    </xf>
    <xf numFmtId="178" fontId="6" fillId="0" borderId="0" xfId="0" applyNumberFormat="1" applyFont="1" applyFill="1"/>
    <xf numFmtId="171" fontId="6" fillId="0" borderId="0" xfId="1" applyNumberFormat="1" applyFont="1" applyFill="1" applyAlignment="1">
      <alignment vertical="center" wrapText="1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1" applyNumberFormat="1" applyFont="1" applyAlignment="1">
      <alignment horizontal="center"/>
    </xf>
    <xf numFmtId="167" fontId="18" fillId="0" borderId="0" xfId="1" applyNumberFormat="1" applyFont="1"/>
    <xf numFmtId="164" fontId="18" fillId="0" borderId="0" xfId="1" applyNumberFormat="1" applyFont="1" applyFill="1" applyAlignment="1"/>
    <xf numFmtId="164" fontId="18" fillId="0" borderId="0" xfId="4" applyNumberFormat="1" applyFont="1" applyFill="1" applyAlignment="1">
      <alignment horizontal="center"/>
    </xf>
    <xf numFmtId="171" fontId="18" fillId="0" borderId="0" xfId="1" applyNumberFormat="1" applyFont="1" applyFill="1" applyAlignment="1">
      <alignment horizontal="right"/>
    </xf>
    <xf numFmtId="172" fontId="6" fillId="3" borderId="0" xfId="1" applyNumberFormat="1" applyFont="1" applyFill="1"/>
    <xf numFmtId="167" fontId="6" fillId="3" borderId="0" xfId="1" applyNumberFormat="1" applyFont="1" applyFill="1"/>
    <xf numFmtId="164" fontId="6" fillId="3" borderId="0" xfId="4" applyNumberFormat="1" applyFont="1" applyFill="1" applyAlignment="1">
      <alignment horizontal="center"/>
    </xf>
    <xf numFmtId="171" fontId="6" fillId="3" borderId="0" xfId="0" applyNumberFormat="1" applyFont="1" applyFill="1" applyBorder="1" applyAlignment="1">
      <alignment horizontal="right"/>
    </xf>
    <xf numFmtId="171" fontId="6" fillId="3" borderId="0" xfId="3" applyNumberFormat="1" applyFont="1" applyFill="1" applyAlignment="1">
      <alignment horizontal="right"/>
    </xf>
    <xf numFmtId="2" fontId="6" fillId="5" borderId="0" xfId="0" applyNumberFormat="1" applyFont="1" applyFill="1"/>
    <xf numFmtId="172" fontId="6" fillId="5" borderId="0" xfId="1" applyNumberFormat="1" applyFont="1" applyFill="1"/>
    <xf numFmtId="164" fontId="11" fillId="0" borderId="0" xfId="7" applyNumberFormat="1" applyFont="1" applyBorder="1"/>
    <xf numFmtId="1" fontId="6" fillId="0" borderId="0" xfId="0" applyNumberFormat="1" applyFont="1" applyFill="1"/>
    <xf numFmtId="164" fontId="6" fillId="2" borderId="0" xfId="1" applyNumberFormat="1" applyFont="1" applyFill="1"/>
    <xf numFmtId="0" fontId="6" fillId="2" borderId="0" xfId="0" applyFont="1" applyFill="1"/>
    <xf numFmtId="46" fontId="6" fillId="0" borderId="0" xfId="7" applyNumberFormat="1" applyFont="1" applyBorder="1"/>
    <xf numFmtId="179" fontId="6" fillId="0" borderId="0" xfId="0" applyNumberFormat="1" applyFont="1" applyBorder="1" applyAlignment="1">
      <alignment horizontal="right"/>
    </xf>
    <xf numFmtId="44" fontId="6" fillId="0" borderId="0" xfId="0" applyNumberFormat="1" applyFont="1" applyBorder="1" applyAlignment="1">
      <alignment horizontal="right"/>
    </xf>
    <xf numFmtId="179" fontId="6" fillId="0" borderId="0" xfId="0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1" fontId="6" fillId="0" borderId="0" xfId="2" applyFont="1" applyFill="1"/>
    <xf numFmtId="0" fontId="6" fillId="7" borderId="0" xfId="0" applyFont="1" applyFill="1"/>
    <xf numFmtId="0" fontId="6" fillId="0" borderId="0" xfId="0" applyFont="1" applyFill="1" applyAlignment="1">
      <alignment horizontal="left" vertical="center"/>
    </xf>
    <xf numFmtId="164" fontId="6" fillId="0" borderId="0" xfId="1" applyNumberFormat="1" applyFont="1" applyFill="1" applyAlignment="1">
      <alignment horizontal="center" vertical="center" wrapText="1"/>
    </xf>
    <xf numFmtId="164" fontId="6" fillId="0" borderId="0" xfId="1" applyNumberFormat="1" applyFont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41" fontId="6" fillId="0" borderId="0" xfId="2" applyFont="1" applyFill="1" applyAlignment="1">
      <alignment horizontal="right" vertical="center"/>
    </xf>
    <xf numFmtId="172" fontId="6" fillId="0" borderId="0" xfId="1" applyNumberFormat="1" applyFont="1" applyAlignment="1">
      <alignment horizontal="right" vertical="center"/>
    </xf>
    <xf numFmtId="10" fontId="6" fillId="0" borderId="0" xfId="1" applyNumberFormat="1" applyFont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171" fontId="6" fillId="0" borderId="0" xfId="0" applyNumberFormat="1" applyFont="1" applyBorder="1" applyAlignment="1">
      <alignment horizontal="center" vertical="center"/>
    </xf>
    <xf numFmtId="44" fontId="6" fillId="0" borderId="0" xfId="0" applyNumberFormat="1" applyFont="1" applyBorder="1" applyAlignment="1">
      <alignment horizontal="center" vertical="center"/>
    </xf>
    <xf numFmtId="171" fontId="6" fillId="0" borderId="0" xfId="3" applyNumberFormat="1" applyFont="1" applyAlignment="1">
      <alignment horizontal="center" vertical="center"/>
    </xf>
    <xf numFmtId="0" fontId="24" fillId="0" borderId="0" xfId="0" applyFont="1" applyFill="1"/>
    <xf numFmtId="164" fontId="0" fillId="0" borderId="0" xfId="0" applyNumberFormat="1" applyAlignment="1">
      <alignment horizontal="center"/>
    </xf>
    <xf numFmtId="41" fontId="10" fillId="2" borderId="0" xfId="2" applyFont="1" applyFill="1"/>
    <xf numFmtId="170" fontId="6" fillId="0" borderId="0" xfId="7" applyFont="1" applyFill="1"/>
    <xf numFmtId="180" fontId="25" fillId="0" borderId="9" xfId="19" applyNumberFormat="1" applyFont="1" applyFill="1" applyBorder="1" applyAlignment="1">
      <alignment horizontal="center" vertical="center"/>
    </xf>
    <xf numFmtId="16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72" fontId="11" fillId="0" borderId="0" xfId="1" applyNumberFormat="1" applyFont="1" applyFill="1"/>
    <xf numFmtId="164" fontId="11" fillId="0" borderId="0" xfId="0" applyNumberFormat="1" applyFont="1" applyFill="1"/>
    <xf numFmtId="166" fontId="11" fillId="0" borderId="0" xfId="0" applyNumberFormat="1" applyFont="1" applyAlignment="1">
      <alignment horizontal="right"/>
    </xf>
    <xf numFmtId="0" fontId="11" fillId="0" borderId="0" xfId="0" applyFont="1" applyFill="1" applyAlignment="1">
      <alignment horizontal="center" vertical="center" wrapText="1"/>
    </xf>
    <xf numFmtId="167" fontId="11" fillId="0" borderId="0" xfId="1" applyNumberFormat="1" applyFont="1"/>
    <xf numFmtId="10" fontId="11" fillId="0" borderId="0" xfId="1" applyNumberFormat="1" applyFont="1"/>
    <xf numFmtId="10" fontId="11" fillId="0" borderId="0" xfId="1" applyNumberFormat="1" applyFont="1" applyFill="1"/>
    <xf numFmtId="172" fontId="6" fillId="0" borderId="0" xfId="1" applyNumberFormat="1" applyFont="1" applyFill="1"/>
    <xf numFmtId="0" fontId="6" fillId="0" borderId="0" xfId="0" applyNumberFormat="1" applyFont="1" applyFill="1" applyAlignment="1">
      <alignment horizontal="center"/>
    </xf>
    <xf numFmtId="10" fontId="6" fillId="0" borderId="0" xfId="1" applyNumberFormat="1" applyFont="1" applyFill="1"/>
    <xf numFmtId="166" fontId="6" fillId="0" borderId="0" xfId="0" applyNumberFormat="1" applyFont="1" applyFill="1" applyAlignment="1">
      <alignment horizontal="right"/>
    </xf>
    <xf numFmtId="181" fontId="6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6" fontId="6" fillId="0" borderId="0" xfId="0" applyNumberFormat="1" applyFont="1" applyAlignment="1">
      <alignment horizontal="right" vertical="center"/>
    </xf>
    <xf numFmtId="164" fontId="6" fillId="0" borderId="0" xfId="5" applyNumberFormat="1" applyFont="1" applyAlignment="1">
      <alignment vertical="center"/>
    </xf>
    <xf numFmtId="172" fontId="6" fillId="0" borderId="0" xfId="5" applyNumberFormat="1" applyFont="1" applyAlignment="1">
      <alignment vertical="center"/>
    </xf>
    <xf numFmtId="167" fontId="6" fillId="0" borderId="0" xfId="5" applyNumberFormat="1" applyFont="1" applyAlignment="1">
      <alignment horizontal="center"/>
    </xf>
    <xf numFmtId="172" fontId="6" fillId="0" borderId="0" xfId="5" applyNumberFormat="1" applyFont="1" applyFill="1" applyAlignment="1">
      <alignment vertical="center"/>
    </xf>
    <xf numFmtId="171" fontId="6" fillId="0" borderId="0" xfId="6" applyNumberFormat="1" applyFont="1" applyFill="1" applyAlignment="1">
      <alignment vertical="center"/>
    </xf>
    <xf numFmtId="0" fontId="0" fillId="0" borderId="0" xfId="0" applyAlignment="1">
      <alignment horizontal="right"/>
    </xf>
    <xf numFmtId="166" fontId="6" fillId="0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164" fontId="6" fillId="0" borderId="0" xfId="14" applyNumberFormat="1" applyFont="1" applyAlignment="1">
      <alignment horizontal="center"/>
    </xf>
    <xf numFmtId="172" fontId="6" fillId="0" borderId="0" xfId="14" applyNumberFormat="1" applyFont="1" applyAlignment="1">
      <alignment vertical="center"/>
    </xf>
    <xf numFmtId="166" fontId="11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center" vertical="center"/>
    </xf>
    <xf numFmtId="171" fontId="6" fillId="0" borderId="0" xfId="3" applyNumberFormat="1" applyFont="1" applyAlignment="1">
      <alignment vertical="center"/>
    </xf>
    <xf numFmtId="171" fontId="6" fillId="0" borderId="0" xfId="3" applyNumberFormat="1" applyFont="1" applyAlignment="1">
      <alignment horizontal="right" vertical="center"/>
    </xf>
    <xf numFmtId="166" fontId="20" fillId="0" borderId="0" xfId="0" applyNumberFormat="1" applyFont="1" applyAlignment="1">
      <alignment horizontal="center" vertical="center"/>
    </xf>
    <xf numFmtId="166" fontId="21" fillId="3" borderId="0" xfId="0" applyNumberFormat="1" applyFont="1" applyFill="1" applyAlignment="1">
      <alignment horizontal="center"/>
    </xf>
    <xf numFmtId="171" fontId="6" fillId="0" borderId="0" xfId="9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1" fontId="6" fillId="0" borderId="0" xfId="3" applyNumberFormat="1" applyFont="1" applyBorder="1" applyAlignment="1">
      <alignment horizontal="right" vertical="center"/>
    </xf>
    <xf numFmtId="164" fontId="6" fillId="0" borderId="0" xfId="8" applyNumberFormat="1" applyFont="1" applyAlignment="1">
      <alignment horizontal="right" vertical="center"/>
    </xf>
    <xf numFmtId="167" fontId="6" fillId="0" borderId="0" xfId="8" applyNumberFormat="1" applyFont="1" applyAlignment="1">
      <alignment horizontal="right" vertical="center"/>
    </xf>
    <xf numFmtId="167" fontId="6" fillId="0" borderId="0" xfId="8" applyNumberFormat="1" applyFont="1" applyAlignment="1">
      <alignment horizontal="center" vertical="center"/>
    </xf>
    <xf numFmtId="175" fontId="6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4" fontId="6" fillId="0" borderId="0" xfId="8" applyNumberFormat="1" applyFont="1" applyFill="1" applyAlignment="1">
      <alignment horizontal="left" vertical="center"/>
    </xf>
    <xf numFmtId="46" fontId="11" fillId="0" borderId="0" xfId="10" applyNumberFormat="1" applyFont="1" applyBorder="1" applyAlignment="1">
      <alignment horizontal="center" vertical="center"/>
    </xf>
    <xf numFmtId="164" fontId="6" fillId="0" borderId="0" xfId="8" applyNumberFormat="1" applyFont="1" applyAlignment="1">
      <alignment horizontal="center" vertical="center"/>
    </xf>
    <xf numFmtId="164" fontId="6" fillId="0" borderId="0" xfId="8" applyNumberFormat="1" applyFont="1" applyFill="1" applyAlignment="1">
      <alignment horizontal="center" vertical="center"/>
    </xf>
    <xf numFmtId="46" fontId="11" fillId="0" borderId="0" xfId="10" applyNumberFormat="1" applyFont="1" applyBorder="1" applyAlignment="1">
      <alignment horizontal="right" vertical="center"/>
    </xf>
    <xf numFmtId="171" fontId="6" fillId="0" borderId="0" xfId="9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164" fontId="6" fillId="0" borderId="0" xfId="8" applyNumberFormat="1" applyFont="1" applyAlignment="1">
      <alignment horizontal="left" vertical="center"/>
    </xf>
    <xf numFmtId="0" fontId="26" fillId="6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171" fontId="6" fillId="0" borderId="0" xfId="3" applyNumberFormat="1" applyFont="1" applyFill="1" applyAlignment="1">
      <alignment horizontal="right" vertical="center"/>
    </xf>
    <xf numFmtId="171" fontId="11" fillId="0" borderId="0" xfId="3" applyNumberFormat="1" applyFont="1" applyFill="1" applyAlignment="1">
      <alignment horizontal="right" vertical="center"/>
    </xf>
    <xf numFmtId="171" fontId="11" fillId="0" borderId="0" xfId="3" applyNumberFormat="1" applyFont="1" applyAlignment="1">
      <alignment horizontal="right" vertical="center"/>
    </xf>
    <xf numFmtId="164" fontId="11" fillId="0" borderId="0" xfId="11" applyNumberFormat="1" applyFont="1" applyFill="1" applyAlignment="1">
      <alignment horizontal="left" vertical="center"/>
    </xf>
    <xf numFmtId="164" fontId="11" fillId="0" borderId="0" xfId="0" applyNumberFormat="1" applyFont="1" applyAlignment="1">
      <alignment horizontal="center"/>
    </xf>
    <xf numFmtId="171" fontId="6" fillId="0" borderId="0" xfId="12" applyNumberFormat="1" applyFont="1" applyFill="1" applyAlignment="1">
      <alignment horizontal="right" vertical="center"/>
    </xf>
    <xf numFmtId="172" fontId="6" fillId="0" borderId="0" xfId="11" applyNumberFormat="1" applyFont="1" applyFill="1" applyAlignment="1">
      <alignment horizontal="center" vertical="center"/>
    </xf>
    <xf numFmtId="164" fontId="6" fillId="0" borderId="0" xfId="11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167" fontId="6" fillId="0" borderId="0" xfId="0" applyNumberFormat="1" applyFont="1" applyFill="1" applyAlignment="1">
      <alignment horizontal="center" vertical="center"/>
    </xf>
    <xf numFmtId="164" fontId="6" fillId="0" borderId="0" xfId="11" applyNumberFormat="1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center" vertical="center"/>
    </xf>
    <xf numFmtId="46" fontId="11" fillId="0" borderId="0" xfId="13" applyNumberFormat="1" applyFont="1" applyFill="1" applyBorder="1" applyAlignment="1">
      <alignment horizontal="right" vertical="center"/>
    </xf>
    <xf numFmtId="46" fontId="11" fillId="0" borderId="0" xfId="13" applyNumberFormat="1" applyFont="1" applyFill="1" applyBorder="1" applyAlignment="1">
      <alignment horizontal="center" vertical="center"/>
    </xf>
    <xf numFmtId="164" fontId="6" fillId="0" borderId="0" xfId="11" applyNumberFormat="1" applyFont="1" applyFill="1" applyAlignment="1">
      <alignment horizontal="center"/>
    </xf>
    <xf numFmtId="164" fontId="6" fillId="0" borderId="0" xfId="11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6" fontId="11" fillId="0" borderId="0" xfId="13" applyNumberFormat="1" applyFont="1" applyBorder="1" applyAlignment="1">
      <alignment horizontal="right" vertical="center"/>
    </xf>
    <xf numFmtId="166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6" fontId="11" fillId="0" borderId="0" xfId="13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71" fontId="11" fillId="0" borderId="0" xfId="12" applyNumberFormat="1" applyFont="1" applyFill="1" applyAlignment="1">
      <alignment horizontal="right" vertical="center"/>
    </xf>
    <xf numFmtId="164" fontId="6" fillId="0" borderId="0" xfId="11" applyNumberFormat="1" applyFont="1" applyAlignment="1">
      <alignment horizontal="left" vertical="center"/>
    </xf>
    <xf numFmtId="172" fontId="6" fillId="0" borderId="0" xfId="11" applyNumberFormat="1" applyFont="1" applyAlignment="1">
      <alignment horizontal="center" vertical="center"/>
    </xf>
    <xf numFmtId="171" fontId="11" fillId="0" borderId="0" xfId="12" applyNumberFormat="1" applyFont="1" applyAlignment="1">
      <alignment horizontal="right" vertical="center"/>
    </xf>
  </cellXfs>
  <cellStyles count="20">
    <cellStyle name="Comma" xfId="1" builtinId="3"/>
    <cellStyle name="Comma [0]" xfId="2" builtinId="6"/>
    <cellStyle name="Comma [0] 2" xfId="7" xr:uid="{43444494-23B8-4ACC-8AEF-32B1ED8B2409}"/>
    <cellStyle name="Comma [0] 2 2" xfId="10" xr:uid="{6B2013F7-C80F-430F-A492-AFF56B7A72C2}"/>
    <cellStyle name="Comma [0] 2 3" xfId="13" xr:uid="{E0E94E8A-2F4C-46B2-BE16-A831B3509E31}"/>
    <cellStyle name="Comma [0] 2 4" xfId="16" xr:uid="{A5C8FABA-52F9-4E11-94B4-7FC8EEBA2917}"/>
    <cellStyle name="Comma [0] 3" xfId="17" xr:uid="{71374C80-54E8-472B-9ED8-E568C93B7664}"/>
    <cellStyle name="Comma 2" xfId="5" xr:uid="{61F6DF7E-75C4-49B1-9B39-F7A700CD2271}"/>
    <cellStyle name="Comma 3" xfId="8" xr:uid="{4B2A1720-3A3E-4F18-B817-DCB59C7EFD00}"/>
    <cellStyle name="Comma 4" xfId="11" xr:uid="{11E79854-ACAE-4DF0-90AC-2265995547B7}"/>
    <cellStyle name="Comma 5" xfId="14" xr:uid="{6E31B143-E04A-4FB3-9997-67FC8345A9E5}"/>
    <cellStyle name="Currency" xfId="3" builtinId="4"/>
    <cellStyle name="Currency 2" xfId="6" xr:uid="{92E6DEE9-F0A8-46A0-A04C-84D3993CCFF2}"/>
    <cellStyle name="Currency 3" xfId="9" xr:uid="{5BC16949-48A2-43A0-8434-82B8D7CA01BA}"/>
    <cellStyle name="Currency 4" xfId="12" xr:uid="{F0495EDD-6DDC-4A9A-BDA5-63F94E2A5B40}"/>
    <cellStyle name="Currency 5" xfId="15" xr:uid="{944D48D4-6BC4-4D53-B6AA-D8F0675AE369}"/>
    <cellStyle name="Normal" xfId="0" builtinId="0"/>
    <cellStyle name="Normal 2" xfId="18" xr:uid="{CE76E9B0-5517-48BC-A322-875DE6EBF452}"/>
    <cellStyle name="Normal 4 2" xfId="19" xr:uid="{DE3D5144-5D42-4D0E-B36F-456AE24D1CE1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63" Type="http://schemas.openxmlformats.org/officeDocument/2006/relationships/externalLink" Target="externalLinks/externalLink59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226" Type="http://schemas.openxmlformats.org/officeDocument/2006/relationships/externalLink" Target="externalLinks/externalLink222.xml"/><Relationship Id="rId268" Type="http://schemas.openxmlformats.org/officeDocument/2006/relationships/externalLink" Target="externalLinks/externalLink264.xml"/><Relationship Id="rId32" Type="http://schemas.openxmlformats.org/officeDocument/2006/relationships/externalLink" Target="externalLinks/externalLink28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5" Type="http://schemas.openxmlformats.org/officeDocument/2006/relationships/externalLink" Target="externalLinks/externalLink1.xml"/><Relationship Id="rId181" Type="http://schemas.openxmlformats.org/officeDocument/2006/relationships/externalLink" Target="externalLinks/externalLink177.xml"/><Relationship Id="rId237" Type="http://schemas.openxmlformats.org/officeDocument/2006/relationships/externalLink" Target="externalLinks/externalLink233.xml"/><Relationship Id="rId258" Type="http://schemas.openxmlformats.org/officeDocument/2006/relationships/externalLink" Target="externalLinks/externalLink254.xml"/><Relationship Id="rId279" Type="http://schemas.openxmlformats.org/officeDocument/2006/relationships/calcChain" Target="calcChain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71" Type="http://schemas.openxmlformats.org/officeDocument/2006/relationships/externalLink" Target="externalLinks/externalLink167.xml"/><Relationship Id="rId192" Type="http://schemas.openxmlformats.org/officeDocument/2006/relationships/externalLink" Target="externalLinks/externalLink188.xml"/><Relationship Id="rId206" Type="http://schemas.openxmlformats.org/officeDocument/2006/relationships/externalLink" Target="externalLinks/externalLink202.xml"/><Relationship Id="rId227" Type="http://schemas.openxmlformats.org/officeDocument/2006/relationships/externalLink" Target="externalLinks/externalLink223.xml"/><Relationship Id="rId248" Type="http://schemas.openxmlformats.org/officeDocument/2006/relationships/externalLink" Target="externalLinks/externalLink244.xml"/><Relationship Id="rId269" Type="http://schemas.openxmlformats.org/officeDocument/2006/relationships/externalLink" Target="externalLinks/externalLink265.xml"/><Relationship Id="rId12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9.xml"/><Relationship Id="rId108" Type="http://schemas.openxmlformats.org/officeDocument/2006/relationships/externalLink" Target="externalLinks/externalLink104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61" Type="http://schemas.openxmlformats.org/officeDocument/2006/relationships/externalLink" Target="externalLinks/externalLink157.xml"/><Relationship Id="rId182" Type="http://schemas.openxmlformats.org/officeDocument/2006/relationships/externalLink" Target="externalLinks/externalLink178.xml"/><Relationship Id="rId217" Type="http://schemas.openxmlformats.org/officeDocument/2006/relationships/externalLink" Target="externalLinks/externalLink213.xml"/><Relationship Id="rId6" Type="http://schemas.openxmlformats.org/officeDocument/2006/relationships/externalLink" Target="externalLinks/externalLink2.xml"/><Relationship Id="rId238" Type="http://schemas.openxmlformats.org/officeDocument/2006/relationships/externalLink" Target="externalLinks/externalLink234.xml"/><Relationship Id="rId259" Type="http://schemas.openxmlformats.org/officeDocument/2006/relationships/externalLink" Target="externalLinks/externalLink255.xml"/><Relationship Id="rId23" Type="http://schemas.openxmlformats.org/officeDocument/2006/relationships/externalLink" Target="externalLinks/externalLink19.xml"/><Relationship Id="rId119" Type="http://schemas.openxmlformats.org/officeDocument/2006/relationships/externalLink" Target="externalLinks/externalLink115.xml"/><Relationship Id="rId270" Type="http://schemas.openxmlformats.org/officeDocument/2006/relationships/externalLink" Target="externalLinks/externalLink266.xml"/><Relationship Id="rId44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7.xml"/><Relationship Id="rId172" Type="http://schemas.openxmlformats.org/officeDocument/2006/relationships/externalLink" Target="externalLinks/externalLink168.xml"/><Relationship Id="rId193" Type="http://schemas.openxmlformats.org/officeDocument/2006/relationships/externalLink" Target="externalLinks/externalLink189.xml"/><Relationship Id="rId207" Type="http://schemas.openxmlformats.org/officeDocument/2006/relationships/externalLink" Target="externalLinks/externalLink203.xml"/><Relationship Id="rId228" Type="http://schemas.openxmlformats.org/officeDocument/2006/relationships/externalLink" Target="externalLinks/externalLink224.xml"/><Relationship Id="rId249" Type="http://schemas.openxmlformats.org/officeDocument/2006/relationships/externalLink" Target="externalLinks/externalLink245.xml"/><Relationship Id="rId13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5.xml"/><Relationship Id="rId260" Type="http://schemas.openxmlformats.org/officeDocument/2006/relationships/externalLink" Target="externalLinks/externalLink256.xml"/><Relationship Id="rId34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20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7.xml"/><Relationship Id="rId7" Type="http://schemas.openxmlformats.org/officeDocument/2006/relationships/externalLink" Target="externalLinks/externalLink3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18" Type="http://schemas.openxmlformats.org/officeDocument/2006/relationships/externalLink" Target="externalLinks/externalLink214.xml"/><Relationship Id="rId239" Type="http://schemas.openxmlformats.org/officeDocument/2006/relationships/externalLink" Target="externalLinks/externalLink235.xml"/><Relationship Id="rId250" Type="http://schemas.openxmlformats.org/officeDocument/2006/relationships/externalLink" Target="externalLinks/externalLink246.xml"/><Relationship Id="rId271" Type="http://schemas.openxmlformats.org/officeDocument/2006/relationships/externalLink" Target="externalLinks/externalLink267.xml"/><Relationship Id="rId24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7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4" Type="http://schemas.openxmlformats.org/officeDocument/2006/relationships/externalLink" Target="externalLinks/externalLink190.xml"/><Relationship Id="rId208" Type="http://schemas.openxmlformats.org/officeDocument/2006/relationships/externalLink" Target="externalLinks/externalLink204.xml"/><Relationship Id="rId229" Type="http://schemas.openxmlformats.org/officeDocument/2006/relationships/externalLink" Target="externalLinks/externalLink225.xml"/><Relationship Id="rId240" Type="http://schemas.openxmlformats.org/officeDocument/2006/relationships/externalLink" Target="externalLinks/externalLink236.xml"/><Relationship Id="rId261" Type="http://schemas.openxmlformats.org/officeDocument/2006/relationships/externalLink" Target="externalLinks/externalLink257.xml"/><Relationship Id="rId1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8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219" Type="http://schemas.openxmlformats.org/officeDocument/2006/relationships/externalLink" Target="externalLinks/externalLink215.xml"/><Relationship Id="rId230" Type="http://schemas.openxmlformats.org/officeDocument/2006/relationships/externalLink" Target="externalLinks/externalLink226.xml"/><Relationship Id="rId251" Type="http://schemas.openxmlformats.org/officeDocument/2006/relationships/externalLink" Target="externalLinks/externalLink247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272" Type="http://schemas.openxmlformats.org/officeDocument/2006/relationships/externalLink" Target="externalLinks/externalLink268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95" Type="http://schemas.openxmlformats.org/officeDocument/2006/relationships/externalLink" Target="externalLinks/externalLink191.xml"/><Relationship Id="rId209" Type="http://schemas.openxmlformats.org/officeDocument/2006/relationships/externalLink" Target="externalLinks/externalLink205.xml"/><Relationship Id="rId220" Type="http://schemas.openxmlformats.org/officeDocument/2006/relationships/externalLink" Target="externalLinks/externalLink216.xml"/><Relationship Id="rId241" Type="http://schemas.openxmlformats.org/officeDocument/2006/relationships/externalLink" Target="externalLinks/externalLink23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262" Type="http://schemas.openxmlformats.org/officeDocument/2006/relationships/externalLink" Target="externalLinks/externalLink258.xml"/><Relationship Id="rId78" Type="http://schemas.openxmlformats.org/officeDocument/2006/relationships/externalLink" Target="externalLinks/externalLink74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64" Type="http://schemas.openxmlformats.org/officeDocument/2006/relationships/externalLink" Target="externalLinks/externalLink160.xml"/><Relationship Id="rId185" Type="http://schemas.openxmlformats.org/officeDocument/2006/relationships/externalLink" Target="externalLinks/externalLink181.xml"/><Relationship Id="rId9" Type="http://schemas.openxmlformats.org/officeDocument/2006/relationships/externalLink" Target="externalLinks/externalLink5.xml"/><Relationship Id="rId210" Type="http://schemas.openxmlformats.org/officeDocument/2006/relationships/externalLink" Target="externalLinks/externalLink206.xml"/><Relationship Id="rId26" Type="http://schemas.openxmlformats.org/officeDocument/2006/relationships/externalLink" Target="externalLinks/externalLink22.xml"/><Relationship Id="rId231" Type="http://schemas.openxmlformats.org/officeDocument/2006/relationships/externalLink" Target="externalLinks/externalLink227.xml"/><Relationship Id="rId252" Type="http://schemas.openxmlformats.org/officeDocument/2006/relationships/externalLink" Target="externalLinks/externalLink248.xml"/><Relationship Id="rId273" Type="http://schemas.openxmlformats.org/officeDocument/2006/relationships/externalLink" Target="externalLinks/externalLink269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96" Type="http://schemas.openxmlformats.org/officeDocument/2006/relationships/externalLink" Target="externalLinks/externalLink192.xml"/><Relationship Id="rId200" Type="http://schemas.openxmlformats.org/officeDocument/2006/relationships/externalLink" Target="externalLinks/externalLink196.xml"/><Relationship Id="rId16" Type="http://schemas.openxmlformats.org/officeDocument/2006/relationships/externalLink" Target="externalLinks/externalLink12.xml"/><Relationship Id="rId221" Type="http://schemas.openxmlformats.org/officeDocument/2006/relationships/externalLink" Target="externalLinks/externalLink217.xml"/><Relationship Id="rId242" Type="http://schemas.openxmlformats.org/officeDocument/2006/relationships/externalLink" Target="externalLinks/externalLink238.xml"/><Relationship Id="rId263" Type="http://schemas.openxmlformats.org/officeDocument/2006/relationships/externalLink" Target="externalLinks/externalLink259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11" Type="http://schemas.openxmlformats.org/officeDocument/2006/relationships/externalLink" Target="externalLinks/externalLink207.xml"/><Relationship Id="rId232" Type="http://schemas.openxmlformats.org/officeDocument/2006/relationships/externalLink" Target="externalLinks/externalLink228.xml"/><Relationship Id="rId253" Type="http://schemas.openxmlformats.org/officeDocument/2006/relationships/externalLink" Target="externalLinks/externalLink249.xml"/><Relationship Id="rId274" Type="http://schemas.openxmlformats.org/officeDocument/2006/relationships/externalLink" Target="externalLinks/externalLink270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155" Type="http://schemas.openxmlformats.org/officeDocument/2006/relationships/externalLink" Target="externalLinks/externalLink151.xml"/><Relationship Id="rId176" Type="http://schemas.openxmlformats.org/officeDocument/2006/relationships/externalLink" Target="externalLinks/externalLink172.xml"/><Relationship Id="rId197" Type="http://schemas.openxmlformats.org/officeDocument/2006/relationships/externalLink" Target="externalLinks/externalLink193.xml"/><Relationship Id="rId201" Type="http://schemas.openxmlformats.org/officeDocument/2006/relationships/externalLink" Target="externalLinks/externalLink197.xml"/><Relationship Id="rId222" Type="http://schemas.openxmlformats.org/officeDocument/2006/relationships/externalLink" Target="externalLinks/externalLink218.xml"/><Relationship Id="rId243" Type="http://schemas.openxmlformats.org/officeDocument/2006/relationships/externalLink" Target="externalLinks/externalLink239.xml"/><Relationship Id="rId264" Type="http://schemas.openxmlformats.org/officeDocument/2006/relationships/externalLink" Target="externalLinks/externalLink260.xml"/><Relationship Id="rId1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20.xml"/><Relationship Id="rId70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7.xml"/><Relationship Id="rId145" Type="http://schemas.openxmlformats.org/officeDocument/2006/relationships/externalLink" Target="externalLinks/externalLink141.xml"/><Relationship Id="rId166" Type="http://schemas.openxmlformats.org/officeDocument/2006/relationships/externalLink" Target="externalLinks/externalLink162.xml"/><Relationship Id="rId187" Type="http://schemas.openxmlformats.org/officeDocument/2006/relationships/externalLink" Target="externalLinks/externalLink183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8.xml"/><Relationship Id="rId233" Type="http://schemas.openxmlformats.org/officeDocument/2006/relationships/externalLink" Target="externalLinks/externalLink229.xml"/><Relationship Id="rId254" Type="http://schemas.openxmlformats.org/officeDocument/2006/relationships/externalLink" Target="externalLinks/externalLink250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275" Type="http://schemas.openxmlformats.org/officeDocument/2006/relationships/externalLink" Target="externalLinks/externalLink271.xml"/><Relationship Id="rId60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7.xml"/><Relationship Id="rId135" Type="http://schemas.openxmlformats.org/officeDocument/2006/relationships/externalLink" Target="externalLinks/externalLink131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98" Type="http://schemas.openxmlformats.org/officeDocument/2006/relationships/externalLink" Target="externalLinks/externalLink194.xml"/><Relationship Id="rId202" Type="http://schemas.openxmlformats.org/officeDocument/2006/relationships/externalLink" Target="externalLinks/externalLink198.xml"/><Relationship Id="rId223" Type="http://schemas.openxmlformats.org/officeDocument/2006/relationships/externalLink" Target="externalLinks/externalLink219.xml"/><Relationship Id="rId244" Type="http://schemas.openxmlformats.org/officeDocument/2006/relationships/externalLink" Target="externalLinks/externalLink240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265" Type="http://schemas.openxmlformats.org/officeDocument/2006/relationships/externalLink" Target="externalLinks/externalLink261.xml"/><Relationship Id="rId50" Type="http://schemas.openxmlformats.org/officeDocument/2006/relationships/externalLink" Target="externalLinks/externalLink46.xml"/><Relationship Id="rId104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13" Type="http://schemas.openxmlformats.org/officeDocument/2006/relationships/externalLink" Target="externalLinks/externalLink209.xml"/><Relationship Id="rId234" Type="http://schemas.openxmlformats.org/officeDocument/2006/relationships/externalLink" Target="externalLinks/externalLink23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55" Type="http://schemas.openxmlformats.org/officeDocument/2006/relationships/externalLink" Target="externalLinks/externalLink251.xml"/><Relationship Id="rId276" Type="http://schemas.openxmlformats.org/officeDocument/2006/relationships/theme" Target="theme/theme1.xml"/><Relationship Id="rId40" Type="http://schemas.openxmlformats.org/officeDocument/2006/relationships/externalLink" Target="externalLinks/externalLink36.xml"/><Relationship Id="rId115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9" Type="http://schemas.openxmlformats.org/officeDocument/2006/relationships/externalLink" Target="externalLinks/externalLink195.xml"/><Relationship Id="rId203" Type="http://schemas.openxmlformats.org/officeDocument/2006/relationships/externalLink" Target="externalLinks/externalLink199.xml"/><Relationship Id="rId19" Type="http://schemas.openxmlformats.org/officeDocument/2006/relationships/externalLink" Target="externalLinks/externalLink15.xml"/><Relationship Id="rId224" Type="http://schemas.openxmlformats.org/officeDocument/2006/relationships/externalLink" Target="externalLinks/externalLink220.xml"/><Relationship Id="rId245" Type="http://schemas.openxmlformats.org/officeDocument/2006/relationships/externalLink" Target="externalLinks/externalLink241.xml"/><Relationship Id="rId266" Type="http://schemas.openxmlformats.org/officeDocument/2006/relationships/externalLink" Target="externalLinks/externalLink262.xml"/><Relationship Id="rId30" Type="http://schemas.openxmlformats.org/officeDocument/2006/relationships/externalLink" Target="externalLinks/externalLink2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189" Type="http://schemas.openxmlformats.org/officeDocument/2006/relationships/externalLink" Target="externalLinks/externalLink185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0.xml"/><Relationship Id="rId235" Type="http://schemas.openxmlformats.org/officeDocument/2006/relationships/externalLink" Target="externalLinks/externalLink231.xml"/><Relationship Id="rId256" Type="http://schemas.openxmlformats.org/officeDocument/2006/relationships/externalLink" Target="externalLinks/externalLink252.xml"/><Relationship Id="rId277" Type="http://schemas.openxmlformats.org/officeDocument/2006/relationships/styles" Target="styles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179" Type="http://schemas.openxmlformats.org/officeDocument/2006/relationships/externalLink" Target="externalLinks/externalLink175.xml"/><Relationship Id="rId190" Type="http://schemas.openxmlformats.org/officeDocument/2006/relationships/externalLink" Target="externalLinks/externalLink186.xml"/><Relationship Id="rId204" Type="http://schemas.openxmlformats.org/officeDocument/2006/relationships/externalLink" Target="externalLinks/externalLink200.xml"/><Relationship Id="rId225" Type="http://schemas.openxmlformats.org/officeDocument/2006/relationships/externalLink" Target="externalLinks/externalLink221.xml"/><Relationship Id="rId246" Type="http://schemas.openxmlformats.org/officeDocument/2006/relationships/externalLink" Target="externalLinks/externalLink242.xml"/><Relationship Id="rId267" Type="http://schemas.openxmlformats.org/officeDocument/2006/relationships/externalLink" Target="externalLinks/externalLink26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90.xml"/><Relationship Id="rId148" Type="http://schemas.openxmlformats.org/officeDocument/2006/relationships/externalLink" Target="externalLinks/externalLink144.xml"/><Relationship Id="rId169" Type="http://schemas.openxmlformats.org/officeDocument/2006/relationships/externalLink" Target="externalLinks/externalLink165.xml"/><Relationship Id="rId4" Type="http://schemas.openxmlformats.org/officeDocument/2006/relationships/worksheet" Target="worksheets/sheet4.xml"/><Relationship Id="rId180" Type="http://schemas.openxmlformats.org/officeDocument/2006/relationships/externalLink" Target="externalLinks/externalLink176.xml"/><Relationship Id="rId215" Type="http://schemas.openxmlformats.org/officeDocument/2006/relationships/externalLink" Target="externalLinks/externalLink211.xml"/><Relationship Id="rId236" Type="http://schemas.openxmlformats.org/officeDocument/2006/relationships/externalLink" Target="externalLinks/externalLink232.xml"/><Relationship Id="rId257" Type="http://schemas.openxmlformats.org/officeDocument/2006/relationships/externalLink" Target="externalLinks/externalLink253.xml"/><Relationship Id="rId278" Type="http://schemas.openxmlformats.org/officeDocument/2006/relationships/sharedStrings" Target="sharedStrings.xml"/><Relationship Id="rId42" Type="http://schemas.openxmlformats.org/officeDocument/2006/relationships/externalLink" Target="externalLinks/externalLink38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91" Type="http://schemas.openxmlformats.org/officeDocument/2006/relationships/externalLink" Target="externalLinks/externalLink187.xml"/><Relationship Id="rId205" Type="http://schemas.openxmlformats.org/officeDocument/2006/relationships/externalLink" Target="externalLinks/externalLink201.xml"/><Relationship Id="rId247" Type="http://schemas.openxmlformats.org/officeDocument/2006/relationships/externalLink" Target="externalLinks/externalLink243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53" Type="http://schemas.openxmlformats.org/officeDocument/2006/relationships/externalLink" Target="externalLinks/externalLink49.xml"/><Relationship Id="rId149" Type="http://schemas.openxmlformats.org/officeDocument/2006/relationships/externalLink" Target="externalLinks/externalLink145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216" Type="http://schemas.openxmlformats.org/officeDocument/2006/relationships/externalLink" Target="externalLinks/externalLink2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171450</xdr:rowOff>
    </xdr:from>
    <xdr:to>
      <xdr:col>1</xdr:col>
      <xdr:colOff>495300</xdr:colOff>
      <xdr:row>3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9515BE94-D101-4045-934F-DD5B8694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1450"/>
          <a:ext cx="15906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171450</xdr:rowOff>
    </xdr:from>
    <xdr:ext cx="1590675" cy="511629"/>
    <xdr:pic>
      <xdr:nvPicPr>
        <xdr:cNvPr id="2" name="Picture 5">
          <a:extLst>
            <a:ext uri="{FF2B5EF4-FFF2-40B4-BE49-F238E27FC236}">
              <a16:creationId xmlns:a16="http://schemas.microsoft.com/office/drawing/2014/main" id="{807EA23C-BE3F-440B-A161-8903229C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1450"/>
          <a:ext cx="1590675" cy="5116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arbone/IMPOST~1/Temp/41%20JUI%20MING%20EQUALIT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Sep%202018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Africa%20-%20Guenea%20-%20Bulk%20Borneo\Laytime\2020\Shield%20Version\Laytime%20BB%20Feb%202020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Africa%20-%20Guenea%20-%20Bulk%20Borneo\Laytime\2020\Shield%20Version\Laytime%20BB%20Mar%202020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BL%20Project%20non-Berau%20Coal\Africa%20-%20Guenea%20-%20Bulk%20Borneo\Laytime\2020\Shield%20Version\Laytime%20BB%20Apr%202020%20-%20Sheild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frica%20-%20Guenea%20-%20Bulk%20Borneo\Laytime\2020\Shield%20Version\Laytime%20BB%20Apr%202020%20-%20Sheild%20(Not%20fix)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Africa%20-%20Guenea%20-%20Bulk%20Borneo\Laytime\2020\Shield%20Version\Laytime%20BB%20May%202020%20-%20Sheild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frica%20-%20Guenea%20-%20Bulk%20Borneo\Laytime\2020\Shield%20Version\Laytime%20BB%20May%202020%20-%20Sheild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BL%20Project%20non-Berau%20Coal\Africa%20-%20Guenea%20-%20Bulk%20Borneo\Laytime\2020\Shield%20Version\Laytime%20BB%20May%202020%20-%20Sheild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frica%20-%20Guenea%20-%20Bulk%20Borneo\Laytime\2020\Shield%20Version\Laytime%20BB%20Jun%202020%20-%20Sheild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ABL%20Project%20non-Berau%20Coal\Africa%20-%20Guenea%20-%20Bulk%20Borneo\Laytime\2020\Shield%20Version\Laytime%20BB%20Jul%202020%20-%20Sheild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frica%20-%20Guenea%20-%20Bulk%20Borneo\Laytime\2020\Shield%20Version\Laytime%20BB%20Jul%202020%20-%20Sheil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Oct%202018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frica%20-%20Guenea%20-%20Bulk%20Borneo\Laytime\2020\Shield%20Version\Laytime%20BB%20Sept%202020%20-%20Sheild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frica%20-%20Guenea%20-%20Bulk%20Borneo\Laytime\2020\Shield%20Version\Laytime%20BB%20Oct%202020%20-%20Sheild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frica%20-%20Guenea%20-%20Bulk%20Borneo\Laytime\2020\Shield%20Version\Laytime%20BB%20Nov%202020%20-%20Sheild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frica%20-%20Guenea%20-%20Bulk%20Borneo\Laytime\2020\Shield%20Version\Laytime%20BB%20Dec%202020%20-%20Sheild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Borneo%20-%20Africa%20-%20Guenea\Laytime\2020\Shield%20Version\Laytime%20BB%20Dec%202020%20-%20Sheild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Borneo%20-%20Africa%20-%20Guenea\Laytime\2021\Shield%20Version\Laytime%20BB%20Jan%202021%20-%20Sheild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3.%20Bulk%20Borneo%20-%20Africa%20-%20Guenea\Laytime\2021\Shield%20Version\Laytime%20BB%20Feb%202021%20-%20Sheild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3.%20Bulk%20Borneo%20-%20Africa%20-%20Guenea\Laytime\2021\Shield%20Version\Laytime%20BB%20Mar%202021%20-%20Sheild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3.%20Bulk%20Borneo%20-%20Africa%20-%20Guenea\Laytime\2021\Shield%20Version\Laytime%20BB%20Apr%202021%20-%20Sheild.xlsx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3.%20Bulk%20Borneo%20-%20Africa%20-%20Guenea\Laytime\2021\Shield%20Version\Laytime%20BB%20May%202021%20-%20Sheild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Bunati%20Project%20-%20Bulk%20Java/OGV/01.GRA%20-%20November/Laytime%20BJ%20GRA%20-%20Time%20Sheet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May%202021%20-%20Sheild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Jun%202021%20-%20Sheild.xlsx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Jul%202021%20-%20Sheild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Aug%202021%20-%20Sheild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Sept%202021%20-%20Sheild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\Laytime\2021\Shield%20Version\Laytime%20BB%20Oct%202021%20-%20Sheild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3.%20Bulk%20Borneo%20-%20Africa%20-%20Guenea%202019%20-\Laytime\2021\Shield%20Version\Laytime%20BB%20Oct%202021%20-%20Sheild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1\Shield%20Version\Laytime%20BB%20Nov%202021%20-%20Sheild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1\Shield%20Version\Laytime%20BB%20Dec%202021%20-%20Sheild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2\Shield%20Version\Laytime%20BB%20Jan%202022%20-%20Shei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unati%20Project%20-%20Bulk%20Java/OGV/02.%20Caravos%20Triumph%20-%20November/Laytime%20BJ%20Caravos%20Triumph%20-%20Final%20Docs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2\Shield%20Version\Laytime%20BB%20Mar%202022%20-%20Sheild.xlsx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2\Shield%20Version\Laytime%20BB%20May%202022%20-%20Sheild.xlsx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2\Shield%20Version\Laytime%20BB%20Jun%202022%20-%20Sheild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4.%20Bulk%20Borneo%20-%20Africa%20-%20Guenea%202019%20-\Laytime\2022\Shield%20Version\Laytime%20BB%20Jul%202022%20-%20Sheild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4.%20Bulk%20Borneo%20-%20Africa%20-%20Guenea%202019%20-\Laytime\2022\Shield%20Version\LDPL%20Sept%202022%20-\Laytime%20BB%20Sept%202022%20-%20Sheild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4.%20Bulk%20Borneo%20-%20Africa%20-%20Guenea%202019%20-\Laytime\2022\Shield%20Version\LDPL%20Sept%202022%20-\Laytime%20BB%20Oct%202022%20-%20Sheild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4.%20Bulk%20Borneo%20-%20Africa%20-%20Guenea%202019%20-\Laytime\2022\Laytime%20BB%20Dec%202022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Celebes/Laytime%20BC%20December%202017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Celebes/Laytime%20BC%20January%202018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Celebes/Laytime%20BC%20February%202018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unati%20Project%20-%20Bulk%20Java/OGV/03.%20Golden%20Myrtalia%20-%20December/Laytime%20BJ%20Golden%20Myrtalia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Celebes/Laytime%20BC%20March%202018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March%202018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March%202018%20(Repaired).xlsx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April%202018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May%202018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June%202018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July%202018.xlsx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Aug%202018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Sep%202018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Oct%2020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Bunati%20Project%20-%20Bulk%20Java/OGV/04.%20Wooyang%20Banders%20-%20December/Laytime%20BJ%20Wooyang%20Banders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Nov%202018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Nov%202018%20Confirm.xlsx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Celebes/Laytime%20BC%20Dec%202018.xlsx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January%202019.xlsx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February%202019.xlsx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March%202019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April%202019.xlsx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May%202019.xls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ji\AppData\Local\Temp\Laytime%20BC%20May%202019.xlsx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June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Bunati%20Project%20-%20Bulk%20Java/OGV/05.%20Adam%20I/Laytime%20BJ%20Adam%20I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BERAU%20COAL\OPS\OPS%20DOCS\2019\Laytime%20Bulk%20Celebes\Laytime%20BC%20July%202019.xlsx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July%202019.xlsx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August%202019.xlsx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Celebes\Laytime%20BC%20Sept%202019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BERAU%20COAL\OPS\OPS%20DOCS\2019\Laytime%20Bulk%20Celebes\Laytime%20BC%20Okt%202019.xlsx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BERAU%20COAL\OPS\OPS%20DOCS\2019\Laytime%20Bulk%20Celebes\Laytime%20BC%20Oct%202019.xlsx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BERAU%20COAL\OPS\OPS%20DOCS\2019\Laytime%20Bulk%20Celebes\Laytime%20BC%20Oct%202019.xlsx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BERAU%20COAL\OPS\OPS%20DOCS\2019\Laytime%20Bulk%20Celebes\Laytime%20BC%20Nov%202019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/ABL/Laytime%20Bulk/LAYTIME%20(%20ABL%20-%20BERAU%20COAL%20)/LAYTIME%20BC/Laytime%20BC%20Dec%202019.xlsx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BERAU%20COAL\OPS\OPS%20DOCS\2019\Laytime%20Bulk%20Celebes\Laytime%20BC%20Dec%2020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Aug%202018.xlsx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Celebes\Laytime%20BC%20Jan%202020.xlsx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Celebes\Laytime%20BC%20Feb%202020.xlsx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Celebes\Laytime%20BC%20Mar%202020.xlsx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Celebes\Laytime%20BC%20Apr%202020.xlsx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Celebes\Laytime%20BC%20Apr%202020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Celebes\Laytime%20BC%20May%202020.xlsx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Celebes\Laytime%20BC%20Jun%202020.xlsx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Celebes\Laytime%20BC%20Jul%202020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Celebes\Laytime%20BC%20Aug%202020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0\Laytime%20Bulk%20Celebes\Laytime%20BC%20Nov%20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March%202019%20-%20REV%20-.xlsx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0\Laytime%20Bulk%20Celebes\Laytime%20BC%20Dec%202020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Jan%202021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Feb%202021.xlsx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Mar%202021.xlsx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April%202021.xlsx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May%202021.xlsx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Jun%202021.xlsx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Jul%202021.xlsx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Aug%202021.xlsx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Sept%2020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March%202019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BERAU%20COAL\OPS\OPS%20DOCS\2021\Laytime%20Bulk%20Celebes\Laytime%20BC%20Oct%202021.xlsx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Feb%202022%20-%20Sheild.xlsx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Mar%202022%20-%20Sheild.xlsx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Apr%202022%20-%20Sheild.xlsx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May%202022%20-%20Sheild.xlsx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Jun%202022%20-%20Sheild.xlsx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11.%20Bulk%20Celebes%20-%20Africa%20-%20Gabon%202021\Laytime\Shield%20Version\Laytime%20BC%20Jul%202022%20-%20Sheild.xlsx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11.%20Bulk%20Celebes%20-%20Africa%20-%20Gabon%202021\Laytime\Shield%20Version\Laytime%20BC%20Aug%202022%20-%20Sheild.xlsx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11.%20Bulk%20Celebes%20-%20Africa%20-%20Gabon%202021\Laytime\Shield%20Version\Laytime%20BC%20Sept%202022%20-%20Sheild.xlsx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11.%20Bulk%20Celebes%20-%20Africa%20-%20Gabon%202021\Laytime\Shield%20Version\Laytime%20BC%20Oct%202022%20-%20Shei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efs01\npoper$\Nuovi%20Progetti%20-%20Operativo\OPERATIVO\KPC-LOGCONVERSION\OPERATION\2007\LIGHTERAGE%20OPERATION%20DOC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April%202019%20-%20REV%20-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11.%20Bulk%20Celebes%20-%20Africa%20-%20Gabon%202021\Laytime\Shield%20Version\Laytime%20BC%20Nov%202022%20-%20Sheild.xlsx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11.%20Bulk%20Celebes%20-%20Africa%20-%20Gabon%202021\Laytime\Shield%20Version\Laytime%20BC%20Dec%202022%20-%20Sheild.xlsx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Sumatra/Laytime%20BS%20January%202018.xlsx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Sumatra/Laytime%20BS%20February%202018.xlsx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Sumatra/Laytime%20BS%20March%202018.xlsx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March%202018.xlsx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April%202018.xlsx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May%202018.xlsx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June%202018.xlsx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July%20201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May%202019%20-%20REV-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Aug%202018.xlsx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Sep%202018.xlsx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Oct%202018.xlsx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Nov%202018%20-%20Copy.xlsx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Nov%202018%20Confirm.xlsx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Nov%202018.xlsx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Sumatra/Laytime%20BS%20Dec%202018.xlsx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January%202019.xlsx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February%202019.xlsx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CTS%20Performance%20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unati%20and%20Satui%20Project%20-%20Bulk%20Java\Muara%20Satui\Laytime\Laytime%20BJ%20May%202019%20-%20Beco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March%202019%20-%20REV.xlsx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April%202019.xlsx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May%202019.xlsx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June%202019.xlsx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July%202019.xlsx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Aug%202019.xlsx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Sumatra\Laytime%20BS%20September%202019.xlsx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BERAU%20COAL\OPS\OPS%20DOCS\2019\Laytime%20Bulk%20Sumatra\Laytime%20BS%20September%202019.xlsx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BERAU%20COAL\OPS\OPS%20DOCS\2019\Laytime%20Bulk%20Sumatra\Laytime%20BS%20October%202019.xlsx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BERAU%20COAL\OPS\OPS%20DOCS\2019\Laytime%20Bulk%20Sumatra\Laytime%20BS%20November%2020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Sangatta%20-%20Bulk%20Java\Laytime\Laytime%20BJ%20June%202019.xlsx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/ABL/Laytime%20Bulk/LAYTIME%20(%20ABL%20-%20BERAU%20COAL%20)/LAYTIME%20BS/Laytime%20BS%20Dec%202019.xlsx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/ABL/Laytime%20Bulk/LAYTIME%20(%20ABL%20-%20BERAU%20COAL%20)/LAYTIME%20BS/Laytime%20BS%20December%202019.xlsx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L\Laytime%20Bulk\LAYTIME%20(%20ABL%20-%20BERAU%20COAL%20)\LAYTIME%20BS\Laytime%20BS%20January%202020.xlsx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L\Laytime%20Bulk\LAYTIME%20(%20ABL%20-%20BERAU%20COAL%20)\LAYTIME%20BS\Laytime%20BS%20February%202020.xlsx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Sumatra\Laytime%20BS%20March%202020.xlsx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BERAU%20COAL\OPS\OPS%20DOCS\2020\Laytime%20Bulk%20Sumatra\Laytime%20BS%20April%202020.xlsx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L\Laytime%20Bulk\LAYTIME%20(%20ABL%20-%20BERAU%20COAL%20)\LAYTIME%20BS\Laytime%20BS%20May%202020.xlsx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L\Laytime%20Bulk\LAYTIME%20(%20ABL%20-%20BERAU%20COAL%20)\LAYTIME%20BS\Laytime%20BS%20June%202020.xlsx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July%202020.xlsx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Aug%2020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Sangatta%20-%20Bulk%20Java\Laytime\Laytime%20BJ%20July%202019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Sept%202020.xlsx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Oct%202020.xlsx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November%202020.xlsx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0\Laytime%20Bulk%20Sumatra\Laytime%20BS%20December%202020.xlsx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January%202021.xlsx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February%202021.xlsx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March%202021.xlsx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April%202021.xlsx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May%202021.xlsx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June%20202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Sangatta%20-%20Bulk%20Java\Laytime\Laytime%20BJ%20August%202019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July%202021.xlsx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August%202021.xlsx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L\Laytime%20Bulk\LAYTIME%20(%20ABL%20-%20BERAU%20COAL%20)\LAYTIME%20BS\Laytime%20BS%20September%202021.xlsx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September%202021.xlsx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October%202021.xlsx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November%202021.xlsx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1\Laytime%20Bulk%20Sumatra\Laytime%20BS%20December%202021.xlsx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January%202022.xlsx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February%202022.xlsx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March%20202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Asam-asam%20&amp;%20Satui%20Project%20TCP-%20Bulk%20Java\Laytime\Laytime%20BJ%20Sept%202019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April%202022.xlsx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May%202022.xlsx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/ALFONS/ABL/Laytime%20Bulk/LAYTIME%20(%20ABL%20-%20BERAU%20COAL%20)/LAYTIME%20BS/laytime%20BS%20June%202022.xlsx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July%202022.xlsx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1uk0nUAhJZ6E0AYrjJji87PO6Sg-ousNV\OPS%20files%20Fix\BERAU%20COAL\OPS\OPS%20DOCS\2022\Laytime%20Bulk%20Sumatra\Laytime%20BS%20Aug%202022.xlsx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OPS\OPS%20DOCS\2022\Laytime%20Bulk%20Sumatra\Laytime%20BS%20Aug%202022.xlsx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OPS\OPS%20DOCS\2022\Laytime%20Bulk%20Sumatra\Laytime%20BS%20Sept%202022.xlsx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OPS\OPS%20DOCS\2022\Laytime%20Bulk%20Sumatra\Laytime%20BS%20Oct%202022.xlsx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OPS\OPS%20DOCS\2022\Laytime%20Bulk%20Sumatra\Laytime%20BS%20Nov%202022.xlsx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/ALFONS/ABL/Laytime%20Bulk/LAYTIME%20(%20ABL%20-%20BERAU%20COAL%20)/LAYTIME%20BS/2022/Laytime%20BS%20Dec%20202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Downloads\Asam-asam%20&amp;%20Satui%20Project%20TCP-%20Bulk%20Java\Laytime\Laytime%20BJ%20Okt%202019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1.%20OPS\OPS%20DOCS\2022\Laytime%20Bulk%20Sumatra\Laytime%20BS%20Dec%202022.xlsx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BERAU%20COAL\1.%20OPS\1.%20OPS%20DOCS\2022\Laytime%20Bulk%20Sumatra\Laytime%20BS%20Dec%20202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Asam-asam%20&amp;%20Satui%20Project%20TCP-%20Bulk%20Java\2019\Asam-asam%20&amp;%20Satui%20Project%20TCP-%20Bulk%20Java%202019\Laytime\Laytime%20BJ%20Okt%202019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Asam-asam%20&amp;%20Satui%20Project%20TCP-%20Bulk%20Java\Laytime\Laytime%20BJ%20Nov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Java/Laytime%20BJ%20February%20%202018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Asam-asam%20&amp;%20Satui%20Project%20TCP-%20Bulk%20Java\Laytime\Laytime%20BJ%20Dec%20201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Asam-asam%20&amp;%20Satui%20Project%20TCP-%20Bulk%20Java%202019\Laytime\Laytime%20BJ%20Dec%202019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1.Time%20charter%20clause\Laytime\Laytime%20BJ%20Jan%20202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1.Time%20charter%20clause\Laytime\Laytime%20BJ%20Feb%20202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1.Time%20charter%20clause\Laytime\Laytime%20BJ%20Mar%20202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1.Time%20charter%20clause\Laytime\Laytime%20BJ%20April%20202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Asam-asam%20(Satui,%20Sanggata%20Project%20TCP)\2020\1.Time%20charter%20clause\Laytime\Laytime%20BJ%202020%20ABL-BeCo\Laytime%20BJ%20May%202020%20ABL-BeCo%20TC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Asam-asam%20(Satui,%20Sanggata%20Project%20TCP)\2020\1.Time%20charter%20clause\Laytime\Laytime%20BJ%202020%20ABL-BeCo\Laytime%20BJ%20Jun%202020%20ABL-BeCo%20TC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0DBC52\Laytime%20BJ%20Jun%202020%20ABL-BeCo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2.Freight%20charter%20clause\Laytime%20BJ%202020%20ABL-BeCo\Laytime%20BJ%20Jul%202020%20ABL-Be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Java/Laytime%20BJ%20March%202018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50DBC52\Laytime%20BJ%20Aug%202020%20ABL-BeCo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2.Freight%20charter%20clause\Laytime%20BJ%202020%20ABL-BeCo\Laytime%20BJ%20Sept%202020%20ABL-BeCo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Asam-asam%20(Satui,%20Sanggata%20Project%20TCP)%20Bulk%20Java\2020\2.Freight%20charter%20clause\Laytime%20BJ%202020%20ABL-BeCo\Laytime%20BJ%20Oct%202020%20ABL-BeCo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0\Laytime%20BJ%202020%20ABL-BeCo\Laytime%20BJ%20Dec%202020%20ABL-BeCo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\Laytime%20Jan%20BJ%20Freight%20Charter%202021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%20BJ%202021%20ABL-BeCo\Laytime%20BJ%20Jan%202021%20ABL-BeCo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%20BJ%202021%20ABL-BeCo\Laytime%20BJ%20Feb%202021%20ABL-BeCo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%20BJ%202021%20ABL-BeCo\Laytime%20BJ%20Mar%202021%20ABL-BeCo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%20BJ%202021%20ABL-BeCo\Laytime%20BJ%20Apr%202021%20ABL-BeCo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%20non-Berau%20Coal\Bulk%20Java%20-%20Muara%20Berau%20(Samarinda%20-%20ABL%20-%20PSS)\2021\Laytime%20BJ%202021%20ABL-BeCo\Laytime%20BJ%20May%202021%20ABL-BeC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March%202018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May%202021%20ABL-BeCo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Jun%202021%20ABL-BeCo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Jul%202021%20ABL-BeCo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Aug%202021%20ABL-BeCo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Sept%202021%20ABL-BeCo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\2021\Laytime%20BJ%202021%20ABL-BeCo\Laytime%20BJ%20Oct%202021%20ABL-BeCo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%202021\2021\Laytime%20BJ%202021%20ABL-BeCo\Laytime%20BJ%20Oct%202021%20ABL-BeCo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%202021\2021\Laytime%20BJ%202021%20ABL-BeCo\Laytime%20BJ%20Nov%202021%20ABL-BeCo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Bulk%20Java%20-%20Muara%20Berau%20(Samarinda%20-%20ABL%20-%20PSS)%202020\2021\Laytime%20BJ%202021%20ABL-BeCo\Laytime%20BJ%20Nov%202021%20ABL-BeCo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\2021\Laytime%20BJ%202021%20ABL-BeCo\Laytime%20BJ%20Nov%202021%20ABL-BeC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May%202018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\2021\Laytime%20BJ%202021%20ABL-BeCo\Laytime%20BJ%20Dec%202021%20ABL-BeCo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Jan%202022%20ABL-BeCo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Feb%202022%20ABL-BeCo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Mar%202022%20ABL-BeCo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Apr%202022%20ABL-BeCo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May%202022%20ABL-BeCo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Jun%202022%20ABL-BeCo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Jul%202022%20ABL-BeCo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Jul%202022%20ABL-BeCo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Aug%202022%20ABL-BeC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June%202018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ABL%20Project\7.%20Bulk%20Java%20-%20Muara%20Berau%20(Samarinda%20-%20ABL%20-%20PSS)%202020-2023\2022\Laytime%20Be-Co\Laytime%20BJ%20Aug%202022%20ABL-BeCo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Sept%202022%20ABL-BeCo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Oct%202022%20ABL-BeCo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Nov%202022%20ABL-BeCo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OPS\ABL%20Project\7.%20Bulk%20Java%20-%20Muara%20Berau%20(Samarinda%20-%20ABL%20-%20PSS)%202020-2023\2022\Laytime%20Be-Co\Laytime%20BJ%20Dec%202022%20ABL-BeCo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Borneo/Laytime%20BB%20December%202018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Borneo/Laytime%20BB%20February%202018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D00A~1.WIN/AppData/Local/Temp/BERAU%20COAL/OPS/OPS%20DOCS/2018/Laytime%20Borneo/Laytime%20BB%20March%202018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March%202018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April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July%202018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May%202018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June%202018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July%202018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Aug%202018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Sep%202018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Oct%202018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Nov%202018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Nov%202018%20(Confirmed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Borneo/Laytime%20BB%20Dec%202018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January%20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%20COAL/OPS/OPS%20DOCS/2018/Laytime%20Java/Laytime%20BJ%20Aug%202018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February%202019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March%202019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April%202019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ji\AppData\Local\Temp\Laytime%20BB%20Mei%202019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May%202019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July%202019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August%202019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s\Alfonso\AppData\Local\Temp\BERAU%20COAL\OPS\OPS%20DOCS\2019\Laytime%20Bulk%20Borneo\Laytime%20BB%20Sept%202019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OPS%20files%20Fix\CTS%20Performance\Africa%20-%20Guenea%20-%20Bulk%20Borneo\Laytime\Laytime%20BB%20Dec%202019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lfonso%20Abl\Downloads\Africa%20-%20Guenea%20-%20Bulk%20Borneo\Laytime\2020\Shield%20Version\Laytime%20BB%20Ja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 info"/>
      <sheetName val="Statement Zelia"/>
      <sheetName val="Statement Flor"/>
      <sheetName val="Daily Report"/>
      <sheetName val="Time &amp; Rates"/>
      <sheetName val="Time sheet"/>
      <sheetName val="Calcul Zelia"/>
      <sheetName val="Calcul Flor"/>
    </sheetNames>
    <sheetDataSet>
      <sheetData sheetId="0" refreshError="1">
        <row r="5">
          <cell r="F5" t="str">
            <v>MV Ming Equality</v>
          </cell>
        </row>
        <row r="9">
          <cell r="F9">
            <v>38537.291666666664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 2018"/>
      <sheetName val="Taipower Prosperity VII"/>
      <sheetName val="He Da"/>
      <sheetName val="Chance"/>
      <sheetName val="Huayang Pioneer"/>
    </sheetNames>
    <sheetDataSet>
      <sheetData sheetId="0" refreshError="1"/>
      <sheetData sheetId="1">
        <row r="59">
          <cell r="F59">
            <v>1.0451388888868678</v>
          </cell>
        </row>
        <row r="64">
          <cell r="F64">
            <v>2.6111111111094942</v>
          </cell>
        </row>
      </sheetData>
      <sheetData sheetId="2">
        <row r="52">
          <cell r="F52">
            <v>1.305555555569299</v>
          </cell>
        </row>
        <row r="57">
          <cell r="F57">
            <v>2.7083333333357587</v>
          </cell>
        </row>
      </sheetData>
      <sheetData sheetId="3">
        <row r="59">
          <cell r="F59">
            <v>0.95138888887231587</v>
          </cell>
        </row>
        <row r="64">
          <cell r="F64">
            <v>2.3993055555547471</v>
          </cell>
        </row>
      </sheetData>
      <sheetData sheetId="4">
        <row r="54">
          <cell r="F54">
            <v>0.87673611112040817</v>
          </cell>
        </row>
        <row r="59">
          <cell r="F59">
            <v>2.28125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020"/>
      <sheetName val="BERGE ORIZABA"/>
      <sheetName val="AQUA EXPLORER"/>
      <sheetName val="BULK SHENZHEN"/>
      <sheetName val="Sheet2"/>
    </sheetNames>
    <sheetDataSet>
      <sheetData sheetId="0" refreshError="1"/>
      <sheetData sheetId="1" refreshError="1">
        <row r="144">
          <cell r="I144">
            <v>2.454166666684614</v>
          </cell>
        </row>
      </sheetData>
      <sheetData sheetId="2" refreshError="1">
        <row r="414">
          <cell r="I414">
            <v>4.2000000000152795</v>
          </cell>
        </row>
      </sheetData>
      <sheetData sheetId="3" refreshError="1">
        <row r="161">
          <cell r="F161">
            <v>5.46875</v>
          </cell>
        </row>
      </sheetData>
      <sheetData sheetId="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020"/>
      <sheetName val="CAPE FLAMENGO"/>
      <sheetName val="NICOLEMY"/>
      <sheetName val="EAST TRADER"/>
      <sheetName val="ANTHEMIS"/>
      <sheetName val="Sheet2"/>
    </sheetNames>
    <sheetDataSet>
      <sheetData sheetId="0" refreshError="1"/>
      <sheetData sheetId="1" refreshError="1">
        <row r="111">
          <cell r="I111">
            <v>3.3500000000058208</v>
          </cell>
        </row>
      </sheetData>
      <sheetData sheetId="2" refreshError="1">
        <row r="132">
          <cell r="I132">
            <v>4.4166666666569654</v>
          </cell>
        </row>
      </sheetData>
      <sheetData sheetId="3" refreshError="1">
        <row r="139">
          <cell r="I139">
            <v>4.9562500000283762</v>
          </cell>
        </row>
      </sheetData>
      <sheetData sheetId="4" refreshError="1">
        <row r="69">
          <cell r="I69">
            <v>1.4687499999890861</v>
          </cell>
        </row>
      </sheetData>
      <sheetData sheetId="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020"/>
      <sheetName val="EKA TERINI"/>
      <sheetName val="BERGE APO"/>
      <sheetName val="MOUNT SINAI"/>
      <sheetName val="PACIFIC ANOUK"/>
      <sheetName val="CAPE SUNRISE"/>
      <sheetName val="Sheet2"/>
    </sheetNames>
    <sheetDataSet>
      <sheetData sheetId="0" refreshError="1"/>
      <sheetData sheetId="1" refreshError="1">
        <row r="85">
          <cell r="J85">
            <v>2.4708333333090802</v>
          </cell>
        </row>
      </sheetData>
      <sheetData sheetId="2" refreshError="1">
        <row r="91">
          <cell r="J91">
            <v>2.887500000008246</v>
          </cell>
        </row>
      </sheetData>
      <sheetData sheetId="3" refreshError="1">
        <row r="78">
          <cell r="J78">
            <v>2.5708333333304232</v>
          </cell>
        </row>
      </sheetData>
      <sheetData sheetId="4" refreshError="1"/>
      <sheetData sheetId="5" refreshError="1">
        <row r="76">
          <cell r="J76">
            <v>2.6604166666899496</v>
          </cell>
        </row>
      </sheetData>
      <sheetData sheetId="6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020"/>
      <sheetName val="EKA TERINI"/>
      <sheetName val="BERGE APO"/>
      <sheetName val="MOUNT SINAI"/>
      <sheetName val="PACIFIC ANOUK(not fix)"/>
      <sheetName val="CAPE SUNRISE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0">
          <cell r="J70">
            <v>2.4250000000087311</v>
          </cell>
        </row>
      </sheetData>
      <sheetData sheetId="5" refreshError="1"/>
      <sheetData sheetId="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20"/>
      <sheetName val="Unique Carrier"/>
      <sheetName val="Sheet2"/>
    </sheetNames>
    <sheetDataSet>
      <sheetData sheetId="0" refreshError="1"/>
      <sheetData sheetId="1" refreshError="1">
        <row r="43">
          <cell r="J43">
            <v>0.79166666667151731</v>
          </cell>
        </row>
      </sheetData>
      <sheetData sheetId="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20"/>
      <sheetName val="UNIQUE CARRIER"/>
      <sheetName val="CASTILLO DE VALVERDE"/>
      <sheetName val="NEW ORLEANS"/>
      <sheetName val="BERGE ORIZABA"/>
      <sheetName val="WEST TRADER"/>
      <sheetName val="SUNRISE"/>
      <sheetName val="Sheet2"/>
    </sheetNames>
    <sheetDataSet>
      <sheetData sheetId="0" refreshError="1"/>
      <sheetData sheetId="1" refreshError="1"/>
      <sheetData sheetId="2" refreshError="1">
        <row r="71">
          <cell r="J71">
            <v>2.3312500000065484</v>
          </cell>
        </row>
      </sheetData>
      <sheetData sheetId="3" refreshError="1"/>
      <sheetData sheetId="4" refreshError="1"/>
      <sheetData sheetId="5" refreshError="1">
        <row r="67">
          <cell r="J67">
            <v>2.5812499999956344</v>
          </cell>
        </row>
      </sheetData>
      <sheetData sheetId="6" refreshError="1">
        <row r="67">
          <cell r="J67">
            <v>2.2479166666744277</v>
          </cell>
        </row>
      </sheetData>
      <sheetData sheetId="7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20"/>
      <sheetName val="UNIQUE CARRIER"/>
      <sheetName val="CASTILLO DE VALVERDE"/>
      <sheetName val="NEW ORLEANS"/>
      <sheetName val="BERGE ORIZABA"/>
      <sheetName val="WEST TRADER"/>
      <sheetName val="SUNRISE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92">
          <cell r="J92">
            <v>3.1499999999951491</v>
          </cell>
        </row>
      </sheetData>
      <sheetData sheetId="4" refreshError="1">
        <row r="72">
          <cell r="J72">
            <v>1.9208333333423071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 2020"/>
      <sheetName val="BULK KYUSHU"/>
      <sheetName val="ATLANTIC TIGER"/>
      <sheetName val="KSL SEATTLE"/>
      <sheetName val="Sheet2"/>
    </sheetNames>
    <sheetDataSet>
      <sheetData sheetId="0" refreshError="1"/>
      <sheetData sheetId="1" refreshError="1">
        <row r="231">
          <cell r="J231">
            <v>4.3708333333415794</v>
          </cell>
        </row>
      </sheetData>
      <sheetData sheetId="2" refreshError="1">
        <row r="54">
          <cell r="J54">
            <v>0.27916666667442769</v>
          </cell>
        </row>
      </sheetData>
      <sheetData sheetId="3" refreshError="1">
        <row r="281">
          <cell r="J281">
            <v>3.8395833333961491</v>
          </cell>
        </row>
      </sheetData>
      <sheetData sheetId="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 2020"/>
      <sheetName val="CL RHINE RIVER"/>
      <sheetName val="BERGE TOUBKAL"/>
      <sheetName val="Sheet2"/>
    </sheetNames>
    <sheetDataSet>
      <sheetData sheetId="0" refreshError="1"/>
      <sheetData sheetId="1" refreshError="1">
        <row r="119">
          <cell r="J119">
            <v>1.5979166666511446</v>
          </cell>
        </row>
      </sheetData>
      <sheetData sheetId="2" refreshError="1"/>
      <sheetData sheetId="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 2020"/>
      <sheetName val="CL RHINE RIVER"/>
      <sheetName val="BERGE TOUBKAL"/>
      <sheetName val="Sheet2"/>
    </sheetNames>
    <sheetDataSet>
      <sheetData sheetId="0" refreshError="1"/>
      <sheetData sheetId="1" refreshError="1"/>
      <sheetData sheetId="2" refreshError="1">
        <row r="57">
          <cell r="J57">
            <v>0.1416666666555102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18"/>
      <sheetName val="Iolcos Confidence"/>
      <sheetName val="Taipower Prosperity VIII"/>
      <sheetName val="Rosco Sandalwood"/>
      <sheetName val="Long Shan Hu"/>
      <sheetName val="Blessed Luck"/>
      <sheetName val="Tiger Guangdong"/>
    </sheetNames>
    <sheetDataSet>
      <sheetData sheetId="0" refreshError="1"/>
      <sheetData sheetId="1">
        <row r="69">
          <cell r="F69">
            <v>1.5416666666727299</v>
          </cell>
        </row>
        <row r="74">
          <cell r="F74">
            <v>3.0729166666642413</v>
          </cell>
        </row>
      </sheetData>
      <sheetData sheetId="2">
        <row r="69">
          <cell r="F69">
            <v>1.2378472221874592</v>
          </cell>
        </row>
        <row r="74">
          <cell r="F74">
            <v>3.1041666666642413</v>
          </cell>
        </row>
      </sheetData>
      <sheetData sheetId="3">
        <row r="53">
          <cell r="F53">
            <v>0.77604166666181607</v>
          </cell>
        </row>
        <row r="58">
          <cell r="F58">
            <v>2.1284722222189885</v>
          </cell>
        </row>
      </sheetData>
      <sheetData sheetId="4">
        <row r="34">
          <cell r="F34">
            <v>0.46874999999272404</v>
          </cell>
        </row>
        <row r="39">
          <cell r="F39">
            <v>1.3298611111094942</v>
          </cell>
        </row>
      </sheetData>
      <sheetData sheetId="5">
        <row r="35">
          <cell r="F35">
            <v>0.49652777777737356</v>
          </cell>
        </row>
        <row r="40">
          <cell r="F40">
            <v>1.1631944444452529</v>
          </cell>
        </row>
      </sheetData>
      <sheetData sheetId="6">
        <row r="61">
          <cell r="F61">
            <v>1.4149305555656611</v>
          </cell>
        </row>
        <row r="66">
          <cell r="F66">
            <v>4.1284722222189885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20"/>
      <sheetName val="WEST TRADER"/>
      <sheetName val="Sheet2"/>
    </sheetNames>
    <sheetDataSet>
      <sheetData sheetId="0" refreshError="1"/>
      <sheetData sheetId="1" refreshError="1">
        <row r="281">
          <cell r="J281">
            <v>4.9749999999985448</v>
          </cell>
        </row>
        <row r="282">
          <cell r="J282">
            <v>1.4791666666460515</v>
          </cell>
        </row>
      </sheetData>
      <sheetData sheetId="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20"/>
      <sheetName val="AZUL LIBERO"/>
      <sheetName val="Sheet2"/>
    </sheetNames>
    <sheetDataSet>
      <sheetData sheetId="0" refreshError="1"/>
      <sheetData sheetId="1" refreshError="1">
        <row r="130">
          <cell r="J130">
            <v>0.47291666668752441</v>
          </cell>
        </row>
      </sheetData>
      <sheetData sheetId="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20"/>
      <sheetName val="CAPE TAWEELAH"/>
      <sheetName val="CHENG MAY"/>
      <sheetName val="ATHENIAN PHONIX"/>
      <sheetName val="Sheet2"/>
    </sheetNames>
    <sheetDataSet>
      <sheetData sheetId="0" refreshError="1"/>
      <sheetData sheetId="1" refreshError="1">
        <row r="341">
          <cell r="J341">
            <v>2.8289583333644259</v>
          </cell>
        </row>
      </sheetData>
      <sheetData sheetId="2" refreshError="1">
        <row r="435">
          <cell r="J435">
            <v>4.0201620370607998</v>
          </cell>
        </row>
      </sheetData>
      <sheetData sheetId="3" refreshError="1">
        <row r="253">
          <cell r="J253">
            <v>2.7541666666402307</v>
          </cell>
        </row>
      </sheetData>
      <sheetData sheetId="4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20"/>
      <sheetName val="SEATTLE SLEW"/>
      <sheetName val="AQUA BONANZA"/>
      <sheetName val="Sheet2"/>
    </sheetNames>
    <sheetDataSet>
      <sheetData sheetId="0" refreshError="1"/>
      <sheetData sheetId="1" refreshError="1">
        <row r="218">
          <cell r="J218">
            <v>3.7659722222597338</v>
          </cell>
        </row>
      </sheetData>
      <sheetData sheetId="2" refreshError="1">
        <row r="159">
          <cell r="J159">
            <v>3.9541666666445963</v>
          </cell>
        </row>
      </sheetData>
      <sheetData sheetId="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20"/>
      <sheetName val="SEATTLE SLEW"/>
      <sheetName val="AQUA BONANZA"/>
      <sheetName val="CAPE GENESIS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117">
          <cell r="J117">
            <v>2.8222222222211713</v>
          </cell>
        </row>
      </sheetData>
      <sheetData sheetId="4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21"/>
      <sheetName val="QI MING STAR"/>
      <sheetName val="CL PEARL RIVER"/>
      <sheetName val="WEST TRADER"/>
      <sheetName val="WEN CHANG STAR"/>
      <sheetName val="Sheet2"/>
    </sheetNames>
    <sheetDataSet>
      <sheetData sheetId="0" refreshError="1"/>
      <sheetData sheetId="1" refreshError="1">
        <row r="129">
          <cell r="J129">
            <v>3.0208333333357587</v>
          </cell>
        </row>
      </sheetData>
      <sheetData sheetId="2" refreshError="1">
        <row r="116">
          <cell r="J116">
            <v>3.1979166666678793</v>
          </cell>
        </row>
      </sheetData>
      <sheetData sheetId="3" refreshError="1">
        <row r="89">
          <cell r="J89">
            <v>2.937499999992724</v>
          </cell>
        </row>
      </sheetData>
      <sheetData sheetId="4" refreshError="1">
        <row r="125">
          <cell r="J125">
            <v>3.856249999987388</v>
          </cell>
        </row>
      </sheetData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"/>
      <sheetName val="HEROIC"/>
      <sheetName val="ARIADNE"/>
      <sheetName val="CL HUANG PU RIVER"/>
      <sheetName val="Sheet2"/>
    </sheetNames>
    <sheetDataSet>
      <sheetData sheetId="0" refreshError="1"/>
      <sheetData sheetId="1" refreshError="1">
        <row r="187">
          <cell r="J187">
            <v>4.9597222222473647</v>
          </cell>
        </row>
      </sheetData>
      <sheetData sheetId="2" refreshError="1">
        <row r="193">
          <cell r="J193">
            <v>5.7416666666722449</v>
          </cell>
        </row>
      </sheetData>
      <sheetData sheetId="3" refreshError="1">
        <row r="157">
          <cell r="J157">
            <v>4.5645833333401242</v>
          </cell>
        </row>
      </sheetData>
      <sheetData sheetId="4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BERGE NIMBA"/>
      <sheetName val="SUIGO"/>
      <sheetName val="CL RHINE RIVER"/>
      <sheetName val="BERGE AORAKI"/>
      <sheetName val="Sheet2"/>
    </sheetNames>
    <sheetDataSet>
      <sheetData sheetId="0" refreshError="1"/>
      <sheetData sheetId="1" refreshError="1">
        <row r="33">
          <cell r="J33">
            <v>0.58125000000291038</v>
          </cell>
        </row>
      </sheetData>
      <sheetData sheetId="2" refreshError="1">
        <row r="118">
          <cell r="J118">
            <v>2.7562499999839929</v>
          </cell>
        </row>
      </sheetData>
      <sheetData sheetId="3" refreshError="1">
        <row r="16">
          <cell r="Y16">
            <v>7.0833333338669036E-2</v>
          </cell>
        </row>
        <row r="120">
          <cell r="J120">
            <v>3.1229166666744277</v>
          </cell>
        </row>
      </sheetData>
      <sheetData sheetId="4" refreshError="1">
        <row r="88">
          <cell r="J88">
            <v>2.9645833333124756</v>
          </cell>
        </row>
      </sheetData>
      <sheetData sheetId="5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CAPE GENESIS"/>
      <sheetName val="LOS ANGELES"/>
      <sheetName val="VANGELIS"/>
      <sheetName val="BERGE WEISSHORN"/>
      <sheetName val="CAPE MAGNOLIA"/>
      <sheetName val="Sheet2"/>
    </sheetNames>
    <sheetDataSet>
      <sheetData sheetId="0" refreshError="1"/>
      <sheetData sheetId="1" refreshError="1">
        <row r="94">
          <cell r="J94">
            <v>3.6562499999854481</v>
          </cell>
        </row>
      </sheetData>
      <sheetData sheetId="2" refreshError="1">
        <row r="71">
          <cell r="J71">
            <v>2.8208333333241171</v>
          </cell>
        </row>
      </sheetData>
      <sheetData sheetId="3" refreshError="1">
        <row r="92">
          <cell r="J92">
            <v>2.5833333333102928</v>
          </cell>
        </row>
      </sheetData>
      <sheetData sheetId="4" refreshError="1">
        <row r="79">
          <cell r="J79">
            <v>2.3645833333248447</v>
          </cell>
        </row>
      </sheetData>
      <sheetData sheetId="5" refreshError="1">
        <row r="98">
          <cell r="J98">
            <v>3.1479166666867968</v>
          </cell>
        </row>
      </sheetData>
      <sheetData sheetId="6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WEN CHANG STAR"/>
      <sheetName val="NAVIOS CANARY"/>
      <sheetName val="STAR MARILENA"/>
      <sheetName val="Sheet2"/>
    </sheetNames>
    <sheetDataSet>
      <sheetData sheetId="0" refreshError="1"/>
      <sheetData sheetId="1" refreshError="1">
        <row r="88">
          <cell r="J88">
            <v>2.6229166666525998</v>
          </cell>
        </row>
      </sheetData>
      <sheetData sheetId="2" refreshError="1">
        <row r="63">
          <cell r="J63">
            <v>1.8833333333241171</v>
          </cell>
        </row>
      </sheetData>
      <sheetData sheetId="3" refreshError="1">
        <row r="80">
          <cell r="J80">
            <v>1.9979166666926176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"/>
    </sheetNames>
    <sheetDataSet>
      <sheetData sheetId="0">
        <row r="55">
          <cell r="F55">
            <v>1.3003472222565808</v>
          </cell>
        </row>
        <row r="60">
          <cell r="F60">
            <v>3.1041666666642413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WEN CHANG STAR"/>
      <sheetName val="NAVIOS CANARY"/>
      <sheetName val="STAR MARILENA"/>
      <sheetName val="ALPHA FAITH"/>
      <sheetName val="MARIJEANNIE"/>
      <sheetName val="BERGE BROAD PEAK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1">
          <cell r="J71">
            <v>2.3104166666780657</v>
          </cell>
        </row>
      </sheetData>
      <sheetData sheetId="5" refreshError="1">
        <row r="73">
          <cell r="J73">
            <v>2.5458333333444898</v>
          </cell>
        </row>
      </sheetData>
      <sheetData sheetId="6" refreshError="1">
        <row r="104">
          <cell r="J104">
            <v>2.8375000000160071</v>
          </cell>
        </row>
      </sheetData>
      <sheetData sheetId="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XIN MAY"/>
      <sheetName val="PONTOTRITON"/>
      <sheetName val="CAPE ASTER"/>
      <sheetName val="BERGE APO"/>
      <sheetName val="SJ ASIA"/>
      <sheetName val="Sheet2"/>
    </sheetNames>
    <sheetDataSet>
      <sheetData sheetId="0" refreshError="1"/>
      <sheetData sheetId="1" refreshError="1">
        <row r="82">
          <cell r="J82">
            <v>1.5375000000203727</v>
          </cell>
        </row>
      </sheetData>
      <sheetData sheetId="2" refreshError="1">
        <row r="142">
          <cell r="J142">
            <v>2.0062499999767169</v>
          </cell>
        </row>
      </sheetData>
      <sheetData sheetId="3" refreshError="1">
        <row r="157">
          <cell r="J157">
            <v>2.5500000000138243</v>
          </cell>
        </row>
      </sheetData>
      <sheetData sheetId="4" refreshError="1">
        <row r="131">
          <cell r="J131">
            <v>2.7750000000451109</v>
          </cell>
        </row>
      </sheetData>
      <sheetData sheetId="5" refreshError="1">
        <row r="182">
          <cell r="J182">
            <v>2.5145833333444898</v>
          </cell>
        </row>
      </sheetData>
      <sheetData sheetId="6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KANARIS"/>
      <sheetName val="QI MING STAR"/>
      <sheetName val="Sheet2"/>
    </sheetNames>
    <sheetDataSet>
      <sheetData sheetId="0" refreshError="1"/>
      <sheetData sheetId="1" refreshError="1">
        <row r="324">
          <cell r="J324">
            <v>2.6583333333401242</v>
          </cell>
        </row>
      </sheetData>
      <sheetData sheetId="2" refreshError="1">
        <row r="307">
          <cell r="J307">
            <v>2.2972222222051641</v>
          </cell>
        </row>
      </sheetData>
      <sheetData sheetId="3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Cape Ride"/>
      <sheetName val="Cape Ride (2)"/>
      <sheetName val="Cape Ride (3)"/>
      <sheetName val="Cape Ride (4)"/>
      <sheetName val="Berge Aoraki"/>
      <sheetName val="Sheet2"/>
    </sheetNames>
    <sheetDataSet>
      <sheetData sheetId="0" refreshError="1"/>
      <sheetData sheetId="1" refreshError="1">
        <row r="75">
          <cell r="J75">
            <v>0.75416666666569654</v>
          </cell>
        </row>
      </sheetData>
      <sheetData sheetId="2" refreshError="1">
        <row r="88">
          <cell r="J88">
            <v>0.34583333332921029</v>
          </cell>
        </row>
      </sheetData>
      <sheetData sheetId="3" refreshError="1">
        <row r="84">
          <cell r="J84">
            <v>0.61041666665187222</v>
          </cell>
        </row>
      </sheetData>
      <sheetData sheetId="4" refreshError="1">
        <row r="45">
          <cell r="J45">
            <v>4.1666666664241347E-2</v>
          </cell>
        </row>
      </sheetData>
      <sheetData sheetId="5" refreshError="1">
        <row r="211">
          <cell r="J211">
            <v>0.66250000002037268</v>
          </cell>
        </row>
      </sheetData>
      <sheetData sheetId="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SHIOSHAI"/>
      <sheetName val="WEST TRADER"/>
      <sheetName val="Sheet2"/>
    </sheetNames>
    <sheetDataSet>
      <sheetData sheetId="0" refreshError="1"/>
      <sheetData sheetId="1" refreshError="1">
        <row r="137">
          <cell r="J137">
            <v>0.49583333333430346</v>
          </cell>
        </row>
      </sheetData>
      <sheetData sheetId="2" refreshError="1">
        <row r="515">
          <cell r="J515">
            <v>2.5124999999970896</v>
          </cell>
        </row>
      </sheetData>
      <sheetData sheetId="3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BERGE CRISTOBAL"/>
      <sheetName val="AM TARANG"/>
      <sheetName val="Sheet2"/>
    </sheetNames>
    <sheetDataSet>
      <sheetData sheetId="0" refreshError="1"/>
      <sheetData sheetId="1" refreshError="1">
        <row r="476">
          <cell r="J476">
            <v>1.7791666666380479</v>
          </cell>
        </row>
      </sheetData>
      <sheetData sheetId="2" refreshError="1">
        <row r="893">
          <cell r="J893">
            <v>2.0812499999810825</v>
          </cell>
        </row>
      </sheetData>
      <sheetData sheetId="3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BERGE CRISTOBAL"/>
      <sheetName val="AM TARANG"/>
      <sheetName val="JIN NIU STAR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700">
          <cell r="J700">
            <v>3.0104166666557526</v>
          </cell>
        </row>
      </sheetData>
      <sheetData sheetId="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MARIPERLA"/>
      <sheetName val="CAPE CLOVER"/>
      <sheetName val="JWS SALEM"/>
      <sheetName val="ORIENT ANGEL"/>
      <sheetName val="Sheet2"/>
    </sheetNames>
    <sheetDataSet>
      <sheetData sheetId="0" refreshError="1"/>
      <sheetData sheetId="1" refreshError="1">
        <row r="521">
          <cell r="J521">
            <v>2.3541666666678793</v>
          </cell>
        </row>
      </sheetData>
      <sheetData sheetId="2" refreshError="1">
        <row r="612">
          <cell r="J612">
            <v>2.6895833333255723</v>
          </cell>
        </row>
      </sheetData>
      <sheetData sheetId="3" refreshError="1">
        <row r="198">
          <cell r="J198">
            <v>3.4854166666627862</v>
          </cell>
        </row>
      </sheetData>
      <sheetData sheetId="4" refreshError="1">
        <row r="276">
          <cell r="J276">
            <v>1.2145833333413369</v>
          </cell>
        </row>
      </sheetData>
      <sheetData sheetId="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"/>
      <sheetName val="CAPE VIOLET"/>
      <sheetName val="XIN MAY"/>
      <sheetName val="KATIE K 1ST"/>
      <sheetName val="KATIE K 2ND"/>
      <sheetName val="CHAMPIONSHIP"/>
      <sheetName val="CAPE AMAL"/>
      <sheetName val="Sheet2"/>
    </sheetNames>
    <sheetDataSet>
      <sheetData sheetId="0" refreshError="1"/>
      <sheetData sheetId="1" refreshError="1">
        <row r="190">
          <cell r="J190">
            <v>2.4645833333670453</v>
          </cell>
        </row>
      </sheetData>
      <sheetData sheetId="2" refreshError="1">
        <row r="159">
          <cell r="J159">
            <v>2.7305555555063217</v>
          </cell>
        </row>
      </sheetData>
      <sheetData sheetId="3" refreshError="1">
        <row r="154">
          <cell r="J154">
            <v>1.7368055555667121</v>
          </cell>
        </row>
      </sheetData>
      <sheetData sheetId="4" refreshError="1">
        <row r="92">
          <cell r="J92">
            <v>1.0979166666826736</v>
          </cell>
        </row>
      </sheetData>
      <sheetData sheetId="5" refreshError="1">
        <row r="40">
          <cell r="J40">
            <v>0.42430555555337279</v>
          </cell>
        </row>
      </sheetData>
      <sheetData sheetId="6" refreshError="1">
        <row r="188">
          <cell r="J188">
            <v>3.2215277777993632</v>
          </cell>
        </row>
      </sheetData>
      <sheetData sheetId="7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"/>
      <sheetName val="WEST TRADER"/>
      <sheetName val="Sheet2"/>
    </sheetNames>
    <sheetDataSet>
      <sheetData sheetId="0" refreshError="1"/>
      <sheetData sheetId="1" refreshError="1">
        <row r="102">
          <cell r="J102">
            <v>2.555555555550705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vos Triumph"/>
    </sheetNames>
    <sheetDataSet>
      <sheetData sheetId="0">
        <row r="73">
          <cell r="F73">
            <v>2.0625000000157647</v>
          </cell>
        </row>
        <row r="78">
          <cell r="F78">
            <v>3.6041666666642413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SAMC TRANSPORTER"/>
      <sheetName val="Sheet2"/>
    </sheetNames>
    <sheetDataSet>
      <sheetData sheetId="0" refreshError="1"/>
      <sheetData sheetId="1" refreshError="1">
        <row r="653">
          <cell r="J653">
            <v>14.404861111100196</v>
          </cell>
        </row>
      </sheetData>
      <sheetData sheetId="2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GEORGE ISLAND"/>
      <sheetName val="Sheet2"/>
    </sheetNames>
    <sheetDataSet>
      <sheetData sheetId="0" refreshError="1"/>
      <sheetData sheetId="1" refreshError="1">
        <row r="389">
          <cell r="J389">
            <v>2.9874999999434912</v>
          </cell>
        </row>
      </sheetData>
      <sheetData sheetId="2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STAR ANGIE"/>
      <sheetName val="Sheet2"/>
    </sheetNames>
    <sheetDataSet>
      <sheetData sheetId="0" refreshError="1"/>
      <sheetData sheetId="1" refreshError="1">
        <row r="924">
          <cell r="J924">
            <v>16.465277777777779</v>
          </cell>
        </row>
      </sheetData>
      <sheetData sheetId="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STAR ANGIE"/>
      <sheetName val="MAHARAJ"/>
      <sheetName val="Sheet2"/>
    </sheetNames>
    <sheetDataSet>
      <sheetData sheetId="0" refreshError="1"/>
      <sheetData sheetId="1" refreshError="1"/>
      <sheetData sheetId="2" refreshError="1">
        <row r="1274">
          <cell r="J1274">
            <v>9.1229166666004566</v>
          </cell>
        </row>
      </sheetData>
      <sheetData sheetId="3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JIN NIU STAR "/>
      <sheetName val="MARAN HOPE"/>
      <sheetName val="Sheet2"/>
    </sheetNames>
    <sheetDataSet>
      <sheetData sheetId="0" refreshError="1"/>
      <sheetData sheetId="1" refreshError="1">
        <row r="118">
          <cell r="F118">
            <v>0.65416666665987577</v>
          </cell>
        </row>
      </sheetData>
      <sheetData sheetId="2" refreshError="1">
        <row r="428">
          <cell r="F428">
            <v>1.1166666666831588</v>
          </cell>
        </row>
      </sheetData>
      <sheetData sheetId="3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QI MING STAR"/>
      <sheetName val="Sheet2"/>
    </sheetNames>
    <sheetDataSet>
      <sheetData sheetId="0" refreshError="1"/>
      <sheetData sheetId="1" refreshError="1">
        <row r="452">
          <cell r="F452">
            <v>1.1645833333168412</v>
          </cell>
        </row>
      </sheetData>
      <sheetData sheetId="2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"/>
      <sheetName val="Agios Charalambos"/>
      <sheetName val="Sheet2"/>
    </sheetNames>
    <sheetDataSet>
      <sheetData sheetId="0" refreshError="1"/>
      <sheetData sheetId="1" refreshError="1">
        <row r="1440">
          <cell r="F1440">
            <v>8.7458333333051996</v>
          </cell>
        </row>
      </sheetData>
      <sheetData sheetId="2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"/>
      <sheetName val="Yokohama"/>
      <sheetName val="Tuo Fu 11"/>
    </sheetNames>
    <sheetDataSet>
      <sheetData sheetId="0" refreshError="1"/>
      <sheetData sheetId="1">
        <row r="48">
          <cell r="F48">
            <v>1.4861111111094942</v>
          </cell>
        </row>
      </sheetData>
      <sheetData sheetId="2">
        <row r="43">
          <cell r="F43">
            <v>0.90277777778464952</v>
          </cell>
        </row>
        <row r="47">
          <cell r="F47">
            <v>1.6875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"/>
      <sheetName val="Yokohama"/>
      <sheetName val="Tuo Fu 11"/>
      <sheetName val="Chang Ming"/>
      <sheetName val="Ocean Carrier"/>
      <sheetName val="Shao Shan 1"/>
      <sheetName val="SM Challenger"/>
      <sheetName val="Dewi Parwati"/>
      <sheetName val="Sea Honesty"/>
      <sheetName val="Marivictoria"/>
      <sheetName val="Well Deep"/>
    </sheetNames>
    <sheetDataSet>
      <sheetData sheetId="0" refreshError="1"/>
      <sheetData sheetId="1">
        <row r="44">
          <cell r="F44">
            <v>0.65104166665696539</v>
          </cell>
        </row>
        <row r="48">
          <cell r="F48">
            <v>1.4861111111094942</v>
          </cell>
        </row>
      </sheetData>
      <sheetData sheetId="2" refreshError="1"/>
      <sheetData sheetId="3">
        <row r="30">
          <cell r="F30">
            <v>0.26388888889050577</v>
          </cell>
        </row>
        <row r="34">
          <cell r="F34">
            <v>0.77777777778101154</v>
          </cell>
        </row>
      </sheetData>
      <sheetData sheetId="4">
        <row r="41">
          <cell r="F41">
            <v>0.45833333335394855</v>
          </cell>
        </row>
        <row r="45">
          <cell r="F45">
            <v>1.3333333333357587</v>
          </cell>
        </row>
      </sheetData>
      <sheetData sheetId="5">
        <row r="42">
          <cell r="F42">
            <v>0.65451388889778173</v>
          </cell>
        </row>
        <row r="46">
          <cell r="F46">
            <v>1.4444444444452529</v>
          </cell>
        </row>
      </sheetData>
      <sheetData sheetId="6">
        <row r="35">
          <cell r="F35">
            <v>0.31076388889414375</v>
          </cell>
        </row>
        <row r="39">
          <cell r="F39">
            <v>1.0069444444452529</v>
          </cell>
        </row>
      </sheetData>
      <sheetData sheetId="7">
        <row r="57">
          <cell r="F57">
            <v>1.1597222222444543</v>
          </cell>
        </row>
        <row r="61">
          <cell r="F61">
            <v>2.1597222222189885</v>
          </cell>
        </row>
      </sheetData>
      <sheetData sheetId="8">
        <row r="41">
          <cell r="F41">
            <v>0.84201388889778173</v>
          </cell>
        </row>
        <row r="45">
          <cell r="F45">
            <v>1.5659722222189885</v>
          </cell>
        </row>
      </sheetData>
      <sheetData sheetId="9">
        <row r="74">
          <cell r="F74">
            <v>3.6597222222626442</v>
          </cell>
        </row>
        <row r="78">
          <cell r="F78">
            <v>5.1805555555547471</v>
          </cell>
        </row>
      </sheetData>
      <sheetData sheetId="10">
        <row r="43">
          <cell r="F43">
            <v>1.1684027777882875</v>
          </cell>
        </row>
        <row r="47">
          <cell r="F47">
            <v>1.7847222222189885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"/>
      <sheetName val="Ju Yuan"/>
      <sheetName val="Cemtex Renaissance"/>
      <sheetName val="Leading Glory"/>
      <sheetName val="Zheng Jie"/>
      <sheetName val="MSXT Capella"/>
    </sheetNames>
    <sheetDataSet>
      <sheetData sheetId="0" refreshError="1"/>
      <sheetData sheetId="1">
        <row r="65">
          <cell r="F65">
            <v>2.9166666666678793</v>
          </cell>
        </row>
        <row r="69">
          <cell r="F69">
            <v>4.1909722222262644</v>
          </cell>
        </row>
      </sheetData>
      <sheetData sheetId="2">
        <row r="75">
          <cell r="F75">
            <v>2.6111111111276841</v>
          </cell>
        </row>
        <row r="79">
          <cell r="F79">
            <v>4.3645833333284827</v>
          </cell>
        </row>
      </sheetData>
      <sheetData sheetId="3">
        <row r="68">
          <cell r="F68">
            <v>2.0347222222262644</v>
          </cell>
        </row>
        <row r="72">
          <cell r="F72">
            <v>3.5104166666642413</v>
          </cell>
        </row>
      </sheetData>
      <sheetData sheetId="4">
        <row r="61">
          <cell r="F61">
            <v>1.7604166666569654</v>
          </cell>
        </row>
        <row r="65">
          <cell r="F65">
            <v>3.0416666666642413</v>
          </cell>
        </row>
      </sheetData>
      <sheetData sheetId="5">
        <row r="72">
          <cell r="F72">
            <v>1.2604166666569654</v>
          </cell>
        </row>
        <row r="76">
          <cell r="F76">
            <v>2.9513888888905058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en Myrtalia"/>
    </sheetNames>
    <sheetDataSet>
      <sheetData sheetId="0">
        <row r="101">
          <cell r="F101">
            <v>3.1857638888723159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"/>
      <sheetName val="Xin Doang Guan 3"/>
      <sheetName val="Giant Ace"/>
      <sheetName val="Night Kiss"/>
      <sheetName val="_x0001__x0001_y_x0001_y_x0001_k_x0001_N_x0001__x0018__x0001_@_x0000_O_x0001_O_x0001_"/>
    </sheetNames>
    <sheetDataSet>
      <sheetData sheetId="0" refreshError="1"/>
      <sheetData sheetId="1">
        <row r="45">
          <cell r="F45">
            <v>0.72743055554747116</v>
          </cell>
        </row>
        <row r="49">
          <cell r="F49">
            <v>1.3888888888905058</v>
          </cell>
        </row>
      </sheetData>
      <sheetData sheetId="2">
        <row r="43">
          <cell r="F43">
            <v>0.53645833335394855</v>
          </cell>
        </row>
        <row r="47">
          <cell r="F47">
            <v>1.3611111111094942</v>
          </cell>
        </row>
      </sheetData>
      <sheetData sheetId="3">
        <row r="68">
          <cell r="F68">
            <v>1.1753472222262644</v>
          </cell>
        </row>
        <row r="72">
          <cell r="F72">
            <v>2.7222222222262644</v>
          </cell>
        </row>
      </sheetData>
      <sheetData sheetId="4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"/>
      <sheetName val="Xin Doang Guan 3"/>
      <sheetName val="Giant Ace"/>
      <sheetName val="Night Kiss"/>
      <sheetName val="Zheng Hao"/>
      <sheetName val="Chang Ming"/>
      <sheetName val="Well Deep"/>
      <sheetName val="Captain Vangelis"/>
      <sheetName val="Asia Graeca"/>
      <sheetName val="Pacific Energy"/>
      <sheetName val="Jag Anand"/>
      <sheetName val="Yue Dian 2"/>
    </sheetNames>
    <sheetDataSet>
      <sheetData sheetId="0"/>
      <sheetData sheetId="1"/>
      <sheetData sheetId="2"/>
      <sheetData sheetId="3"/>
      <sheetData sheetId="4">
        <row r="53">
          <cell r="F53">
            <v>0.65625</v>
          </cell>
        </row>
        <row r="57">
          <cell r="F57">
            <v>1.3368055555547471</v>
          </cell>
        </row>
      </sheetData>
      <sheetData sheetId="5"/>
      <sheetData sheetId="6"/>
      <sheetData sheetId="7">
        <row r="39">
          <cell r="F39">
            <v>0.64583333333212067</v>
          </cell>
        </row>
        <row r="43">
          <cell r="F43">
            <v>1.4340277777737356</v>
          </cell>
        </row>
      </sheetData>
      <sheetData sheetId="8">
        <row r="64">
          <cell r="F64">
            <v>1.3315972221971606</v>
          </cell>
        </row>
        <row r="68">
          <cell r="F68">
            <v>2.5208333333284827</v>
          </cell>
        </row>
      </sheetData>
      <sheetData sheetId="9">
        <row r="70">
          <cell r="F70">
            <v>2.187499999992724</v>
          </cell>
        </row>
        <row r="74">
          <cell r="F74">
            <v>3.7604166666642413</v>
          </cell>
        </row>
      </sheetData>
      <sheetData sheetId="10">
        <row r="43">
          <cell r="F43">
            <v>0.62847222221535048</v>
          </cell>
        </row>
        <row r="47">
          <cell r="F47">
            <v>1.5069444444379769</v>
          </cell>
        </row>
      </sheetData>
      <sheetData sheetId="11">
        <row r="42">
          <cell r="F42">
            <v>0.93923611111313221</v>
          </cell>
        </row>
        <row r="46">
          <cell r="F46">
            <v>1.4583333333357587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"/>
      <sheetName val="Xin Doang Guan 3"/>
      <sheetName val="Giant Ace"/>
      <sheetName val="Night Kiss"/>
      <sheetName val="Zheng Hao"/>
      <sheetName val="Chang Ming"/>
      <sheetName val="Well De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0">
          <cell r="F40">
            <v>0.40624999998908606</v>
          </cell>
        </row>
        <row r="44">
          <cell r="F44">
            <v>1.1944444444452529</v>
          </cell>
        </row>
      </sheetData>
      <sheetData sheetId="6">
        <row r="39">
          <cell r="F39">
            <v>0.79687499998181011</v>
          </cell>
        </row>
        <row r="43">
          <cell r="F43">
            <v>1.1909722222189885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"/>
      <sheetName val="Gloriever"/>
      <sheetName val="Ocean Sapphire"/>
      <sheetName val="Chang Sheng"/>
      <sheetName val="Aanya"/>
      <sheetName val="Ocean Colossus"/>
      <sheetName val="Dewi Parwati"/>
      <sheetName val="Wooyang Friend"/>
      <sheetName val="Nozomi"/>
    </sheetNames>
    <sheetDataSet>
      <sheetData sheetId="0"/>
      <sheetData sheetId="1">
        <row r="45">
          <cell r="F45">
            <v>0.59548611110221827</v>
          </cell>
        </row>
        <row r="49">
          <cell r="F49">
            <v>1.0694444444452529</v>
          </cell>
        </row>
      </sheetData>
      <sheetData sheetId="2">
        <row r="49">
          <cell r="F49">
            <v>0.65277777779556345</v>
          </cell>
        </row>
        <row r="53">
          <cell r="F53">
            <v>1.6354166666715173</v>
          </cell>
        </row>
      </sheetData>
      <sheetData sheetId="3">
        <row r="66">
          <cell r="F66">
            <v>3.1961805555292813</v>
          </cell>
        </row>
        <row r="70">
          <cell r="F70">
            <v>4.5659722222189885</v>
          </cell>
        </row>
      </sheetData>
      <sheetData sheetId="4">
        <row r="67">
          <cell r="F67">
            <v>1.2934027777846495</v>
          </cell>
        </row>
        <row r="71">
          <cell r="F71">
            <v>2.9861111111094942</v>
          </cell>
        </row>
      </sheetData>
      <sheetData sheetId="5">
        <row r="55">
          <cell r="F55">
            <v>0.85243055554747116</v>
          </cell>
        </row>
        <row r="59">
          <cell r="F59">
            <v>1.96875</v>
          </cell>
        </row>
      </sheetData>
      <sheetData sheetId="6">
        <row r="102">
          <cell r="F102">
            <v>2.6041666666715173</v>
          </cell>
        </row>
        <row r="106">
          <cell r="F106">
            <v>3.8263888888832298</v>
          </cell>
        </row>
      </sheetData>
      <sheetData sheetId="7">
        <row r="47">
          <cell r="F47">
            <v>0.80555555555110914</v>
          </cell>
        </row>
        <row r="51">
          <cell r="F51">
            <v>1.5694444444452529</v>
          </cell>
        </row>
      </sheetData>
      <sheetData sheetId="8">
        <row r="35">
          <cell r="F35">
            <v>0.34548611110221827</v>
          </cell>
        </row>
        <row r="39">
          <cell r="F39">
            <v>0.93055555555474712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Nadhif"/>
      <sheetName val="Cape Fushen"/>
      <sheetName val="Taipower Prosperity VIII"/>
      <sheetName val="Bulk Norway"/>
      <sheetName val="Arpeggio"/>
      <sheetName val="Pedhoulas Cherry"/>
      <sheetName val="Medi Palmarola"/>
      <sheetName val="Peace"/>
      <sheetName val="Lumoso Permai"/>
      <sheetName val="Mineral Hokkaido"/>
    </sheetNames>
    <sheetDataSet>
      <sheetData sheetId="0"/>
      <sheetData sheetId="1">
        <row r="52">
          <cell r="F52">
            <v>0.81770833335031057</v>
          </cell>
        </row>
        <row r="56">
          <cell r="F56">
            <v>1.4270833333357587</v>
          </cell>
        </row>
      </sheetData>
      <sheetData sheetId="2">
        <row r="61">
          <cell r="F61">
            <v>1.8229166666751553</v>
          </cell>
        </row>
        <row r="65">
          <cell r="F65">
            <v>3.1111111111094942</v>
          </cell>
        </row>
      </sheetData>
      <sheetData sheetId="3">
        <row r="55">
          <cell r="F55">
            <v>0.81770833332484472</v>
          </cell>
        </row>
        <row r="59">
          <cell r="F59">
            <v>2.0555555555547471</v>
          </cell>
        </row>
      </sheetData>
      <sheetData sheetId="4">
        <row r="75">
          <cell r="F75">
            <v>3.3750000000181899</v>
          </cell>
        </row>
        <row r="79">
          <cell r="F79">
            <v>5.8333333333357587</v>
          </cell>
        </row>
      </sheetData>
      <sheetData sheetId="5">
        <row r="55">
          <cell r="F55">
            <v>0.8298611110985803</v>
          </cell>
        </row>
        <row r="59">
          <cell r="F59">
            <v>1.53125</v>
          </cell>
        </row>
      </sheetData>
      <sheetData sheetId="6">
        <row r="67">
          <cell r="F67">
            <v>1.9618055555511091</v>
          </cell>
        </row>
        <row r="71">
          <cell r="F71">
            <v>2.9166666666642413</v>
          </cell>
        </row>
      </sheetData>
      <sheetData sheetId="7">
        <row r="33">
          <cell r="F33">
            <v>0.3142361110985803</v>
          </cell>
        </row>
        <row r="37">
          <cell r="F37">
            <v>0.69097222222626442</v>
          </cell>
        </row>
      </sheetData>
      <sheetData sheetId="8">
        <row r="69">
          <cell r="F69">
            <v>1.4114583333393966</v>
          </cell>
        </row>
        <row r="73">
          <cell r="F73">
            <v>2.9097222222189885</v>
          </cell>
        </row>
      </sheetData>
      <sheetData sheetId="9">
        <row r="26">
          <cell r="F26">
            <v>0.10069444443070097</v>
          </cell>
        </row>
        <row r="30">
          <cell r="F30">
            <v>0.21180555555474712</v>
          </cell>
        </row>
      </sheetData>
      <sheetData sheetId="10">
        <row r="30">
          <cell r="F30">
            <v>0.25173611110585625</v>
          </cell>
        </row>
        <row r="34">
          <cell r="F34">
            <v>0.66319444444525288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"/>
      <sheetName val="Genco Surprise"/>
      <sheetName val="CS Harmony"/>
      <sheetName val="Ri Zhao"/>
      <sheetName val="Wooyang Friend"/>
      <sheetName val="Precious Sky"/>
      <sheetName val="Thetis"/>
      <sheetName val="Well Deep"/>
      <sheetName val="Medi Genova"/>
      <sheetName val="Arpeggio"/>
      <sheetName val="Pounda"/>
      <sheetName val="Hui Zhi"/>
      <sheetName val="Sea Opal"/>
    </sheetNames>
    <sheetDataSet>
      <sheetData sheetId="0"/>
      <sheetData sheetId="1">
        <row r="34">
          <cell r="F34">
            <v>0.26041666667515528</v>
          </cell>
        </row>
        <row r="38">
          <cell r="F38">
            <v>0.72916666666424135</v>
          </cell>
        </row>
      </sheetData>
      <sheetData sheetId="2">
        <row r="97">
          <cell r="F97">
            <v>2.8993055555438332</v>
          </cell>
        </row>
        <row r="101">
          <cell r="F101">
            <v>5.2569444444452529</v>
          </cell>
        </row>
      </sheetData>
      <sheetData sheetId="3">
        <row r="37">
          <cell r="F37">
            <v>0.40104166667515528</v>
          </cell>
        </row>
        <row r="41">
          <cell r="F41">
            <v>0.92708333333575865</v>
          </cell>
        </row>
      </sheetData>
      <sheetData sheetId="4">
        <row r="41">
          <cell r="F41">
            <v>0.44270833332848269</v>
          </cell>
        </row>
        <row r="45">
          <cell r="F45">
            <v>0.98263888888322981</v>
          </cell>
        </row>
      </sheetData>
      <sheetData sheetId="5">
        <row r="35">
          <cell r="F35">
            <v>0.34548611111677019</v>
          </cell>
        </row>
        <row r="39">
          <cell r="F39">
            <v>0.69791666666424135</v>
          </cell>
        </row>
      </sheetData>
      <sheetData sheetId="6">
        <row r="48">
          <cell r="F48">
            <v>0.53124999998181011</v>
          </cell>
        </row>
        <row r="52">
          <cell r="F52">
            <v>1.4236111111167702</v>
          </cell>
        </row>
      </sheetData>
      <sheetData sheetId="7">
        <row r="36">
          <cell r="F36">
            <v>0.36979166665696539</v>
          </cell>
        </row>
        <row r="40">
          <cell r="F40">
            <v>0.78125</v>
          </cell>
        </row>
      </sheetData>
      <sheetData sheetId="8">
        <row r="55">
          <cell r="F55">
            <v>0.81770833334667259</v>
          </cell>
        </row>
        <row r="59">
          <cell r="F59">
            <v>1.7465277777810115</v>
          </cell>
        </row>
      </sheetData>
      <sheetData sheetId="9">
        <row r="44">
          <cell r="F44">
            <v>0.71527777778101154</v>
          </cell>
        </row>
        <row r="48">
          <cell r="F48">
            <v>1.3819444444452529</v>
          </cell>
        </row>
      </sheetData>
      <sheetData sheetId="10">
        <row r="51">
          <cell r="F51">
            <v>1.9270833333102928</v>
          </cell>
        </row>
        <row r="55">
          <cell r="F55">
            <v>3.1111111111094942</v>
          </cell>
        </row>
      </sheetData>
      <sheetData sheetId="11">
        <row r="29">
          <cell r="F29">
            <v>0.16145833334303461</v>
          </cell>
        </row>
        <row r="33">
          <cell r="F33">
            <v>0.53819444444525288</v>
          </cell>
        </row>
      </sheetData>
      <sheetData sheetId="12">
        <row r="28">
          <cell r="F28">
            <v>8.5069444448890863E-2</v>
          </cell>
        </row>
        <row r="32">
          <cell r="F32">
            <v>0.24652777777373558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"/>
      <sheetName val="Wooyang Queen"/>
      <sheetName val="Stefanos T"/>
      <sheetName val="Sea Honesty"/>
      <sheetName val="Taipower Prosperity II"/>
      <sheetName val="Very Maria"/>
      <sheetName val="Topeka"/>
      <sheetName val="Zheng Kai"/>
      <sheetName val="Zheng Hao"/>
      <sheetName val="Win Win"/>
      <sheetName val="Nameera"/>
    </sheetNames>
    <sheetDataSet>
      <sheetData sheetId="0"/>
      <sheetData sheetId="1">
        <row r="41">
          <cell r="F41">
            <v>0.45833333333575865</v>
          </cell>
        </row>
        <row r="45">
          <cell r="F45">
            <v>1.1180555555547471</v>
          </cell>
        </row>
      </sheetData>
      <sheetData sheetId="2">
        <row r="44">
          <cell r="F44">
            <v>0.6961805555401952</v>
          </cell>
        </row>
        <row r="48">
          <cell r="F48">
            <v>1.4375</v>
          </cell>
        </row>
      </sheetData>
      <sheetData sheetId="3">
        <row r="45">
          <cell r="F45">
            <v>0.66666666668243124</v>
          </cell>
        </row>
        <row r="49">
          <cell r="F49">
            <v>1.5347222222189885</v>
          </cell>
        </row>
      </sheetData>
      <sheetData sheetId="4">
        <row r="36">
          <cell r="F36">
            <v>0.26909722221898846</v>
          </cell>
        </row>
        <row r="40">
          <cell r="F40">
            <v>0.96180555555474712</v>
          </cell>
        </row>
      </sheetData>
      <sheetData sheetId="5">
        <row r="41">
          <cell r="F41">
            <v>0.44097222223717836</v>
          </cell>
        </row>
        <row r="45">
          <cell r="F45">
            <v>1.0833333333357587</v>
          </cell>
        </row>
      </sheetData>
      <sheetData sheetId="6">
        <row r="49">
          <cell r="F49">
            <v>0.65104166667515528</v>
          </cell>
        </row>
        <row r="53">
          <cell r="F53">
            <v>1.5277777777737356</v>
          </cell>
        </row>
      </sheetData>
      <sheetData sheetId="7">
        <row r="45">
          <cell r="F45">
            <v>0.58333333334303461</v>
          </cell>
        </row>
        <row r="49">
          <cell r="F49">
            <v>1.5590277777810115</v>
          </cell>
        </row>
      </sheetData>
      <sheetData sheetId="8">
        <row r="34">
          <cell r="F34">
            <v>0.59027777776282164</v>
          </cell>
        </row>
        <row r="38">
          <cell r="F38">
            <v>0.94444444444525288</v>
          </cell>
        </row>
      </sheetData>
      <sheetData sheetId="9">
        <row r="49">
          <cell r="F49">
            <v>1.631944444427063</v>
          </cell>
        </row>
        <row r="53">
          <cell r="F53">
            <v>3.1145833333284827</v>
          </cell>
        </row>
      </sheetData>
      <sheetData sheetId="10">
        <row r="45">
          <cell r="F45">
            <v>2.3246527777846495</v>
          </cell>
        </row>
        <row r="49">
          <cell r="F49">
            <v>2.7361111111094942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Ying Shun"/>
      <sheetName val="Taipower Prosperity I"/>
      <sheetName val="Yue Dian 8"/>
      <sheetName val="Cemtex Innovation"/>
      <sheetName val="Genco Beauty"/>
      <sheetName val="Navios Joy"/>
      <sheetName val="Rosco Sandalwood"/>
      <sheetName val="HL IBT"/>
      <sheetName val="Sami"/>
    </sheetNames>
    <sheetDataSet>
      <sheetData sheetId="0"/>
      <sheetData sheetId="1">
        <row r="42">
          <cell r="F42">
            <v>0.47222222223717836</v>
          </cell>
        </row>
        <row r="46">
          <cell r="F46">
            <v>1.2604166666642413</v>
          </cell>
        </row>
      </sheetData>
      <sheetData sheetId="2">
        <row r="40">
          <cell r="F40">
            <v>0.54513888889050577</v>
          </cell>
        </row>
        <row r="44">
          <cell r="F44">
            <v>1.3854166666642413</v>
          </cell>
        </row>
      </sheetData>
      <sheetData sheetId="3">
        <row r="43">
          <cell r="F43">
            <v>0.70312500002910383</v>
          </cell>
        </row>
        <row r="47">
          <cell r="F47">
            <v>1.5555555555547471</v>
          </cell>
        </row>
      </sheetData>
      <sheetData sheetId="4">
        <row r="37">
          <cell r="F37">
            <v>0.42361111110949423</v>
          </cell>
        </row>
        <row r="41">
          <cell r="F41">
            <v>0.95833333333575865</v>
          </cell>
        </row>
      </sheetData>
      <sheetData sheetId="5">
        <row r="42">
          <cell r="F42">
            <v>0.70833333332484472</v>
          </cell>
        </row>
        <row r="46">
          <cell r="F46">
            <v>1.3958333333284827</v>
          </cell>
        </row>
      </sheetData>
      <sheetData sheetId="6">
        <row r="46">
          <cell r="F46">
            <v>1.7065972222189885</v>
          </cell>
        </row>
        <row r="50">
          <cell r="F50">
            <v>2.5069444444452529</v>
          </cell>
        </row>
      </sheetData>
      <sheetData sheetId="7">
        <row r="35">
          <cell r="F35">
            <v>0.33854166666787933</v>
          </cell>
        </row>
        <row r="39">
          <cell r="F39">
            <v>1.0520833333284827</v>
          </cell>
        </row>
      </sheetData>
      <sheetData sheetId="8">
        <row r="43">
          <cell r="F43">
            <v>0.86805555554747116</v>
          </cell>
        </row>
        <row r="47">
          <cell r="F47">
            <v>1.7430555555547471</v>
          </cell>
        </row>
      </sheetData>
      <sheetData sheetId="9">
        <row r="81">
          <cell r="F81">
            <v>2.8559027777810115</v>
          </cell>
        </row>
        <row r="85">
          <cell r="F85">
            <v>3.7708333333357587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"/>
      <sheetName val="MP Ultramax 1"/>
      <sheetName val="Pan Flower"/>
      <sheetName val="Taipower Prosperity VII"/>
      <sheetName val="Eastern River"/>
      <sheetName val="Renaissance"/>
      <sheetName val="Ken Yo"/>
      <sheetName val="Mineral Brugge"/>
      <sheetName val="Yi Hui"/>
      <sheetName val="Victoria I"/>
      <sheetName val="Australia Maru"/>
      <sheetName val="Chandra Kirana"/>
      <sheetName val="Mona Manx"/>
    </sheetNames>
    <sheetDataSet>
      <sheetData sheetId="0" refreshError="1"/>
      <sheetData sheetId="1">
        <row r="37">
          <cell r="F37">
            <v>0.74131944441736175</v>
          </cell>
        </row>
        <row r="41">
          <cell r="F41">
            <v>1.2881944444452529</v>
          </cell>
        </row>
      </sheetData>
      <sheetData sheetId="2">
        <row r="38">
          <cell r="F38">
            <v>0.38368055555232178</v>
          </cell>
        </row>
        <row r="42">
          <cell r="F42">
            <v>1.1597222222262644</v>
          </cell>
        </row>
      </sheetData>
      <sheetData sheetId="3">
        <row r="28">
          <cell r="F28">
            <v>0.11111111109979296</v>
          </cell>
        </row>
        <row r="32">
          <cell r="F32">
            <v>0.4375</v>
          </cell>
        </row>
      </sheetData>
      <sheetData sheetId="4">
        <row r="44">
          <cell r="F44">
            <v>0.55208333332241943</v>
          </cell>
        </row>
        <row r="48">
          <cell r="F48">
            <v>1.5034722222189885</v>
          </cell>
        </row>
      </sheetData>
      <sheetData sheetId="5">
        <row r="32">
          <cell r="F32">
            <v>0.2534722222202011</v>
          </cell>
        </row>
        <row r="36">
          <cell r="F36">
            <v>0.82638888888322981</v>
          </cell>
        </row>
      </sheetData>
      <sheetData sheetId="6">
        <row r="37">
          <cell r="F37">
            <v>0.38541666666909197</v>
          </cell>
        </row>
        <row r="41">
          <cell r="F41">
            <v>0.94791666666424135</v>
          </cell>
        </row>
      </sheetData>
      <sheetData sheetId="7">
        <row r="54">
          <cell r="F54">
            <v>1.0468749999975746</v>
          </cell>
        </row>
        <row r="58">
          <cell r="F58">
            <v>2.5277777777737356</v>
          </cell>
        </row>
      </sheetData>
      <sheetData sheetId="8">
        <row r="65">
          <cell r="F65">
            <v>1.2881944444355515</v>
          </cell>
        </row>
        <row r="69">
          <cell r="F69">
            <v>2.5173611111167702</v>
          </cell>
        </row>
      </sheetData>
      <sheetData sheetId="9">
        <row r="44">
          <cell r="F44">
            <v>0.50173611111434491</v>
          </cell>
        </row>
        <row r="48">
          <cell r="F48">
            <v>1.2708333333357587</v>
          </cell>
        </row>
      </sheetData>
      <sheetData sheetId="10">
        <row r="43">
          <cell r="F43">
            <v>0.60763888888808049</v>
          </cell>
        </row>
        <row r="47">
          <cell r="F47">
            <v>1.4305555555547471</v>
          </cell>
        </row>
      </sheetData>
      <sheetData sheetId="11">
        <row r="82">
          <cell r="F82">
            <v>1.0815972222056491</v>
          </cell>
        </row>
        <row r="86">
          <cell r="F86">
            <v>2.3298611111094942</v>
          </cell>
        </row>
      </sheetData>
      <sheetData sheetId="12">
        <row r="43">
          <cell r="F43">
            <v>0.67881944445374154</v>
          </cell>
        </row>
        <row r="47">
          <cell r="F47">
            <v>1.4270833333357587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ober"/>
      <sheetName val="Andhika Paramesti"/>
      <sheetName val="Lumoso Aman"/>
      <sheetName val="Trade Vision"/>
      <sheetName val="Genco Beauty"/>
      <sheetName val="Cape Brazilia"/>
      <sheetName val="Paros Seas"/>
      <sheetName val="Blessed Luck"/>
      <sheetName val="Rui Ning 21"/>
      <sheetName val="Tiger Guangdong"/>
      <sheetName val="Pacific Integrity"/>
      <sheetName val="Ocean Energy"/>
      <sheetName val="Best Trader"/>
      <sheetName val="Taipower Prosperity V"/>
    </sheetNames>
    <sheetDataSet>
      <sheetData sheetId="0" refreshError="1"/>
      <sheetData sheetId="1">
        <row r="63">
          <cell r="F63">
            <v>0.84201388888808049</v>
          </cell>
        </row>
        <row r="67">
          <cell r="F67">
            <v>2.78125</v>
          </cell>
        </row>
      </sheetData>
      <sheetData sheetId="2">
        <row r="47">
          <cell r="F47">
            <v>0.68576388890627038</v>
          </cell>
        </row>
        <row r="51">
          <cell r="F51">
            <v>1.5694444444452529</v>
          </cell>
        </row>
      </sheetData>
      <sheetData sheetId="3">
        <row r="79">
          <cell r="F79">
            <v>1.3732638888917184</v>
          </cell>
        </row>
        <row r="83">
          <cell r="F83">
            <v>2.9375</v>
          </cell>
        </row>
      </sheetData>
      <sheetData sheetId="4">
        <row r="30">
          <cell r="F30">
            <v>0.18749999999272404</v>
          </cell>
        </row>
        <row r="34">
          <cell r="F34">
            <v>0.61458333332848269</v>
          </cell>
        </row>
      </sheetData>
      <sheetData sheetId="5">
        <row r="35">
          <cell r="F35">
            <v>0.41145833332848269</v>
          </cell>
        </row>
        <row r="39">
          <cell r="F39">
            <v>1.0972222222262644</v>
          </cell>
        </row>
      </sheetData>
      <sheetData sheetId="6">
        <row r="52">
          <cell r="F52">
            <v>0.79687499999393674</v>
          </cell>
        </row>
        <row r="56">
          <cell r="F56">
            <v>2.0104166666642413</v>
          </cell>
        </row>
      </sheetData>
      <sheetData sheetId="7">
        <row r="37">
          <cell r="F37">
            <v>0.32638888888080447</v>
          </cell>
        </row>
        <row r="41">
          <cell r="F41">
            <v>1.1458333333357587</v>
          </cell>
        </row>
      </sheetData>
      <sheetData sheetId="8">
        <row r="36">
          <cell r="F36">
            <v>0.30555555558506359</v>
          </cell>
        </row>
        <row r="40">
          <cell r="F40">
            <v>1.0868055555547471</v>
          </cell>
        </row>
      </sheetData>
      <sheetData sheetId="9">
        <row r="42">
          <cell r="F42">
            <v>0.54340277777858625</v>
          </cell>
        </row>
        <row r="46">
          <cell r="F46">
            <v>1.9756944444452529</v>
          </cell>
        </row>
      </sheetData>
      <sheetData sheetId="10">
        <row r="48">
          <cell r="F48">
            <v>1.1579861111070688</v>
          </cell>
        </row>
        <row r="52">
          <cell r="F52">
            <v>2.4826388888905058</v>
          </cell>
        </row>
      </sheetData>
      <sheetData sheetId="11">
        <row r="29">
          <cell r="F29">
            <v>0.11284722222747709</v>
          </cell>
        </row>
        <row r="33">
          <cell r="F33">
            <v>0.59027777778101154</v>
          </cell>
        </row>
      </sheetData>
      <sheetData sheetId="12">
        <row r="40">
          <cell r="F40">
            <v>0.31076388888444245</v>
          </cell>
        </row>
        <row r="44">
          <cell r="F44">
            <v>1.2916666666715173</v>
          </cell>
        </row>
      </sheetData>
      <sheetData sheetId="13">
        <row r="37">
          <cell r="F37">
            <v>0.23263888889899439</v>
          </cell>
        </row>
        <row r="41">
          <cell r="F41">
            <v>0.875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yang Banders"/>
    </sheetNames>
    <sheetDataSet>
      <sheetData sheetId="0">
        <row r="103">
          <cell r="F103">
            <v>1.7378472222007986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ember"/>
      <sheetName val="Lake Dolphin"/>
      <sheetName val="Genco Vigour"/>
      <sheetName val="Anemone"/>
      <sheetName val="Pan Flower"/>
      <sheetName val="Navios Harmony"/>
      <sheetName val="Sfakia Wave"/>
      <sheetName val="Cape Ioanna"/>
      <sheetName val="Shao Shan 1"/>
      <sheetName val="Daebo Gladstone"/>
    </sheetNames>
    <sheetDataSet>
      <sheetData sheetId="0"/>
      <sheetData sheetId="1">
        <row r="88">
          <cell r="F88">
            <v>5.1423611111094942</v>
          </cell>
        </row>
      </sheetData>
      <sheetData sheetId="2">
        <row r="66">
          <cell r="F66">
            <v>2.7604166666715173</v>
          </cell>
        </row>
      </sheetData>
      <sheetData sheetId="3">
        <row r="40">
          <cell r="F40">
            <v>0.52604166665090213</v>
          </cell>
        </row>
        <row r="44">
          <cell r="F44">
            <v>1.1388888888905058</v>
          </cell>
        </row>
      </sheetData>
      <sheetData sheetId="4">
        <row r="68">
          <cell r="F68">
            <v>2.7777777777810115</v>
          </cell>
        </row>
      </sheetData>
      <sheetData sheetId="5">
        <row r="72">
          <cell r="F72">
            <v>3.9826388888905058</v>
          </cell>
        </row>
      </sheetData>
      <sheetData sheetId="6">
        <row r="59">
          <cell r="F59">
            <v>0.83680555555595981</v>
          </cell>
        </row>
        <row r="63">
          <cell r="F63">
            <v>2.5138888888905058</v>
          </cell>
        </row>
      </sheetData>
      <sheetData sheetId="7">
        <row r="52">
          <cell r="F52">
            <v>1.1930555555748772</v>
          </cell>
        </row>
        <row r="56">
          <cell r="F56">
            <v>2.5659722222189885</v>
          </cell>
        </row>
      </sheetData>
      <sheetData sheetId="8">
        <row r="28">
          <cell r="F28">
            <v>0.14409722221535048</v>
          </cell>
        </row>
        <row r="32">
          <cell r="F32">
            <v>0.63541666666424135</v>
          </cell>
        </row>
      </sheetData>
      <sheetData sheetId="9">
        <row r="35">
          <cell r="F35">
            <v>0.33333333333697129</v>
          </cell>
        </row>
        <row r="39">
          <cell r="F39">
            <v>1.03125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ember"/>
      <sheetName val="Lake Dolphin"/>
      <sheetName val="Genco Vigour"/>
      <sheetName val="Anemone"/>
      <sheetName val="Pan Flower"/>
      <sheetName val="Navios Harmony"/>
      <sheetName val="Sfakia Wave"/>
      <sheetName val="Cape Ioanna"/>
      <sheetName val="Shao Shan 1"/>
      <sheetName val="Daebo Gladstone"/>
    </sheetNames>
    <sheetDataSet>
      <sheetData sheetId="0" refreshError="1"/>
      <sheetData sheetId="1">
        <row r="84">
          <cell r="F84">
            <v>2.4694444444843007</v>
          </cell>
        </row>
        <row r="88">
          <cell r="F88">
            <v>5.1423611111094942</v>
          </cell>
        </row>
      </sheetData>
      <sheetData sheetId="2">
        <row r="62">
          <cell r="F62">
            <v>1.3142361110961549</v>
          </cell>
        </row>
        <row r="66">
          <cell r="F66">
            <v>2.7604166666715173</v>
          </cell>
        </row>
      </sheetData>
      <sheetData sheetId="3" refreshError="1"/>
      <sheetData sheetId="4">
        <row r="64">
          <cell r="F64">
            <v>1.0052083333442472</v>
          </cell>
        </row>
        <row r="68">
          <cell r="F68">
            <v>2.7777777777810115</v>
          </cell>
        </row>
      </sheetData>
      <sheetData sheetId="5">
        <row r="68">
          <cell r="F68">
            <v>2.0711805555523219</v>
          </cell>
        </row>
        <row r="72">
          <cell r="F72">
            <v>3.9826388888905058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ember"/>
      <sheetName val="Great Dragon 9"/>
      <sheetName val="Ocean Sapphire"/>
      <sheetName val="Genco Knight"/>
      <sheetName val="Evermerit"/>
      <sheetName val="Cape Istanbul"/>
      <sheetName val="Xing Le Hai"/>
      <sheetName val="Wei Qin"/>
      <sheetName val="Antoine"/>
      <sheetName val="Taipower Prosperity I"/>
      <sheetName val="Aquaman"/>
      <sheetName val="Navios Astra"/>
      <sheetName val="Odysseas L"/>
      <sheetName val="Alpha Afovos"/>
      <sheetName val="Tasmania"/>
    </sheetNames>
    <sheetDataSet>
      <sheetData sheetId="0" refreshError="1"/>
      <sheetData sheetId="1">
        <row r="38">
          <cell r="F38">
            <v>0.32118055554504582</v>
          </cell>
        </row>
        <row r="42">
          <cell r="F42">
            <v>1.0833333333357587</v>
          </cell>
        </row>
      </sheetData>
      <sheetData sheetId="2">
        <row r="37">
          <cell r="F37">
            <v>0.2899305555486838</v>
          </cell>
        </row>
        <row r="41">
          <cell r="F41">
            <v>1.0555555555547471</v>
          </cell>
        </row>
      </sheetData>
      <sheetData sheetId="3">
        <row r="29">
          <cell r="F29">
            <v>0.16319444445737949</v>
          </cell>
        </row>
        <row r="33">
          <cell r="F33">
            <v>0.57986111110949423</v>
          </cell>
        </row>
      </sheetData>
      <sheetData sheetId="4">
        <row r="45">
          <cell r="F45">
            <v>0.6701388889026324</v>
          </cell>
        </row>
        <row r="49">
          <cell r="F49">
            <v>1.4166666666642413</v>
          </cell>
        </row>
      </sheetData>
      <sheetData sheetId="5">
        <row r="68">
          <cell r="F68">
            <v>1.4010416666690919</v>
          </cell>
        </row>
        <row r="72">
          <cell r="F72">
            <v>2.9444444444452529</v>
          </cell>
        </row>
      </sheetData>
      <sheetData sheetId="6">
        <row r="33">
          <cell r="F33">
            <v>0.28124999999757466</v>
          </cell>
        </row>
        <row r="37">
          <cell r="F37">
            <v>0.82638888889050577</v>
          </cell>
        </row>
      </sheetData>
      <sheetData sheetId="7">
        <row r="45">
          <cell r="F45">
            <v>0.52777777779313817</v>
          </cell>
        </row>
        <row r="49">
          <cell r="F49">
            <v>1.6354166666642413</v>
          </cell>
        </row>
      </sheetData>
      <sheetData sheetId="8">
        <row r="41">
          <cell r="F41">
            <v>1.2013888888880804</v>
          </cell>
        </row>
        <row r="45">
          <cell r="F45">
            <v>2.3472222222189885</v>
          </cell>
        </row>
      </sheetData>
      <sheetData sheetId="9">
        <row r="28">
          <cell r="F28">
            <v>0.23611111110585625</v>
          </cell>
        </row>
        <row r="32">
          <cell r="F32">
            <v>0.69791666667151731</v>
          </cell>
        </row>
      </sheetData>
      <sheetData sheetId="10">
        <row r="43">
          <cell r="F43">
            <v>0.66319444443555164</v>
          </cell>
        </row>
        <row r="47">
          <cell r="F47">
            <v>1.4791666666642413</v>
          </cell>
        </row>
      </sheetData>
      <sheetData sheetId="11">
        <row r="33">
          <cell r="F33">
            <v>0.2777777777785862</v>
          </cell>
        </row>
        <row r="37">
          <cell r="F37">
            <v>1.0208333333284827</v>
          </cell>
        </row>
      </sheetData>
      <sheetData sheetId="12">
        <row r="42">
          <cell r="F42">
            <v>0.50694444443191367</v>
          </cell>
        </row>
        <row r="46">
          <cell r="F46">
            <v>1.4791666666715173</v>
          </cell>
        </row>
      </sheetData>
      <sheetData sheetId="13">
        <row r="25">
          <cell r="F25">
            <v>3.8194444442827567E-2</v>
          </cell>
        </row>
        <row r="29">
          <cell r="F29">
            <v>0.34375</v>
          </cell>
        </row>
      </sheetData>
      <sheetData sheetId="14">
        <row r="49">
          <cell r="F49">
            <v>1.0798611110925169</v>
          </cell>
        </row>
        <row r="53">
          <cell r="F53">
            <v>2.2048611111094942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 2019"/>
      <sheetName val="Cape Garland"/>
      <sheetName val="Dubai Knight"/>
      <sheetName val="De Xin Hai"/>
      <sheetName val="Taipower Prosperity VIII"/>
      <sheetName val="NPS Century"/>
      <sheetName val="Guang Xin"/>
      <sheetName val="Yin Ning"/>
      <sheetName val="Wooyang Banders"/>
      <sheetName val="Taipower Prosperity I"/>
      <sheetName val="Leading Glory"/>
    </sheetNames>
    <sheetDataSet>
      <sheetData sheetId="0" refreshError="1"/>
      <sheetData sheetId="1" refreshError="1">
        <row r="61">
          <cell r="F61">
            <v>1.3958333333260573</v>
          </cell>
        </row>
        <row r="65">
          <cell r="F65">
            <v>3.2152777777810115</v>
          </cell>
        </row>
      </sheetData>
      <sheetData sheetId="2" refreshError="1">
        <row r="47">
          <cell r="F47">
            <v>0.65451388889535644</v>
          </cell>
        </row>
        <row r="51">
          <cell r="F51">
            <v>1.6805555555547471</v>
          </cell>
        </row>
      </sheetData>
      <sheetData sheetId="3" refreshError="1">
        <row r="55">
          <cell r="F55">
            <v>1.0451388889062703</v>
          </cell>
        </row>
        <row r="59">
          <cell r="F59">
            <v>2.375</v>
          </cell>
        </row>
      </sheetData>
      <sheetData sheetId="4" refreshError="1">
        <row r="47">
          <cell r="F47">
            <v>0.90624999999757472</v>
          </cell>
        </row>
        <row r="51">
          <cell r="F51">
            <v>1.9305555555547471</v>
          </cell>
        </row>
      </sheetData>
      <sheetData sheetId="5" refreshError="1">
        <row r="27">
          <cell r="F27">
            <v>0.14756944444889086</v>
          </cell>
        </row>
        <row r="31">
          <cell r="F31">
            <v>0.60416666667151731</v>
          </cell>
        </row>
      </sheetData>
      <sheetData sheetId="6" refreshError="1">
        <row r="38">
          <cell r="F38">
            <v>0.43229166666545399</v>
          </cell>
        </row>
        <row r="42">
          <cell r="F42">
            <v>1.0208333333357587</v>
          </cell>
        </row>
      </sheetData>
      <sheetData sheetId="7" refreshError="1">
        <row r="45">
          <cell r="F45">
            <v>0.72916666666909202</v>
          </cell>
        </row>
        <row r="49">
          <cell r="F49">
            <v>1.7673611111094942</v>
          </cell>
        </row>
      </sheetData>
      <sheetData sheetId="8" refreshError="1">
        <row r="63">
          <cell r="F63">
            <v>1.3576388889208222</v>
          </cell>
        </row>
        <row r="67">
          <cell r="F67">
            <v>2.8125</v>
          </cell>
        </row>
      </sheetData>
      <sheetData sheetId="9" refreshError="1">
        <row r="36">
          <cell r="F36">
            <v>0.44097222221656313</v>
          </cell>
        </row>
        <row r="40">
          <cell r="F40">
            <v>1.2083333333357587</v>
          </cell>
        </row>
      </sheetData>
      <sheetData sheetId="10" refreshError="1">
        <row r="43">
          <cell r="F43">
            <v>0.52951388887716655</v>
          </cell>
        </row>
        <row r="47">
          <cell r="F47">
            <v>1.2777777777737356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9"/>
      <sheetName val="Aquamarie"/>
      <sheetName val="Reborn"/>
      <sheetName val="Grace One"/>
      <sheetName val="Shandong Hai Yao"/>
      <sheetName val="Ningbo Innovation"/>
      <sheetName val="Best Trader"/>
      <sheetName val="NSU Lodestar"/>
      <sheetName val="Ece Nur Bayraktar"/>
      <sheetName val="Neng Yuan"/>
      <sheetName val="AP Libertas"/>
      <sheetName val="Iolcos Commander"/>
      <sheetName val="Tuo Fu 11"/>
    </sheetNames>
    <sheetDataSet>
      <sheetData sheetId="0" refreshError="1"/>
      <sheetData sheetId="1" refreshError="1">
        <row r="27">
          <cell r="F27">
            <v>0.15625000000121267</v>
          </cell>
        </row>
        <row r="31">
          <cell r="F31">
            <v>0.60416666666424135</v>
          </cell>
        </row>
      </sheetData>
      <sheetData sheetId="2" refreshError="1">
        <row r="52">
          <cell r="F52">
            <v>0.69097222220928722</v>
          </cell>
        </row>
        <row r="56">
          <cell r="F56">
            <v>1.8020833333357587</v>
          </cell>
        </row>
      </sheetData>
      <sheetData sheetId="3" refreshError="1">
        <row r="56">
          <cell r="F56">
            <v>0.8645833333115055</v>
          </cell>
        </row>
        <row r="60">
          <cell r="F60">
            <v>2.2604166666715173</v>
          </cell>
        </row>
      </sheetData>
      <sheetData sheetId="4" refreshError="1">
        <row r="38">
          <cell r="F38">
            <v>0.59895833332241943</v>
          </cell>
        </row>
        <row r="42">
          <cell r="F42">
            <v>1.2361111111094942</v>
          </cell>
        </row>
      </sheetData>
      <sheetData sheetId="5" refreshError="1">
        <row r="36">
          <cell r="F36">
            <v>0.39583333333697129</v>
          </cell>
        </row>
        <row r="40">
          <cell r="F40">
            <v>1.0208333333357587</v>
          </cell>
        </row>
      </sheetData>
      <sheetData sheetId="6" refreshError="1">
        <row r="43">
          <cell r="F43">
            <v>0.57638888887716655</v>
          </cell>
        </row>
        <row r="47">
          <cell r="F47">
            <v>1.4305555555547471</v>
          </cell>
        </row>
      </sheetData>
      <sheetData sheetId="7" refreshError="1">
        <row r="55">
          <cell r="F55">
            <v>1.0399305555377698</v>
          </cell>
        </row>
        <row r="59">
          <cell r="F59">
            <v>2.7847222222189885</v>
          </cell>
        </row>
      </sheetData>
      <sheetData sheetId="8" refreshError="1">
        <row r="30">
          <cell r="F30">
            <v>0.47569444445374148</v>
          </cell>
        </row>
        <row r="34">
          <cell r="F34">
            <v>1.0416666666642413</v>
          </cell>
        </row>
      </sheetData>
      <sheetData sheetId="9" refreshError="1">
        <row r="37">
          <cell r="F37">
            <v>0.78298611110706895</v>
          </cell>
        </row>
        <row r="41">
          <cell r="F41">
            <v>1.59375</v>
          </cell>
        </row>
      </sheetData>
      <sheetData sheetId="10" refreshError="1">
        <row r="34">
          <cell r="F34">
            <v>0.3090277777785862</v>
          </cell>
        </row>
        <row r="38">
          <cell r="F38">
            <v>0.95833333333575865</v>
          </cell>
        </row>
      </sheetData>
      <sheetData sheetId="11" refreshError="1">
        <row r="56">
          <cell r="F56">
            <v>0.83680555557414971</v>
          </cell>
        </row>
        <row r="60">
          <cell r="F60">
            <v>2.3958333333357587</v>
          </cell>
        </row>
      </sheetData>
      <sheetData sheetId="12" refreshError="1">
        <row r="45">
          <cell r="F45">
            <v>0.59548611111434491</v>
          </cell>
        </row>
        <row r="49">
          <cell r="F49">
            <v>1.7569444444452529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Oriental Enterprise"/>
      <sheetName val="Chandra Kirana"/>
      <sheetName val="Taipower Prosperity II"/>
      <sheetName val="Canpotex Inspire"/>
      <sheetName val="Hero"/>
      <sheetName val="Dimitra"/>
      <sheetName val="Melbourne"/>
      <sheetName val="Leading Glory"/>
      <sheetName val="Sami"/>
    </sheetNames>
    <sheetDataSet>
      <sheetData sheetId="0" refreshError="1"/>
      <sheetData sheetId="1" refreshError="1">
        <row r="113">
          <cell r="F113">
            <v>1.8975694444149365</v>
          </cell>
        </row>
      </sheetData>
      <sheetData sheetId="2" refreshError="1">
        <row r="150">
          <cell r="F150">
            <v>2.2356333333333334</v>
          </cell>
        </row>
      </sheetData>
      <sheetData sheetId="3" refreshError="1">
        <row r="122">
          <cell r="F122">
            <v>1.7968750000278912</v>
          </cell>
        </row>
      </sheetData>
      <sheetData sheetId="4" refreshError="1">
        <row r="113">
          <cell r="F113">
            <v>1.5920138888820172</v>
          </cell>
        </row>
      </sheetData>
      <sheetData sheetId="5" refreshError="1">
        <row r="60">
          <cell r="F60">
            <v>0.92361111111555749</v>
          </cell>
        </row>
      </sheetData>
      <sheetData sheetId="6" refreshError="1">
        <row r="103">
          <cell r="F103">
            <v>1.5017361111082816</v>
          </cell>
        </row>
      </sheetData>
      <sheetData sheetId="7" refreshError="1">
        <row r="72">
          <cell r="F72">
            <v>0.79861111111191951</v>
          </cell>
        </row>
      </sheetData>
      <sheetData sheetId="8" refreshError="1">
        <row r="61">
          <cell r="F61">
            <v>2.0833333335758653E-2</v>
          </cell>
        </row>
      </sheetData>
      <sheetData sheetId="9" refreshError="1">
        <row r="112">
          <cell r="F112">
            <v>2.4305555554747116E-2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9"/>
      <sheetName val="Flying Loong"/>
      <sheetName val="Rong Yuan"/>
      <sheetName val="DL Acacia"/>
      <sheetName val="Gloriever"/>
      <sheetName val="Pan Mutiara"/>
      <sheetName val="KAREEM"/>
      <sheetName val="MV. TUO FU 11"/>
      <sheetName val="Taipower Prosperity VII"/>
    </sheetNames>
    <sheetDataSet>
      <sheetData sheetId="0" refreshError="1"/>
      <sheetData sheetId="1" refreshError="1">
        <row r="121">
          <cell r="F121">
            <v>1.5850694444513163</v>
          </cell>
        </row>
      </sheetData>
      <sheetData sheetId="2" refreshError="1">
        <row r="61">
          <cell r="F61">
            <v>0.61458333332363202</v>
          </cell>
        </row>
      </sheetData>
      <sheetData sheetId="3" refreshError="1">
        <row r="64">
          <cell r="F64">
            <v>0.77604166665575269</v>
          </cell>
        </row>
      </sheetData>
      <sheetData sheetId="4" refreshError="1">
        <row r="86">
          <cell r="F86">
            <v>1.3680555555426206</v>
          </cell>
        </row>
      </sheetData>
      <sheetData sheetId="5" refreshError="1">
        <row r="63">
          <cell r="F63">
            <v>0.86631944444040221</v>
          </cell>
        </row>
      </sheetData>
      <sheetData sheetId="6" refreshError="1">
        <row r="86">
          <cell r="F86">
            <v>1.3524305555608105</v>
          </cell>
        </row>
      </sheetData>
      <sheetData sheetId="7" refreshError="1">
        <row r="53">
          <cell r="F53">
            <v>1.5208333333357587</v>
          </cell>
        </row>
      </sheetData>
      <sheetData sheetId="8" refreshError="1">
        <row r="143">
          <cell r="F143">
            <v>4.338541666659391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PEACE ARK"/>
      <sheetName val="DEWI PARWATI"/>
      <sheetName val="PASIFIC ENERGY"/>
      <sheetName val="XIN DONG GUAN 11"/>
      <sheetName val="SHAO SHAN 1"/>
      <sheetName val="YM RIGHTNESS"/>
      <sheetName val="LOWLANDS PHOENIX"/>
      <sheetName val="CUI PING FENG"/>
      <sheetName val="NENG YUAN"/>
      <sheetName val="SUNLIGHT"/>
      <sheetName val="TW JIANGSU"/>
    </sheetNames>
    <sheetDataSet>
      <sheetData sheetId="0" refreshError="1"/>
      <sheetData sheetId="1" refreshError="1">
        <row r="71">
          <cell r="F71">
            <v>0.98611111112647143</v>
          </cell>
        </row>
      </sheetData>
      <sheetData sheetId="2" refreshError="1">
        <row r="145">
          <cell r="F145">
            <v>0</v>
          </cell>
        </row>
      </sheetData>
      <sheetData sheetId="3" refreshError="1">
        <row r="99">
          <cell r="F99">
            <v>1.1927083333309081</v>
          </cell>
        </row>
      </sheetData>
      <sheetData sheetId="4" refreshError="1">
        <row r="63">
          <cell r="F63">
            <v>0.73263888887110318</v>
          </cell>
        </row>
      </sheetData>
      <sheetData sheetId="5" refreshError="1">
        <row r="67">
          <cell r="F67">
            <v>0.78993055554625846</v>
          </cell>
        </row>
      </sheetData>
      <sheetData sheetId="6" refreshError="1">
        <row r="65">
          <cell r="F65">
            <v>0.71180555556081038</v>
          </cell>
        </row>
      </sheetData>
      <sheetData sheetId="7" refreshError="1">
        <row r="111">
          <cell r="F111">
            <v>1.1909722222383909</v>
          </cell>
        </row>
      </sheetData>
      <sheetData sheetId="8" refreshError="1">
        <row r="62">
          <cell r="F62">
            <v>0.70833333333818393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PEACE ARK"/>
      <sheetName val="DEWI PARWATI"/>
      <sheetName val="PASIFIC ENERGY"/>
      <sheetName val="XIN DONG GUAN 11"/>
      <sheetName val="SHAO SHAN 1"/>
      <sheetName val="YM RIGHTNESS"/>
      <sheetName val="LOWLANDS PHOENIX"/>
      <sheetName val="CUI PING FENG"/>
      <sheetName val="NENG YUAN"/>
      <sheetName val="SUNLIGHT"/>
      <sheetName val="TW JIANGSU"/>
      <sheetName val="ZHENG J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F50">
            <v>0.50520833333454596</v>
          </cell>
        </row>
      </sheetData>
      <sheetData sheetId="10" refreshError="1">
        <row r="138">
          <cell r="F138">
            <v>1.8142361111119196</v>
          </cell>
        </row>
      </sheetData>
      <sheetData sheetId="11" refreshError="1">
        <row r="62">
          <cell r="F62">
            <v>0.63888888888565509</v>
          </cell>
        </row>
      </sheetData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9"/>
      <sheetName val="ZHENG JIE"/>
      <sheetName val="TAIPOWER PROSPERITY II"/>
      <sheetName val="NS NINGBO"/>
      <sheetName val="GNS HARMONY"/>
      <sheetName val="HUAYANG DREAM"/>
      <sheetName val="YUE DIAN 8"/>
      <sheetName val="ISL STAR"/>
      <sheetName val="HIGH SPEED"/>
    </sheetNames>
    <sheetDataSet>
      <sheetData sheetId="0" refreshError="1"/>
      <sheetData sheetId="1" refreshError="1">
        <row r="69">
          <cell r="F69">
            <v>0.57291666665575269</v>
          </cell>
        </row>
      </sheetData>
      <sheetData sheetId="2" refreshError="1">
        <row r="101">
          <cell r="F101">
            <v>1.5017361111046437</v>
          </cell>
        </row>
      </sheetData>
      <sheetData sheetId="3" refreshError="1">
        <row r="45">
          <cell r="F45">
            <v>0.34548611110100563</v>
          </cell>
        </row>
      </sheetData>
      <sheetData sheetId="4" refreshError="1">
        <row r="107">
          <cell r="F107">
            <v>1.5243055555680864</v>
          </cell>
        </row>
      </sheetData>
      <sheetData sheetId="5" refreshError="1">
        <row r="120">
          <cell r="F120">
            <v>1.4930555555680864</v>
          </cell>
        </row>
      </sheetData>
      <sheetData sheetId="6" refreshError="1"/>
      <sheetData sheetId="7" refreshError="1">
        <row r="117">
          <cell r="F117">
            <v>1.4756944444658682</v>
          </cell>
        </row>
      </sheetData>
      <sheetData sheetId="8" refreshError="1">
        <row r="106">
          <cell r="F106">
            <v>1.411458333349098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m I"/>
    </sheetNames>
    <sheetDataSet>
      <sheetData sheetId="0">
        <row r="97">
          <cell r="F97">
            <v>2.7951388888832298</v>
          </cell>
        </row>
        <row r="98">
          <cell r="F98">
            <v>1.7361111111022183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9"/>
      <sheetName val="DEWI PARWATI"/>
      <sheetName val="AURORA CONFIDENCE"/>
      <sheetName val="NENG YUAN"/>
      <sheetName val="LEADING GLORY"/>
      <sheetName val="AVAX"/>
      <sheetName val="HARMONY"/>
      <sheetName val="WEI QIN"/>
      <sheetName val="GUANG XIN"/>
      <sheetName val="EVERMERIET"/>
      <sheetName val="YU PENG HAI"/>
      <sheetName val="GOLDEN FENG"/>
      <sheetName val="YI HUI"/>
      <sheetName val="GNS HOPE"/>
      <sheetName val="EASTERN BUND"/>
      <sheetName val="AMIS ORCHID"/>
    </sheetNames>
    <sheetDataSet>
      <sheetData sheetId="0" refreshError="1"/>
      <sheetData sheetId="1" refreshError="1">
        <row r="137">
          <cell r="F137">
            <v>1.2569444444622302</v>
          </cell>
        </row>
      </sheetData>
      <sheetData sheetId="2" refreshError="1">
        <row r="120">
          <cell r="F120">
            <v>1.4218750000060634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9"/>
      <sheetName val="DEWI PARWATI"/>
      <sheetName val="AURORA CONFIDENCE"/>
      <sheetName val="NENG YUAN"/>
      <sheetName val="LEADING GLORY"/>
      <sheetName val="AVAX"/>
      <sheetName val="HARMONY"/>
      <sheetName val="WEI QIN"/>
      <sheetName val="GUANG XIN"/>
      <sheetName val="EVERMERIET"/>
      <sheetName val="YU PENG HAI"/>
      <sheetName val="GOLDEN FENG"/>
      <sheetName val="YI HUI"/>
      <sheetName val="GNS HOPE"/>
      <sheetName val="EASTERN BUND"/>
      <sheetName val="AMIS ORCHID"/>
    </sheetNames>
    <sheetDataSet>
      <sheetData sheetId="0" refreshError="1"/>
      <sheetData sheetId="1" refreshError="1"/>
      <sheetData sheetId="2" refreshError="1"/>
      <sheetData sheetId="3" refreshError="1">
        <row r="66">
          <cell r="F66">
            <v>0.99999999999151135</v>
          </cell>
        </row>
      </sheetData>
      <sheetData sheetId="4" refreshError="1">
        <row r="34">
          <cell r="F34">
            <v>0.36458333332848269</v>
          </cell>
        </row>
      </sheetData>
      <sheetData sheetId="5" refreshError="1">
        <row r="60">
          <cell r="F60">
            <v>0.7118055555571724</v>
          </cell>
        </row>
      </sheetData>
      <sheetData sheetId="6" refreshError="1">
        <row r="62">
          <cell r="F62">
            <v>0.67881944442585029</v>
          </cell>
        </row>
      </sheetData>
      <sheetData sheetId="7" refreshError="1">
        <row r="54">
          <cell r="F54">
            <v>0.59722222222141375</v>
          </cell>
        </row>
      </sheetData>
      <sheetData sheetId="8" refreshError="1">
        <row r="44">
          <cell r="F44">
            <v>0.5086805555571724</v>
          </cell>
        </row>
      </sheetData>
      <sheetData sheetId="9" refreshError="1">
        <row r="104">
          <cell r="F104">
            <v>1.4236111111191956</v>
          </cell>
        </row>
      </sheetData>
      <sheetData sheetId="10" refreshError="1">
        <row r="62">
          <cell r="F62">
            <v>0.66145833332727</v>
          </cell>
        </row>
      </sheetData>
      <sheetData sheetId="11" refreshError="1">
        <row r="49">
          <cell r="F49">
            <v>0.72569444444889086</v>
          </cell>
        </row>
      </sheetData>
      <sheetData sheetId="12" refreshError="1">
        <row r="45">
          <cell r="F45">
            <v>0.39756944444040226</v>
          </cell>
        </row>
      </sheetData>
      <sheetData sheetId="13" refreshError="1">
        <row r="34">
          <cell r="F34">
            <v>0.30208333333575865</v>
          </cell>
        </row>
      </sheetData>
      <sheetData sheetId="14" refreshError="1">
        <row r="56">
          <cell r="F56">
            <v>0.91666666666787933</v>
          </cell>
        </row>
      </sheetData>
      <sheetData sheetId="15" refreshError="1">
        <row r="98">
          <cell r="F98">
            <v>1.1874999999987874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UST 2019"/>
      <sheetName val="ORIENT LOONG"/>
      <sheetName val="BAO YUN SHENG"/>
      <sheetName val="KARTINI BARUNA"/>
      <sheetName val="YATAI 1"/>
      <sheetName val="CETUS STAR "/>
      <sheetName val="XEI HAI KAI TUO"/>
      <sheetName val="CHANG SENG"/>
      <sheetName val="NENG YUAN"/>
      <sheetName val="CHANG MING"/>
      <sheetName val="DESERT SIGNITY"/>
    </sheetNames>
    <sheetDataSet>
      <sheetData sheetId="0" refreshError="1"/>
      <sheetData sheetId="1" refreshError="1">
        <row r="73">
          <cell r="F73">
            <v>0.84201388886382722</v>
          </cell>
        </row>
      </sheetData>
      <sheetData sheetId="2" refreshError="1">
        <row r="100">
          <cell r="F100">
            <v>1.1111111111264715</v>
          </cell>
        </row>
      </sheetData>
      <sheetData sheetId="3" refreshError="1">
        <row r="54">
          <cell r="F54">
            <v>0.39062499999878736</v>
          </cell>
        </row>
      </sheetData>
      <sheetData sheetId="4" refreshError="1">
        <row r="52">
          <cell r="F52">
            <v>0.62500000002425316</v>
          </cell>
        </row>
      </sheetData>
      <sheetData sheetId="5" refreshError="1">
        <row r="64">
          <cell r="F64">
            <v>0.56770833332363202</v>
          </cell>
        </row>
      </sheetData>
      <sheetData sheetId="6" refreshError="1">
        <row r="56">
          <cell r="F56">
            <v>0.56423611111191951</v>
          </cell>
        </row>
      </sheetData>
      <sheetData sheetId="7" refreshError="1">
        <row r="39">
          <cell r="F39">
            <v>0.40625000000606332</v>
          </cell>
        </row>
      </sheetData>
      <sheetData sheetId="8" refreshError="1">
        <row r="62">
          <cell r="F62">
            <v>0.6875</v>
          </cell>
        </row>
      </sheetData>
      <sheetData sheetId="9" refreshError="1">
        <row r="62">
          <cell r="F62">
            <v>0.82638888887959183</v>
          </cell>
        </row>
      </sheetData>
      <sheetData sheetId="10" refreshError="1">
        <row r="36">
          <cell r="F36">
            <v>0.44791666667151731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19"/>
      <sheetName val="DEWI PARWATI"/>
      <sheetName val="TAI HANG 8"/>
      <sheetName val="TIAN ZUO"/>
      <sheetName val="TAIPOWER PROSPERITY II"/>
      <sheetName val="NINGBO"/>
      <sheetName val="BEI LUN HAI 81"/>
      <sheetName val="YI HUI"/>
      <sheetName val="GOOD LUCK"/>
      <sheetName val="YUE DIAN"/>
      <sheetName val="AFRICAN CHEETAH"/>
    </sheetNames>
    <sheetDataSet>
      <sheetData sheetId="0" refreshError="1"/>
      <sheetData sheetId="1" refreshError="1">
        <row r="53">
          <cell r="F53">
            <v>0.4878472222214138</v>
          </cell>
        </row>
      </sheetData>
      <sheetData sheetId="2" refreshError="1">
        <row r="52">
          <cell r="F52">
            <v>0.62847222221777577</v>
          </cell>
        </row>
      </sheetData>
      <sheetData sheetId="3" refreshError="1">
        <row r="62">
          <cell r="F62">
            <v>0.82986111111191951</v>
          </cell>
        </row>
      </sheetData>
      <sheetData sheetId="4" refreshError="1">
        <row r="75">
          <cell r="F75">
            <v>1.0555555555608105</v>
          </cell>
        </row>
      </sheetData>
      <sheetData sheetId="5" refreshError="1">
        <row r="58">
          <cell r="F58">
            <v>0.62847222222141375</v>
          </cell>
        </row>
      </sheetData>
      <sheetData sheetId="6" refreshError="1">
        <row r="54">
          <cell r="F54">
            <v>0.70138888889293105</v>
          </cell>
        </row>
      </sheetData>
      <sheetData sheetId="7" refreshError="1">
        <row r="41">
          <cell r="F41">
            <v>0.38020833332848269</v>
          </cell>
        </row>
      </sheetData>
      <sheetData sheetId="8" refreshError="1">
        <row r="48">
          <cell r="F48">
            <v>0.50347222222262644</v>
          </cell>
        </row>
      </sheetData>
      <sheetData sheetId="9" refreshError="1">
        <row r="83">
          <cell r="F83">
            <v>1.1111111111046437</v>
          </cell>
        </row>
      </sheetData>
      <sheetData sheetId="10" refreshError="1">
        <row r="57">
          <cell r="F57">
            <v>0.56944444444767817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kt 2019"/>
      <sheetName val="TIAN ZUO "/>
      <sheetName val="GUANG XIN"/>
      <sheetName val="NAN XIN 9"/>
      <sheetName val="FRIENSHIP"/>
    </sheetNames>
    <sheetDataSet>
      <sheetData sheetId="0" refreshError="1"/>
      <sheetData sheetId="1" refreshError="1">
        <row r="54">
          <cell r="F54">
            <v>0.6180555555571724</v>
          </cell>
        </row>
      </sheetData>
      <sheetData sheetId="2" refreshError="1">
        <row r="56">
          <cell r="F56">
            <v>0.84027777778464952</v>
          </cell>
        </row>
      </sheetData>
      <sheetData sheetId="3" refreshError="1">
        <row r="49">
          <cell r="F49">
            <v>0.4583333333199941</v>
          </cell>
        </row>
      </sheetData>
      <sheetData sheetId="4" refreshError="1">
        <row r="89">
          <cell r="F89">
            <v>1.1145833333127182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kt 2019"/>
      <sheetName val="TIAN ZUO "/>
      <sheetName val="GUANG XIN"/>
      <sheetName val="NAN XIN 9"/>
      <sheetName val="FRIENDSHIP"/>
      <sheetName val="XIN WANG HAI"/>
      <sheetName val="ANDHIKA PARAMESTI"/>
      <sheetName val="HUI ZHI"/>
      <sheetName val="TIAN ZUO"/>
      <sheetName val="TAIPOWER PROSPERITY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48">
          <cell r="F148">
            <v>2.107638888889293</v>
          </cell>
        </row>
      </sheetData>
      <sheetData sheetId="6" refreshError="1">
        <row r="34">
          <cell r="F34">
            <v>0.16493055554625849</v>
          </cell>
        </row>
      </sheetData>
      <sheetData sheetId="7" refreshError="1">
        <row r="100">
          <cell r="F100">
            <v>1.2604166666666667</v>
          </cell>
        </row>
      </sheetData>
      <sheetData sheetId="8" refreshError="1">
        <row r="98">
          <cell r="F98">
            <v>1.3020833333272701</v>
          </cell>
        </row>
      </sheetData>
      <sheetData sheetId="9" refreshError="1">
        <row r="119">
          <cell r="F119">
            <v>1.5451388888783792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kt 2019"/>
      <sheetName val="TIAN ZUO "/>
      <sheetName val="GUANG XIN"/>
      <sheetName val="NAN XIN 9"/>
      <sheetName val="FRIENDSHIP"/>
      <sheetName val="XIN WANG HAI"/>
      <sheetName val="ANDHIKA PARAMESTI"/>
      <sheetName val="HUI ZHI"/>
      <sheetName val="TIAN ZUO"/>
      <sheetName val="TAIPOWER PROSPERITY II"/>
      <sheetName val="LONG SHAN H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4">
          <cell r="F54">
            <v>0.55729166666302865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9"/>
      <sheetName val="FORTUNE RAINBOW"/>
      <sheetName val="YI HUI"/>
      <sheetName val="PPS LUCK"/>
      <sheetName val="NAVIOS FULVIA"/>
      <sheetName val="KAREEM"/>
      <sheetName val="YUE DIAN 82"/>
    </sheetNames>
    <sheetDataSet>
      <sheetData sheetId="0" refreshError="1"/>
      <sheetData sheetId="1" refreshError="1">
        <row r="67">
          <cell r="F67">
            <v>0.97222222224324162</v>
          </cell>
        </row>
      </sheetData>
      <sheetData sheetId="2" refreshError="1">
        <row r="52">
          <cell r="F52">
            <v>0.5902777777688849</v>
          </cell>
        </row>
      </sheetData>
      <sheetData sheetId="3" refreshError="1">
        <row r="100">
          <cell r="F100">
            <v>2.614583333305442</v>
          </cell>
        </row>
      </sheetData>
      <sheetData sheetId="4" refreshError="1">
        <row r="169">
          <cell r="F169">
            <v>4.031249999955131</v>
          </cell>
        </row>
      </sheetData>
      <sheetData sheetId="5" refreshError="1">
        <row r="113">
          <cell r="F113">
            <v>1.1631944444404023</v>
          </cell>
        </row>
      </sheetData>
      <sheetData sheetId="6" refreshError="1">
        <row r="51">
          <cell r="F51">
            <v>0.53298611111555749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ANNA S"/>
      <sheetName val="TWIN DRAGON"/>
      <sheetName val="LONG SHAN HU"/>
      <sheetName val="ENTERNAL RESOURCE"/>
      <sheetName val="PIREAS"/>
      <sheetName val="MISTRAL"/>
      <sheetName val="KAREEM"/>
    </sheetNames>
    <sheetDataSet>
      <sheetData sheetId="0" refreshError="1"/>
      <sheetData sheetId="1" refreshError="1">
        <row r="72">
          <cell r="F72">
            <v>0.91666666666302865</v>
          </cell>
        </row>
      </sheetData>
      <sheetData sheetId="2" refreshError="1">
        <row r="75">
          <cell r="F75">
            <v>0.71874999998059741</v>
          </cell>
        </row>
      </sheetData>
      <sheetData sheetId="3" refreshError="1">
        <row r="60">
          <cell r="F60">
            <v>0.81423611111191951</v>
          </cell>
        </row>
      </sheetData>
      <sheetData sheetId="4" refreshError="1">
        <row r="82">
          <cell r="F82">
            <v>1.0833333333309081</v>
          </cell>
        </row>
      </sheetData>
      <sheetData sheetId="5" refreshError="1">
        <row r="56">
          <cell r="F56">
            <v>0.70833333334182191</v>
          </cell>
        </row>
      </sheetData>
      <sheetData sheetId="6" refreshError="1">
        <row r="70">
          <cell r="F70">
            <v>0.83333333333454596</v>
          </cell>
        </row>
      </sheetData>
      <sheetData sheetId="7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ANNA S"/>
      <sheetName val="TWIN DRAGON"/>
      <sheetName val="LONG SHAN HU"/>
      <sheetName val="ENTERNAL RESOURCE"/>
      <sheetName val="PIREAS"/>
      <sheetName val="MISTRAL"/>
      <sheetName val="KAREEM"/>
      <sheetName val="NS NINGBO"/>
      <sheetName val="BEST UNITY"/>
      <sheetName val="YUE DIAN 81"/>
      <sheetName val="LUCKY J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7">
          <cell r="F117">
            <v>0.97222222223596566</v>
          </cell>
        </row>
      </sheetData>
      <sheetData sheetId="8" refreshError="1">
        <row r="60">
          <cell r="F60">
            <v>0.64583333333090798</v>
          </cell>
        </row>
      </sheetData>
      <sheetData sheetId="9" refreshError="1">
        <row r="86">
          <cell r="F86">
            <v>0.86805555556444836</v>
          </cell>
        </row>
      </sheetData>
      <sheetData sheetId="10" refreshError="1">
        <row r="50">
          <cell r="F50">
            <v>0.50347222222141375</v>
          </cell>
        </row>
      </sheetData>
      <sheetData sheetId="11" refreshError="1">
        <row r="96">
          <cell r="F96">
            <v>1.1024305555426206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Phoenix Ocean"/>
      <sheetName val="Prema One"/>
    </sheetNames>
    <sheetDataSet>
      <sheetData sheetId="0" refreshError="1"/>
      <sheetData sheetId="1" refreshError="1">
        <row r="52">
          <cell r="F52">
            <v>1.7430555555547471</v>
          </cell>
        </row>
      </sheetData>
      <sheetData sheetId="2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20"/>
      <sheetName val="DUTA AZZAM"/>
      <sheetName val="CHANG MING"/>
      <sheetName val="YUE DIAN 81"/>
      <sheetName val="GORGOY PIKOOS"/>
      <sheetName val="XIN DONG GUAN 11"/>
      <sheetName val="SBI VIRGO"/>
    </sheetNames>
    <sheetDataSet>
      <sheetData sheetId="0" refreshError="1"/>
      <sheetData sheetId="1" refreshError="1">
        <row r="123">
          <cell r="F123">
            <v>1.7708333333163562</v>
          </cell>
        </row>
      </sheetData>
      <sheetData sheetId="2" refreshError="1">
        <row r="109">
          <cell r="F109">
            <v>1.5104166666484768</v>
          </cell>
        </row>
      </sheetData>
      <sheetData sheetId="3" refreshError="1">
        <row r="66">
          <cell r="F66">
            <v>0.81435185183969827</v>
          </cell>
        </row>
      </sheetData>
      <sheetData sheetId="4" refreshError="1">
        <row r="65">
          <cell r="F65">
            <v>0.78993055554989644</v>
          </cell>
        </row>
      </sheetData>
      <sheetData sheetId="5" refreshError="1">
        <row r="108">
          <cell r="F108">
            <v>1.6857638888892932</v>
          </cell>
        </row>
      </sheetData>
      <sheetData sheetId="6" refreshError="1">
        <row r="85">
          <cell r="F85">
            <v>1.0659722222141379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020"/>
      <sheetName val="GLORIEVER"/>
      <sheetName val="STAR DAMON"/>
      <sheetName val="TAIPOWER PROSPERITY II"/>
      <sheetName val="AFRICAN KINGFISHER"/>
      <sheetName val="ZHONG MENG HANG LIAN"/>
      <sheetName val="BEAUTY LILY"/>
    </sheetNames>
    <sheetDataSet>
      <sheetData sheetId="0" refreshError="1"/>
      <sheetData sheetId="1" refreshError="1">
        <row r="101">
          <cell r="F101">
            <v>1.5555555555971903</v>
          </cell>
        </row>
      </sheetData>
      <sheetData sheetId="2" refreshError="1">
        <row r="105">
          <cell r="F105">
            <v>1.5815972222250518</v>
          </cell>
        </row>
      </sheetData>
      <sheetData sheetId="3" refreshError="1">
        <row r="135">
          <cell r="F135">
            <v>1.9409722222104999</v>
          </cell>
        </row>
      </sheetData>
      <sheetData sheetId="4" refreshError="1">
        <row r="88">
          <cell r="F88">
            <v>1.0659722222359658</v>
          </cell>
        </row>
      </sheetData>
      <sheetData sheetId="5" refreshError="1">
        <row r="40">
          <cell r="F40">
            <v>0.35069444443312631</v>
          </cell>
        </row>
      </sheetData>
      <sheetData sheetId="6" refreshError="1">
        <row r="115">
          <cell r="F115">
            <v>1.3281249999987874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020"/>
      <sheetName val="DUBAI GALACTIC"/>
      <sheetName val="CHARISMA"/>
      <sheetName val="OCEAN VENTURE"/>
      <sheetName val="LIETTA"/>
      <sheetName val="HONG MERIT"/>
      <sheetName val="DENSA DOLPHIN"/>
      <sheetName val="URJA"/>
      <sheetName val="YU LIN HAI"/>
      <sheetName val="CHANG SHENG"/>
      <sheetName val="NENG YUAN"/>
      <sheetName val="SHI DAI 8"/>
      <sheetName val="ASIAN MAJESTY"/>
    </sheetNames>
    <sheetDataSet>
      <sheetData sheetId="0" refreshError="1"/>
      <sheetData sheetId="1" refreshError="1">
        <row r="84">
          <cell r="F84">
            <v>1.1840277777543331</v>
          </cell>
        </row>
      </sheetData>
      <sheetData sheetId="2" refreshError="1">
        <row r="64">
          <cell r="F64">
            <v>0.79861111111555749</v>
          </cell>
        </row>
      </sheetData>
      <sheetData sheetId="3" refreshError="1">
        <row r="54">
          <cell r="F54">
            <v>0.67708333333090798</v>
          </cell>
        </row>
      </sheetData>
      <sheetData sheetId="4" refreshError="1">
        <row r="71">
          <cell r="F71">
            <v>1.0173611111082816</v>
          </cell>
        </row>
      </sheetData>
      <sheetData sheetId="5" refreshError="1">
        <row r="69">
          <cell r="F69">
            <v>0.9756944444585921</v>
          </cell>
        </row>
      </sheetData>
      <sheetData sheetId="6" refreshError="1">
        <row r="74">
          <cell r="F74">
            <v>0.90104166666302865</v>
          </cell>
        </row>
      </sheetData>
      <sheetData sheetId="7" refreshError="1">
        <row r="100">
          <cell r="F100">
            <v>1.6423611111155576</v>
          </cell>
        </row>
      </sheetData>
      <sheetData sheetId="8" refreshError="1">
        <row r="83">
          <cell r="F83">
            <v>0.96180555554262048</v>
          </cell>
        </row>
      </sheetData>
      <sheetData sheetId="9" refreshError="1">
        <row r="55">
          <cell r="F55">
            <v>0.67013888888929307</v>
          </cell>
        </row>
      </sheetData>
      <sheetData sheetId="10" refreshError="1">
        <row r="46">
          <cell r="F46">
            <v>0.66145833333939663</v>
          </cell>
        </row>
      </sheetData>
      <sheetData sheetId="11" refreshError="1">
        <row r="60">
          <cell r="F60">
            <v>0.67013888887474116</v>
          </cell>
        </row>
      </sheetData>
      <sheetData sheetId="12" refreshError="1">
        <row r="50">
          <cell r="F50">
            <v>0.6562500000169772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20"/>
      <sheetName val="POS LOGISTICS 2"/>
      <sheetName val="BEST TRADER"/>
      <sheetName val="YUE DIAN 81"/>
      <sheetName val="YI HUI"/>
      <sheetName val="TAIPOWER PROSPERITY II"/>
      <sheetName val="OCEAN SAGA"/>
      <sheetName val="FALCON TRIDENT"/>
      <sheetName val="ELDORA"/>
      <sheetName val="ZHEN BANG"/>
      <sheetName val="YUE DIAN 8"/>
      <sheetName val="OCEAN MASTER"/>
      <sheetName val="XIN XIANG HAI"/>
      <sheetName val="AFRICAN TURACO"/>
      <sheetName val="Sheet2"/>
      <sheetName val="INDIGO HERITAGE"/>
    </sheetNames>
    <sheetDataSet>
      <sheetData sheetId="0" refreshError="1"/>
      <sheetData sheetId="1" refreshError="1">
        <row r="62">
          <cell r="F62">
            <v>0.77604166668121854</v>
          </cell>
        </row>
      </sheetData>
      <sheetData sheetId="2" refreshError="1">
        <row r="80">
          <cell r="F80">
            <v>0.9774305555389825</v>
          </cell>
        </row>
      </sheetData>
      <sheetData sheetId="3" refreshError="1">
        <row r="70">
          <cell r="F70">
            <v>0.94097222222505172</v>
          </cell>
        </row>
      </sheetData>
      <sheetData sheetId="4" refreshError="1">
        <row r="48">
          <cell r="F48">
            <v>0.61979166667758057</v>
          </cell>
        </row>
      </sheetData>
      <sheetData sheetId="5" refreshError="1">
        <row r="57">
          <cell r="F57">
            <v>0.71701388888929307</v>
          </cell>
        </row>
      </sheetData>
      <sheetData sheetId="6" refreshError="1">
        <row r="44">
          <cell r="F44">
            <v>0.48090277779192547</v>
          </cell>
        </row>
      </sheetData>
      <sheetData sheetId="7" refreshError="1">
        <row r="62">
          <cell r="F62">
            <v>0.66319444445495412</v>
          </cell>
        </row>
      </sheetData>
      <sheetData sheetId="8" refreshError="1">
        <row r="59">
          <cell r="F59">
            <v>0.69097222221413779</v>
          </cell>
        </row>
      </sheetData>
      <sheetData sheetId="9" refreshError="1">
        <row r="49">
          <cell r="F49">
            <v>0.48784722221898846</v>
          </cell>
        </row>
      </sheetData>
      <sheetData sheetId="10" refreshError="1">
        <row r="62">
          <cell r="F62">
            <v>0.65798611112647143</v>
          </cell>
        </row>
      </sheetData>
      <sheetData sheetId="11" refreshError="1">
        <row r="102">
          <cell r="F102">
            <v>1.175347222203224</v>
          </cell>
        </row>
      </sheetData>
      <sheetData sheetId="12" refreshError="1">
        <row r="62">
          <cell r="F62">
            <v>0.71527777778343682</v>
          </cell>
        </row>
      </sheetData>
      <sheetData sheetId="13" refreshError="1">
        <row r="69">
          <cell r="F69">
            <v>0.69444444446223008</v>
          </cell>
        </row>
      </sheetData>
      <sheetData sheetId="14" refreshError="1"/>
      <sheetData sheetId="15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20"/>
      <sheetName val="POS LOGISTICS 2"/>
      <sheetName val="BEST TRADER"/>
      <sheetName val="YUE DIAN 81"/>
      <sheetName val="YI HUI"/>
      <sheetName val="TAIPOWER PROSPERITY II"/>
      <sheetName val="OCEAN SAGA"/>
      <sheetName val="FALCON TRIDENT"/>
      <sheetName val="ELDORA"/>
      <sheetName val="ZHEN BANG"/>
      <sheetName val="YUE DIAN 8"/>
      <sheetName val="OCEAN MASTER"/>
      <sheetName val="XIN XIANG HAI"/>
      <sheetName val="AFRICAN TURACO"/>
      <sheetName val="INDIGO HERIT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7">
          <cell r="F57">
            <v>0.61631944444404019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20"/>
      <sheetName val="NAMEERA"/>
      <sheetName val="VICJOUR ACE"/>
      <sheetName val="YUE DIAN 82"/>
      <sheetName val="KMARIN OSLO"/>
      <sheetName val="MARINICKI"/>
      <sheetName val="FLAG TOM"/>
      <sheetName val="EVOIKOS THEO"/>
      <sheetName val="CEMTEX LEADER"/>
      <sheetName val="LM SELENE"/>
    </sheetNames>
    <sheetDataSet>
      <sheetData sheetId="0" refreshError="1"/>
      <sheetData sheetId="1" refreshError="1">
        <row r="130">
          <cell r="F130">
            <v>1.02083333330908</v>
          </cell>
        </row>
      </sheetData>
      <sheetData sheetId="2" refreshError="1">
        <row r="40">
          <cell r="F40">
            <v>0.34722222222626442</v>
          </cell>
        </row>
      </sheetData>
      <sheetData sheetId="3" refreshError="1">
        <row r="52">
          <cell r="F52">
            <v>0.59548611110828154</v>
          </cell>
        </row>
      </sheetData>
      <sheetData sheetId="4" refreshError="1">
        <row r="43">
          <cell r="F43">
            <v>0.47395833332727005</v>
          </cell>
        </row>
      </sheetData>
      <sheetData sheetId="5" refreshError="1">
        <row r="82">
          <cell r="F82">
            <v>0.77256944446586806</v>
          </cell>
        </row>
      </sheetData>
      <sheetData sheetId="6" refreshError="1">
        <row r="30">
          <cell r="F30">
            <v>0.72048611110949423</v>
          </cell>
        </row>
      </sheetData>
      <sheetData sheetId="7" refreshError="1">
        <row r="55">
          <cell r="F55">
            <v>0.60069444445131615</v>
          </cell>
        </row>
      </sheetData>
      <sheetData sheetId="8" refreshError="1">
        <row r="44">
          <cell r="F44">
            <v>0.45833333333818399</v>
          </cell>
        </row>
      </sheetData>
      <sheetData sheetId="9" refreshError="1">
        <row r="44">
          <cell r="F44">
            <v>0.51562499999514932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 2020"/>
      <sheetName val="RONG YUAN"/>
      <sheetName val="MANALAGI SAMBA"/>
      <sheetName val="ANDHIKA KANISKHA"/>
      <sheetName val="ASIA GRAECA"/>
      <sheetName val="FAYE"/>
      <sheetName val="KONSTANTINOS II"/>
      <sheetName val="SHI DAI 2"/>
      <sheetName val="YUE DIAN 54"/>
      <sheetName val="W RAPTOR"/>
      <sheetName val="DL ADONIS"/>
      <sheetName val="MANALAGI SAMBA (2)"/>
      <sheetName val="JOSCO RUNZHOU"/>
      <sheetName val="ROADRUNNER BULKER"/>
    </sheetNames>
    <sheetDataSet>
      <sheetData sheetId="0" refreshError="1"/>
      <sheetData sheetId="1" refreshError="1">
        <row r="51">
          <cell r="F51">
            <v>0.55902777778343682</v>
          </cell>
        </row>
      </sheetData>
      <sheetData sheetId="2" refreshError="1">
        <row r="103">
          <cell r="F103">
            <v>0.90798611111919558</v>
          </cell>
        </row>
      </sheetData>
      <sheetData sheetId="3" refreshError="1">
        <row r="92">
          <cell r="F92">
            <v>0.75347222223960364</v>
          </cell>
        </row>
      </sheetData>
      <sheetData sheetId="4" refreshError="1">
        <row r="55">
          <cell r="F55">
            <v>0.63888888890020701</v>
          </cell>
        </row>
      </sheetData>
      <sheetData sheetId="5" refreshError="1">
        <row r="46">
          <cell r="F46">
            <v>0.53298611110585625</v>
          </cell>
        </row>
      </sheetData>
      <sheetData sheetId="6" refreshError="1">
        <row r="60">
          <cell r="F60">
            <v>0.66493055556444836</v>
          </cell>
        </row>
      </sheetData>
      <sheetData sheetId="7" refreshError="1">
        <row r="53">
          <cell r="F53">
            <v>0.51215277777979884</v>
          </cell>
        </row>
      </sheetData>
      <sheetData sheetId="8" refreshError="1">
        <row r="106">
          <cell r="F106">
            <v>1.114583333349098</v>
          </cell>
        </row>
      </sheetData>
      <sheetData sheetId="9" refreshError="1">
        <row r="47">
          <cell r="F47">
            <v>0.4878472222214138</v>
          </cell>
        </row>
      </sheetData>
      <sheetData sheetId="10" refreshError="1">
        <row r="36">
          <cell r="F36">
            <v>0.31597222222262644</v>
          </cell>
        </row>
      </sheetData>
      <sheetData sheetId="11" refreshError="1">
        <row r="79">
          <cell r="F79">
            <v>0.71701388887474116</v>
          </cell>
        </row>
      </sheetData>
      <sheetData sheetId="12" refreshError="1">
        <row r="58">
          <cell r="F58">
            <v>0.91493055554262048</v>
          </cell>
        </row>
      </sheetData>
      <sheetData sheetId="13" refreshError="1">
        <row r="50">
          <cell r="F50">
            <v>0.70833333333454596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 2020"/>
      <sheetName val="POS LOGISTICS 2"/>
      <sheetName val="KOUSHUN"/>
      <sheetName val="YUE DIAN 58"/>
      <sheetName val="ANDIKA ATHALIA"/>
      <sheetName val="ZONG GANG KUA YUE"/>
      <sheetName val="EVER PROGRESS"/>
      <sheetName val="BULK AQUILA"/>
      <sheetName val="AMOY FORTUNE"/>
      <sheetName val="CLAIRE Z"/>
      <sheetName val="HC FORWARD"/>
      <sheetName val="WU ZHOU 6"/>
      <sheetName val="VICTORIA 1"/>
    </sheetNames>
    <sheetDataSet>
      <sheetData sheetId="0" refreshError="1"/>
      <sheetData sheetId="1" refreshError="1">
        <row r="58">
          <cell r="F58">
            <v>0.63368055557172431</v>
          </cell>
        </row>
      </sheetData>
      <sheetData sheetId="2" refreshError="1">
        <row r="98">
          <cell r="F98">
            <v>1.2743055555680864</v>
          </cell>
        </row>
      </sheetData>
      <sheetData sheetId="3" refreshError="1">
        <row r="55">
          <cell r="F55">
            <v>0.88541666668121854</v>
          </cell>
        </row>
      </sheetData>
      <sheetData sheetId="4" refreshError="1">
        <row r="81">
          <cell r="F81">
            <v>0.70659722225051758</v>
          </cell>
        </row>
      </sheetData>
      <sheetData sheetId="5" refreshError="1">
        <row r="33">
          <cell r="F33">
            <v>0.18229166666787933</v>
          </cell>
        </row>
      </sheetData>
      <sheetData sheetId="6" refreshError="1">
        <row r="47">
          <cell r="F47">
            <v>0.51909722222505172</v>
          </cell>
        </row>
      </sheetData>
      <sheetData sheetId="7" refreshError="1">
        <row r="73">
          <cell r="F73">
            <v>0.8402777777688849</v>
          </cell>
        </row>
      </sheetData>
      <sheetData sheetId="8" refreshError="1">
        <row r="36">
          <cell r="F36">
            <v>0.32291666667151731</v>
          </cell>
        </row>
      </sheetData>
      <sheetData sheetId="9" refreshError="1">
        <row r="60">
          <cell r="F60">
            <v>0.76909722224324162</v>
          </cell>
        </row>
      </sheetData>
      <sheetData sheetId="10" refreshError="1">
        <row r="55">
          <cell r="F55">
            <v>0.65972222223596566</v>
          </cell>
        </row>
      </sheetData>
      <sheetData sheetId="11" refreshError="1">
        <row r="120">
          <cell r="F120">
            <v>1.4809027778052648</v>
          </cell>
        </row>
      </sheetData>
      <sheetData sheetId="12" refreshError="1">
        <row r="42">
          <cell r="F42">
            <v>0.27430555555717245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020"/>
      <sheetName val="ZHONG LIAN SI FANG"/>
      <sheetName val="YUE DIAN 82"/>
      <sheetName val="MANALAGI PRITA"/>
      <sheetName val="JIN BO"/>
      <sheetName val="AMMAR"/>
      <sheetName val="ULUSOY-12"/>
      <sheetName val="ARION"/>
      <sheetName val="TAIPOWER PROSPERITY VII"/>
      <sheetName val="ARCHILLEAS. S"/>
      <sheetName val="KENTA"/>
    </sheetNames>
    <sheetDataSet>
      <sheetData sheetId="0" refreshError="1"/>
      <sheetData sheetId="1" refreshError="1">
        <row r="77">
          <cell r="F77">
            <v>0.95833333333818393</v>
          </cell>
        </row>
      </sheetData>
      <sheetData sheetId="2" refreshError="1">
        <row r="77">
          <cell r="F77">
            <v>0.85243055557536229</v>
          </cell>
        </row>
      </sheetData>
      <sheetData sheetId="3" refreshError="1">
        <row r="93">
          <cell r="F93">
            <v>0.82812499998787337</v>
          </cell>
        </row>
      </sheetData>
      <sheetData sheetId="4" refreshError="1">
        <row r="90">
          <cell r="F90">
            <v>1.154513888922035</v>
          </cell>
        </row>
      </sheetData>
      <sheetData sheetId="5" refreshError="1">
        <row r="122">
          <cell r="F122">
            <v>0.96527777777616086</v>
          </cell>
        </row>
      </sheetData>
      <sheetData sheetId="6" refreshError="1">
        <row r="87">
          <cell r="F87">
            <v>1.0034722222396038</v>
          </cell>
        </row>
      </sheetData>
      <sheetData sheetId="7" refreshError="1"/>
      <sheetData sheetId="8" refreshError="1">
        <row r="42">
          <cell r="F42">
            <v>0.46701388889656908</v>
          </cell>
        </row>
      </sheetData>
      <sheetData sheetId="9" refreshError="1">
        <row r="46">
          <cell r="F46">
            <v>0.47395833333818399</v>
          </cell>
        </row>
      </sheetData>
      <sheetData sheetId="10" refreshError="1">
        <row r="83">
          <cell r="F83">
            <v>0.91666666666666663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20"/>
      <sheetName val="SARAH S"/>
      <sheetName val="CORAL RING"/>
      <sheetName val="VIENNA WOOD N"/>
      <sheetName val="SOFIA"/>
      <sheetName val="UNITY FORCE"/>
      <sheetName val="OCEAN LOVE"/>
      <sheetName val="YIN FU"/>
      <sheetName val="YIN CAI"/>
      <sheetName val="OTZIAS"/>
      <sheetName val="AMIRA ILHAM"/>
      <sheetName val="OCEAN LADY"/>
    </sheetNames>
    <sheetDataSet>
      <sheetData sheetId="0" refreshError="1"/>
      <sheetData sheetId="1" refreshError="1">
        <row r="48">
          <cell r="F48">
            <v>0.52256944443312625</v>
          </cell>
        </row>
      </sheetData>
      <sheetData sheetId="2" refreshError="1">
        <row r="112">
          <cell r="F112">
            <v>2.1388888888929309</v>
          </cell>
        </row>
      </sheetData>
      <sheetData sheetId="3" refreshError="1">
        <row r="96">
          <cell r="F96">
            <v>1.1440972222104999</v>
          </cell>
        </row>
      </sheetData>
      <sheetData sheetId="4" refreshError="1">
        <row r="92">
          <cell r="F92">
            <v>1.1180555555680864</v>
          </cell>
        </row>
      </sheetData>
      <sheetData sheetId="5" refreshError="1">
        <row r="93">
          <cell r="F93">
            <v>1.2291666666666667</v>
          </cell>
        </row>
      </sheetData>
      <sheetData sheetId="6" refreshError="1">
        <row r="101">
          <cell r="F101">
            <v>1.333333333338184</v>
          </cell>
        </row>
      </sheetData>
      <sheetData sheetId="7" refreshError="1">
        <row r="52">
          <cell r="F52">
            <v>0.40451388890384504</v>
          </cell>
        </row>
      </sheetData>
      <sheetData sheetId="8" refreshError="1">
        <row r="80">
          <cell r="F80">
            <v>0.94791666665575269</v>
          </cell>
        </row>
      </sheetData>
      <sheetData sheetId="9" refreshError="1">
        <row r="68">
          <cell r="F68">
            <v>0.71874999999151135</v>
          </cell>
        </row>
      </sheetData>
      <sheetData sheetId="10" refreshError="1">
        <row r="68">
          <cell r="F68">
            <v>0.59895833333090798</v>
          </cell>
        </row>
      </sheetData>
      <sheetData sheetId="11" refreshError="1">
        <row r="69">
          <cell r="F69">
            <v>0.82118055555353442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Phoenix Ocean"/>
      <sheetName val="Prema One"/>
      <sheetName val="Spring Snow"/>
      <sheetName val="DL Acacia"/>
      <sheetName val="Star Angie"/>
      <sheetName val="Aquahaha"/>
    </sheetNames>
    <sheetDataSet>
      <sheetData sheetId="0" refreshError="1"/>
      <sheetData sheetId="1" refreshError="1">
        <row r="46">
          <cell r="F46">
            <v>0.55381944444525288</v>
          </cell>
        </row>
        <row r="51">
          <cell r="F51">
            <v>1.7430555555547471</v>
          </cell>
        </row>
      </sheetData>
      <sheetData sheetId="2" refreshError="1">
        <row r="45">
          <cell r="F45">
            <v>0.83333333330301684</v>
          </cell>
        </row>
        <row r="50">
          <cell r="F50">
            <v>1.6770833333284827</v>
          </cell>
        </row>
      </sheetData>
      <sheetData sheetId="3" refreshError="1">
        <row r="75">
          <cell r="F75">
            <v>0.9861111111313221</v>
          </cell>
        </row>
        <row r="80">
          <cell r="F80">
            <v>2.6597222222189885</v>
          </cell>
        </row>
      </sheetData>
      <sheetData sheetId="4" refreshError="1">
        <row r="70">
          <cell r="F70">
            <v>1.9114583333430346</v>
          </cell>
        </row>
        <row r="75">
          <cell r="F75">
            <v>3.6458333333357587</v>
          </cell>
        </row>
      </sheetData>
      <sheetData sheetId="5" refreshError="1">
        <row r="75">
          <cell r="F75">
            <v>1.0763888888977817</v>
          </cell>
        </row>
        <row r="80">
          <cell r="F80">
            <v>2.8888888888905058</v>
          </cell>
        </row>
      </sheetData>
      <sheetData sheetId="6" refreshError="1">
        <row r="143">
          <cell r="F143">
            <v>2.6666666666533274</v>
          </cell>
        </row>
        <row r="148">
          <cell r="F148">
            <v>6.1701388888832298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20"/>
      <sheetName val="WAN LI"/>
      <sheetName val="BULK ARA"/>
      <sheetName val="DATO SUCCESS"/>
      <sheetName val="HC UNITY"/>
      <sheetName val="ANDHIKA PARAMESTI"/>
      <sheetName val="NEW UNITY"/>
      <sheetName val="PROPERITY FOR ALL"/>
      <sheetName val="HANTON TRADER II"/>
      <sheetName val="DORO"/>
      <sheetName val="ROYAL FORWARD"/>
    </sheetNames>
    <sheetDataSet>
      <sheetData sheetId="0" refreshError="1"/>
      <sheetData sheetId="1" refreshError="1">
        <row r="51">
          <cell r="F51">
            <v>0.4878472222214138</v>
          </cell>
        </row>
      </sheetData>
      <sheetData sheetId="2" refreshError="1">
        <row r="168">
          <cell r="F168">
            <v>2.5711805555426204</v>
          </cell>
        </row>
      </sheetData>
      <sheetData sheetId="3" refreshError="1">
        <row r="85">
          <cell r="F85">
            <v>1.0225694444513163</v>
          </cell>
        </row>
      </sheetData>
      <sheetData sheetId="4" refreshError="1">
        <row r="62">
          <cell r="F62">
            <v>0.67361111111191951</v>
          </cell>
        </row>
      </sheetData>
      <sheetData sheetId="5" refreshError="1">
        <row r="99">
          <cell r="F99">
            <v>1.7847222222214139</v>
          </cell>
        </row>
      </sheetData>
      <sheetData sheetId="6" refreshError="1">
        <row r="92">
          <cell r="F92">
            <v>1.0729166666557528</v>
          </cell>
        </row>
      </sheetData>
      <sheetData sheetId="7" refreshError="1">
        <row r="33">
          <cell r="F33">
            <v>0.34375000000363798</v>
          </cell>
        </row>
      </sheetData>
      <sheetData sheetId="8" refreshError="1">
        <row r="94">
          <cell r="F94">
            <v>1.2291666666666667</v>
          </cell>
        </row>
        <row r="110">
          <cell r="C110">
            <v>1.1944444444452529</v>
          </cell>
        </row>
      </sheetData>
      <sheetData sheetId="9" refreshError="1">
        <row r="43">
          <cell r="F43">
            <v>0.33159722221049986</v>
          </cell>
        </row>
      </sheetData>
      <sheetData sheetId="10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"/>
      <sheetName val="ROYAL FORWARD"/>
      <sheetName val="YUE DIAN 6"/>
      <sheetName val="WINNING BRIGHT"/>
      <sheetName val="CAS AVANCA"/>
      <sheetName val="FORTUNE GENIUS"/>
      <sheetName val="ANDHIKA PARAMESTI"/>
      <sheetName val="PRESINGE TRADER"/>
      <sheetName val="HL IBT"/>
      <sheetName val="NAVIOS ASTRA"/>
      <sheetName val="YUE GUAN FENG"/>
    </sheetNames>
    <sheetDataSet>
      <sheetData sheetId="0" refreshError="1"/>
      <sheetData sheetId="1" refreshError="1"/>
      <sheetData sheetId="2" refreshError="1">
        <row r="101">
          <cell r="F101">
            <v>1.6822916666593908</v>
          </cell>
        </row>
      </sheetData>
      <sheetData sheetId="3" refreshError="1">
        <row r="90">
          <cell r="F90">
            <v>1.0694444444331264</v>
          </cell>
        </row>
      </sheetData>
      <sheetData sheetId="4" refreshError="1">
        <row r="97">
          <cell r="F97">
            <v>1.1423611111119196</v>
          </cell>
        </row>
      </sheetData>
      <sheetData sheetId="5" refreshError="1">
        <row r="65">
          <cell r="F65">
            <v>0.83159722221777577</v>
          </cell>
        </row>
      </sheetData>
      <sheetData sheetId="6" refreshError="1">
        <row r="103">
          <cell r="F103">
            <v>1.5486111111264715</v>
          </cell>
        </row>
      </sheetData>
      <sheetData sheetId="7" refreshError="1">
        <row r="117">
          <cell r="F117">
            <v>1.6631944444731441</v>
          </cell>
        </row>
      </sheetData>
      <sheetData sheetId="8" refreshError="1">
        <row r="62">
          <cell r="F62">
            <v>0.90972222223232768</v>
          </cell>
        </row>
      </sheetData>
      <sheetData sheetId="9" refreshError="1">
        <row r="101">
          <cell r="F101">
            <v>1.0625000000169773</v>
          </cell>
        </row>
      </sheetData>
      <sheetData sheetId="10" refreshError="1">
        <row r="46">
          <cell r="F46">
            <v>0.42187499999636202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"/>
      <sheetName val="LUMOSO LESTARI"/>
      <sheetName val="HONG MERIT"/>
      <sheetName val="ELLA"/>
      <sheetName val="ANDHIKA NARESWARI"/>
      <sheetName val="POS LOGISTICS 2"/>
      <sheetName val="JUBILANT SUCCESS"/>
      <sheetName val="ANDHIKA PARAMESTI"/>
      <sheetName val="VOSCO SUNRISE"/>
      <sheetName val="LUMOSO ALAM"/>
      <sheetName val="Sheet2"/>
    </sheetNames>
    <sheetDataSet>
      <sheetData sheetId="0" refreshError="1"/>
      <sheetData sheetId="1" refreshError="1">
        <row r="136">
          <cell r="F136">
            <v>1.1701388888711033</v>
          </cell>
        </row>
      </sheetData>
      <sheetData sheetId="2" refreshError="1">
        <row r="82">
          <cell r="F82">
            <v>0.85243055554989644</v>
          </cell>
        </row>
      </sheetData>
      <sheetData sheetId="3" refreshError="1">
        <row r="44">
          <cell r="F44">
            <v>0.39409722221171251</v>
          </cell>
        </row>
      </sheetData>
      <sheetData sheetId="4" refreshError="1">
        <row r="97">
          <cell r="F97">
            <v>1.8246527777834369</v>
          </cell>
        </row>
      </sheetData>
      <sheetData sheetId="5" refreshError="1">
        <row r="63">
          <cell r="F63">
            <v>0.69965277779071278</v>
          </cell>
        </row>
      </sheetData>
      <sheetData sheetId="6" refreshError="1">
        <row r="49">
          <cell r="F49">
            <v>0.60069444444525288</v>
          </cell>
        </row>
      </sheetData>
      <sheetData sheetId="7" refreshError="1">
        <row r="102">
          <cell r="F102">
            <v>1.5798611111301095</v>
          </cell>
        </row>
      </sheetData>
      <sheetData sheetId="8" refreshError="1">
        <row r="78">
          <cell r="F78">
            <v>1.215277777768885</v>
          </cell>
        </row>
      </sheetData>
      <sheetData sheetId="9" refreshError="1">
        <row r="49">
          <cell r="F49">
            <v>0.8003472222286897</v>
          </cell>
        </row>
      </sheetData>
      <sheetData sheetId="10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CEMTEX RAINESSANCE"/>
      <sheetName val="ANDHIKA KANISHKA"/>
      <sheetName val="ANDHIKA NARESWARI"/>
      <sheetName val="ZHONG HAI CHANG YUN 6"/>
      <sheetName val="TAIPOWER PROSPERITY VIII"/>
      <sheetName val="PORTO LEONE"/>
      <sheetName val="LEO OCEAN"/>
      <sheetName val="AQUABELLA"/>
      <sheetName val="ANDHIKA PARAMESTI"/>
      <sheetName val="SARAH S"/>
    </sheetNames>
    <sheetDataSet>
      <sheetData sheetId="0" refreshError="1"/>
      <sheetData sheetId="1" refreshError="1">
        <row r="81">
          <cell r="F81">
            <v>1.3055555555644485</v>
          </cell>
        </row>
      </sheetData>
      <sheetData sheetId="2" refreshError="1">
        <row r="108">
          <cell r="F108">
            <v>1.583333333341822</v>
          </cell>
        </row>
      </sheetData>
      <sheetData sheetId="3" refreshError="1">
        <row r="95">
          <cell r="F95">
            <v>1.5069444444695062</v>
          </cell>
        </row>
      </sheetData>
      <sheetData sheetId="4" refreshError="1">
        <row r="60">
          <cell r="F60">
            <v>0.5989583333090801</v>
          </cell>
        </row>
      </sheetData>
      <sheetData sheetId="5" refreshError="1">
        <row r="64">
          <cell r="F64">
            <v>0.83680555557172431</v>
          </cell>
        </row>
      </sheetData>
      <sheetData sheetId="6" refreshError="1">
        <row r="95">
          <cell r="F95">
            <v>1.1718750000097014</v>
          </cell>
        </row>
      </sheetData>
      <sheetData sheetId="7" refreshError="1">
        <row r="93">
          <cell r="F93">
            <v>1.2465277777834369</v>
          </cell>
        </row>
      </sheetData>
      <sheetData sheetId="8" refreshError="1">
        <row r="47">
          <cell r="F47">
            <v>0.46701388889050577</v>
          </cell>
        </row>
      </sheetData>
      <sheetData sheetId="9" refreshError="1">
        <row r="102">
          <cell r="F102">
            <v>1.3784722222141379</v>
          </cell>
        </row>
      </sheetData>
      <sheetData sheetId="10" refreshError="1">
        <row r="119">
          <cell r="F119">
            <v>1.0069444444731441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FALCON CONFIDENCE"/>
      <sheetName val="AFRICAN PARROT"/>
      <sheetName val="ANDHIKA ATHALIA"/>
      <sheetName val="CALYPSO N"/>
      <sheetName val="MARAN BRILLIANCE"/>
      <sheetName val="MINERAL DESTELBERGEN"/>
      <sheetName val="NENG YUAN"/>
      <sheetName val="JIAN XIANG"/>
      <sheetName val="YUE DIAN 81"/>
      <sheetName val="Sheet1"/>
    </sheetNames>
    <sheetDataSet>
      <sheetData sheetId="0" refreshError="1"/>
      <sheetData sheetId="1" refreshError="1">
        <row r="57">
          <cell r="F57">
            <v>0.69618055556566105</v>
          </cell>
        </row>
      </sheetData>
      <sheetData sheetId="2" refreshError="1">
        <row r="99">
          <cell r="F99">
            <v>1.3090277777907129</v>
          </cell>
        </row>
      </sheetData>
      <sheetData sheetId="3" refreshError="1">
        <row r="100">
          <cell r="F100">
            <v>1.5156249999987874</v>
          </cell>
        </row>
      </sheetData>
      <sheetData sheetId="4" refreshError="1">
        <row r="83">
          <cell r="F83">
            <v>0.93923611113738537</v>
          </cell>
        </row>
      </sheetData>
      <sheetData sheetId="5" refreshError="1">
        <row r="44">
          <cell r="F44">
            <v>0.47743055555474712</v>
          </cell>
        </row>
      </sheetData>
      <sheetData sheetId="6" refreshError="1">
        <row r="125">
          <cell r="F125">
            <v>2.6423611110937295</v>
          </cell>
        </row>
      </sheetData>
      <sheetData sheetId="7" refreshError="1">
        <row r="89">
          <cell r="F89">
            <v>1.3020833333090802</v>
          </cell>
        </row>
      </sheetData>
      <sheetData sheetId="8" refreshError="1">
        <row r="66">
          <cell r="F66">
            <v>0.95138888887110318</v>
          </cell>
        </row>
      </sheetData>
      <sheetData sheetId="9" refreshError="1">
        <row r="86">
          <cell r="F86">
            <v>1.7447916666848566</v>
          </cell>
        </row>
      </sheetData>
      <sheetData sheetId="1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RHEA"/>
      <sheetName val="SEACON 9"/>
      <sheetName val="JIA MAY"/>
      <sheetName val="DE YUAN"/>
      <sheetName val="MBA GIOVANNI"/>
      <sheetName val="LUMOSO PRATAMA"/>
      <sheetName val="GRACE MILD"/>
      <sheetName val="BAO RUI LING"/>
      <sheetName val="OCEAN LOONG"/>
      <sheetName val="XIN DONG GUAN 3"/>
    </sheetNames>
    <sheetDataSet>
      <sheetData sheetId="0" refreshError="1"/>
      <sheetData sheetId="1" refreshError="1">
        <row r="49">
          <cell r="F49">
            <v>0.43750000001455192</v>
          </cell>
        </row>
      </sheetData>
      <sheetData sheetId="2" refreshError="1">
        <row r="28">
          <cell r="F28">
            <v>0.30729166666060337</v>
          </cell>
        </row>
      </sheetData>
      <sheetData sheetId="3" refreshError="1">
        <row r="88">
          <cell r="F88">
            <v>1.114583333338184</v>
          </cell>
        </row>
      </sheetData>
      <sheetData sheetId="4" refreshError="1">
        <row r="101">
          <cell r="F101">
            <v>1.0972222222432417</v>
          </cell>
        </row>
      </sheetData>
      <sheetData sheetId="5" refreshError="1">
        <row r="48">
          <cell r="F48">
            <v>0.44097222221898846</v>
          </cell>
        </row>
      </sheetData>
      <sheetData sheetId="6" refreshError="1">
        <row r="166">
          <cell r="F166">
            <v>1.2326388888892932</v>
          </cell>
        </row>
      </sheetData>
      <sheetData sheetId="7" refreshError="1">
        <row r="52">
          <cell r="F52">
            <v>0.43923611111555755</v>
          </cell>
        </row>
      </sheetData>
      <sheetData sheetId="8" refreshError="1">
        <row r="77">
          <cell r="F77">
            <v>0.96701388889656903</v>
          </cell>
        </row>
      </sheetData>
      <sheetData sheetId="9" refreshError="1">
        <row r="52">
          <cell r="F52">
            <v>0.30381944444040226</v>
          </cell>
        </row>
      </sheetData>
      <sheetData sheetId="10" refreshError="1">
        <row r="70">
          <cell r="F70">
            <v>0.68750000000970124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HUA XU"/>
      <sheetName val="STAR PEACE"/>
      <sheetName val="YUE DIAN 82"/>
      <sheetName val="GONG YIN 1"/>
      <sheetName val="MANALAGI PRITA"/>
      <sheetName val="ODYSSEUS N"/>
      <sheetName val="OINOUSSIAN VIRTUE"/>
      <sheetName val="AGRI KINSALE"/>
      <sheetName val="RHL MARTA"/>
      <sheetName val="ANNA BARBARA"/>
      <sheetName val="HIGH SPEED"/>
      <sheetName val="HUA YANG CHUAN QI"/>
    </sheetNames>
    <sheetDataSet>
      <sheetData sheetId="0" refreshError="1"/>
      <sheetData sheetId="1" refreshError="1">
        <row r="43">
          <cell r="F43">
            <v>0.38715277778464952</v>
          </cell>
        </row>
      </sheetData>
      <sheetData sheetId="2" refreshError="1">
        <row r="110">
          <cell r="F110">
            <v>1.5468749999951494</v>
          </cell>
        </row>
      </sheetData>
      <sheetData sheetId="3" refreshError="1">
        <row r="49">
          <cell r="F49">
            <v>0.30555555556444841</v>
          </cell>
        </row>
      </sheetData>
      <sheetData sheetId="4" refreshError="1">
        <row r="80">
          <cell r="F80">
            <v>0.95312500000606326</v>
          </cell>
        </row>
      </sheetData>
      <sheetData sheetId="5" refreshError="1">
        <row r="80">
          <cell r="F80">
            <v>0.57638888888929307</v>
          </cell>
        </row>
      </sheetData>
      <sheetData sheetId="6" refreshError="1">
        <row r="48">
          <cell r="F48">
            <v>0.52083333333212067</v>
          </cell>
        </row>
      </sheetData>
      <sheetData sheetId="7" refreshError="1">
        <row r="105">
          <cell r="F105">
            <v>1.5416666666775807</v>
          </cell>
        </row>
      </sheetData>
      <sheetData sheetId="8" refreshError="1">
        <row r="119">
          <cell r="F119">
            <v>1.5000000000206153</v>
          </cell>
        </row>
      </sheetData>
      <sheetData sheetId="9" refreshError="1">
        <row r="65">
          <cell r="F65">
            <v>0.69444444442585029</v>
          </cell>
        </row>
      </sheetData>
      <sheetData sheetId="10" refreshError="1">
        <row r="91">
          <cell r="F91">
            <v>1.0972222222177759</v>
          </cell>
        </row>
      </sheetData>
      <sheetData sheetId="11" refreshError="1">
        <row r="56">
          <cell r="F56">
            <v>0.40798611113738542</v>
          </cell>
        </row>
      </sheetData>
      <sheetData sheetId="12" refreshError="1">
        <row r="103">
          <cell r="F103">
            <v>1.2968750000097014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MANALAGI DASA"/>
      <sheetName val="WU ZHOU 8"/>
      <sheetName val="JIN RUN"/>
      <sheetName val="CHANG SHENG"/>
      <sheetName val="SAN SHIN"/>
      <sheetName val="HUAYANG ENDEAVOUR"/>
      <sheetName val="IC PHOENIX"/>
      <sheetName val="CHRISTINAB"/>
      <sheetName val="PAN CROCUS"/>
    </sheetNames>
    <sheetDataSet>
      <sheetData sheetId="0" refreshError="1"/>
      <sheetData sheetId="1" refreshError="1">
        <row r="79">
          <cell r="F79">
            <v>0.69097222221777577</v>
          </cell>
        </row>
      </sheetData>
      <sheetData sheetId="2" refreshError="1">
        <row r="126">
          <cell r="F126">
            <v>1.583333333338184</v>
          </cell>
        </row>
      </sheetData>
      <sheetData sheetId="3" refreshError="1">
        <row r="62">
          <cell r="F62">
            <v>0.34027777774341911</v>
          </cell>
        </row>
      </sheetData>
      <sheetData sheetId="4" refreshError="1">
        <row r="107">
          <cell r="F107">
            <v>1.4461805555462586</v>
          </cell>
        </row>
      </sheetData>
      <sheetData sheetId="5" refreshError="1">
        <row r="38">
          <cell r="F38">
            <v>0.44791666666060337</v>
          </cell>
        </row>
      </sheetData>
      <sheetData sheetId="6" refreshError="1">
        <row r="59">
          <cell r="F59">
            <v>0.67881944444767817</v>
          </cell>
        </row>
      </sheetData>
      <sheetData sheetId="7" refreshError="1">
        <row r="105">
          <cell r="F105">
            <v>1.402777777776161</v>
          </cell>
        </row>
      </sheetData>
      <sheetData sheetId="8" refreshError="1">
        <row r="89">
          <cell r="F89">
            <v>1.1562499999769595</v>
          </cell>
        </row>
      </sheetData>
      <sheetData sheetId="9" refreshError="1">
        <row r="80">
          <cell r="F80">
            <v>1.1631944444440403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CHANG YANG JIN AN"/>
      <sheetName val="JIN HAI QIANG"/>
      <sheetName val="HE DA"/>
      <sheetName val="SEA EXPRESS"/>
      <sheetName val="NORD TITAN"/>
      <sheetName val="YU XIAO 1"/>
      <sheetName val="EVANS"/>
      <sheetName val="SKIATHOS"/>
      <sheetName val="MANALAGI PRITA"/>
      <sheetName val="IBIS WIND"/>
    </sheetNames>
    <sheetDataSet>
      <sheetData sheetId="0" refreshError="1"/>
      <sheetData sheetId="1" refreshError="1">
        <row r="100">
          <cell r="F100">
            <v>1.4531249999915115</v>
          </cell>
        </row>
      </sheetData>
      <sheetData sheetId="2" refreshError="1">
        <row r="90">
          <cell r="F90">
            <v>1.1545138888965691</v>
          </cell>
        </row>
      </sheetData>
      <sheetData sheetId="3" refreshError="1">
        <row r="120">
          <cell r="F120">
            <v>1.4965277777907129</v>
          </cell>
        </row>
      </sheetData>
      <sheetData sheetId="4" refreshError="1">
        <row r="102">
          <cell r="F102">
            <v>1.0434027777979888</v>
          </cell>
        </row>
      </sheetData>
      <sheetData sheetId="5" refreshError="1">
        <row r="102">
          <cell r="F102">
            <v>1.331597222203224</v>
          </cell>
        </row>
      </sheetData>
      <sheetData sheetId="6" refreshError="1">
        <row r="78">
          <cell r="F78">
            <v>1.0434027777870749</v>
          </cell>
        </row>
      </sheetData>
      <sheetData sheetId="7" refreshError="1">
        <row r="92">
          <cell r="F92">
            <v>1.0920138888711033</v>
          </cell>
        </row>
      </sheetData>
      <sheetData sheetId="8" refreshError="1">
        <row r="138">
          <cell r="F138">
            <v>1.9756944444222124</v>
          </cell>
        </row>
      </sheetData>
      <sheetData sheetId="9" refreshError="1">
        <row r="176">
          <cell r="F176">
            <v>1.5746527777943509</v>
          </cell>
        </row>
      </sheetData>
      <sheetData sheetId="10" refreshError="1">
        <row r="50">
          <cell r="F50">
            <v>0.60416666667879326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ARKAS"/>
      <sheetName val="LEVANTE"/>
      <sheetName val="PAN ELDORADO"/>
      <sheetName val="JIAN QIN"/>
      <sheetName val="OCEAN DIAMOND"/>
      <sheetName val="WELPROFIT"/>
      <sheetName val="GUNALEILA"/>
      <sheetName val="SUBARNAREKHA"/>
      <sheetName val="STAR ATHENA"/>
    </sheetNames>
    <sheetDataSet>
      <sheetData sheetId="0" refreshError="1"/>
      <sheetData sheetId="1" refreshError="1">
        <row r="95">
          <cell r="F95">
            <v>1.4895833333018043</v>
          </cell>
        </row>
      </sheetData>
      <sheetData sheetId="2" refreshError="1">
        <row r="55">
          <cell r="F55">
            <v>0.89409722222141375</v>
          </cell>
        </row>
      </sheetData>
      <sheetData sheetId="3" refreshError="1">
        <row r="60">
          <cell r="F60">
            <v>1.2135416666557528</v>
          </cell>
        </row>
      </sheetData>
      <sheetData sheetId="4" refreshError="1">
        <row r="84">
          <cell r="F84">
            <v>0.94444444440402242</v>
          </cell>
        </row>
      </sheetData>
      <sheetData sheetId="5" refreshError="1">
        <row r="92">
          <cell r="F92">
            <v>1.0399305555644482</v>
          </cell>
        </row>
      </sheetData>
      <sheetData sheetId="6" refreshError="1">
        <row r="67">
          <cell r="F67">
            <v>0.72916666667394259</v>
          </cell>
        </row>
      </sheetData>
      <sheetData sheetId="7" refreshError="1">
        <row r="137">
          <cell r="F137">
            <v>0.99652777778343682</v>
          </cell>
        </row>
      </sheetData>
      <sheetData sheetId="8" refreshError="1">
        <row r="100">
          <cell r="F100">
            <v>1.145833333349098</v>
          </cell>
        </row>
      </sheetData>
      <sheetData sheetId="9" refreshError="1">
        <row r="91">
          <cell r="F91">
            <v>1.246527777779799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Phoenix Ocean"/>
      <sheetName val="Prema One"/>
      <sheetName val="Spring Snow"/>
      <sheetName val="DL Acacia"/>
      <sheetName val="Star Angie"/>
      <sheetName val="Aquahaha"/>
    </sheetNames>
    <sheetDataSet>
      <sheetData sheetId="0" refreshError="1"/>
      <sheetData sheetId="1" refreshError="1"/>
      <sheetData sheetId="2" refreshError="1">
        <row r="37">
          <cell r="F37">
            <v>1.6770833333284827</v>
          </cell>
        </row>
      </sheetData>
      <sheetData sheetId="3" refreshError="1">
        <row r="55">
          <cell r="F55">
            <v>2.6597222222189885</v>
          </cell>
        </row>
      </sheetData>
      <sheetData sheetId="4" refreshError="1">
        <row r="52">
          <cell r="F52">
            <v>3.6458333333357587</v>
          </cell>
        </row>
      </sheetData>
      <sheetData sheetId="5" refreshError="1"/>
      <sheetData sheetId="6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NOZOMI"/>
      <sheetName val="HAMDA"/>
      <sheetName val="PAN ENERGEN"/>
    </sheetNames>
    <sheetDataSet>
      <sheetData sheetId="0" refreshError="1"/>
      <sheetData sheetId="1" refreshError="1">
        <row r="118">
          <cell r="F118">
            <v>1.567708333341822</v>
          </cell>
        </row>
      </sheetData>
      <sheetData sheetId="2" refreshError="1">
        <row r="134">
          <cell r="F134">
            <v>1.6579861110864538</v>
          </cell>
        </row>
      </sheetData>
      <sheetData sheetId="3" refreshError="1">
        <row r="136">
          <cell r="F136">
            <v>1.7152777778125408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"/>
      <sheetName val="FAKARAVA"/>
      <sheetName val="Sheet2"/>
    </sheetNames>
    <sheetDataSet>
      <sheetData sheetId="0" refreshError="1"/>
      <sheetData sheetId="1" refreshError="1">
        <row r="358">
          <cell r="J358">
            <v>8.7444444445007115</v>
          </cell>
        </row>
      </sheetData>
      <sheetData sheetId="2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JUDD"/>
      <sheetName val="Sheet2"/>
    </sheetNames>
    <sheetDataSet>
      <sheetData sheetId="0" refreshError="1"/>
      <sheetData sheetId="1" refreshError="1">
        <row r="354">
          <cell r="J354">
            <v>7.4010416666460515</v>
          </cell>
        </row>
      </sheetData>
      <sheetData sheetId="2" refreshError="1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PINK SANDS"/>
      <sheetName val="Sheet2"/>
    </sheetNames>
    <sheetDataSet>
      <sheetData sheetId="0" refreshError="1"/>
      <sheetData sheetId="1" refreshError="1">
        <row r="295">
          <cell r="J295">
            <v>7.8090277778133483</v>
          </cell>
        </row>
      </sheetData>
      <sheetData sheetId="2" refreshError="1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RANGIROA"/>
      <sheetName val="Sheet2"/>
    </sheetNames>
    <sheetDataSet>
      <sheetData sheetId="0" refreshError="1"/>
      <sheetData sheetId="1" refreshError="1">
        <row r="417">
          <cell r="J417">
            <v>7.7013888889341615</v>
          </cell>
        </row>
      </sheetData>
      <sheetData sheetId="2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CONQUISTADOR"/>
      <sheetName val="FAKARAVA"/>
      <sheetName val="Sheet2"/>
    </sheetNames>
    <sheetDataSet>
      <sheetData sheetId="0" refreshError="1"/>
      <sheetData sheetId="1" refreshError="1">
        <row r="297">
          <cell r="J297">
            <v>7.7743055555450464</v>
          </cell>
        </row>
      </sheetData>
      <sheetData sheetId="2" refreshError="1">
        <row r="280">
          <cell r="J280">
            <v>7.7013888888654449</v>
          </cell>
        </row>
      </sheetData>
      <sheetData sheetId="3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PINK SANDS"/>
      <sheetName val="Sheet2"/>
    </sheetNames>
    <sheetDataSet>
      <sheetData sheetId="0" refreshError="1"/>
      <sheetData sheetId="1" refreshError="1">
        <row r="293">
          <cell r="J293">
            <v>9.732638888850488</v>
          </cell>
        </row>
      </sheetData>
      <sheetData sheetId="2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MARINI"/>
      <sheetName val="Sheet2"/>
    </sheetNames>
    <sheetDataSet>
      <sheetData sheetId="0" refreshError="1"/>
      <sheetData sheetId="1" refreshError="1">
        <row r="305">
          <cell r="J305">
            <v>7.0562500000010502</v>
          </cell>
        </row>
      </sheetData>
      <sheetData sheetId="2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RANGIROA"/>
      <sheetName val="CONQUISTADOR"/>
      <sheetName val="Sheet2"/>
    </sheetNames>
    <sheetDataSet>
      <sheetData sheetId="0" refreshError="1"/>
      <sheetData sheetId="1" refreshError="1">
        <row r="270">
          <cell r="J270">
            <v>6.9722222222262644</v>
          </cell>
        </row>
      </sheetData>
      <sheetData sheetId="2" refreshError="1">
        <row r="289">
          <cell r="J289">
            <v>7.1527777777955635</v>
          </cell>
        </row>
      </sheetData>
      <sheetData sheetId="3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CANCUN"/>
      <sheetName val="Sheet2"/>
    </sheetNames>
    <sheetDataSet>
      <sheetData sheetId="0" refreshError="1"/>
      <sheetData sheetId="1" refreshError="1">
        <row r="327">
          <cell r="J327">
            <v>7.5520833333648625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 TRANSHIPPER SPIEGATO"/>
      <sheetName val="DAILY REPORT"/>
      <sheetName val="LEGGEND"/>
      <sheetName val="SOF TRANSHIPPER"/>
      <sheetName val="SOF TRANSHIPPER (2)"/>
      <sheetName val="BARGE crane 1"/>
      <sheetName val="BARGE crane 2"/>
      <sheetName val="LAYTIME"/>
      <sheetName val="RECAP"/>
      <sheetName val="RECAP illustrato"/>
      <sheetName val="RECAP spiegato"/>
      <sheetName val="LOGHI"/>
      <sheetName val="CRANE (PROV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9"/>
      <sheetName val="Victory"/>
      <sheetName val="Lake Dahlia"/>
      <sheetName val="Mineral Dragon"/>
      <sheetName val="Shi Dai 9"/>
    </sheetNames>
    <sheetDataSet>
      <sheetData sheetId="0" refreshError="1"/>
      <sheetData sheetId="1" refreshError="1">
        <row r="139">
          <cell r="F139">
            <v>2.9270833333066548</v>
          </cell>
        </row>
        <row r="144">
          <cell r="F144">
            <v>6.4513888888905058</v>
          </cell>
        </row>
      </sheetData>
      <sheetData sheetId="2" refreshError="1">
        <row r="80">
          <cell r="F80">
            <v>1.0104166666387755</v>
          </cell>
        </row>
        <row r="85">
          <cell r="F85">
            <v>2.625</v>
          </cell>
        </row>
      </sheetData>
      <sheetData sheetId="3" refreshError="1">
        <row r="88">
          <cell r="F88">
            <v>1.3871527777810115</v>
          </cell>
        </row>
        <row r="93">
          <cell r="F93">
            <v>3.4375</v>
          </cell>
        </row>
      </sheetData>
      <sheetData sheetId="4" refreshError="1">
        <row r="48">
          <cell r="F48">
            <v>1.5572916666715173</v>
          </cell>
        </row>
        <row r="53">
          <cell r="F53">
            <v>2.84375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PINK SANDS"/>
      <sheetName val="JUDD"/>
      <sheetName val="Sheet2"/>
    </sheetNames>
    <sheetDataSet>
      <sheetData sheetId="0" refreshError="1"/>
      <sheetData sheetId="1" refreshError="1">
        <row r="313">
          <cell r="J313">
            <v>6.9722222222117125</v>
          </cell>
        </row>
      </sheetData>
      <sheetData sheetId="2" refreshError="1">
        <row r="280">
          <cell r="J280">
            <v>7.4340277778173913</v>
          </cell>
        </row>
      </sheetData>
      <sheetData sheetId="3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"/>
      <sheetName val="FAKARAVA"/>
      <sheetName val="MARINI"/>
      <sheetName val="Sheet2"/>
    </sheetNames>
    <sheetDataSet>
      <sheetData sheetId="0" refreshError="1"/>
      <sheetData sheetId="1" refreshError="1">
        <row r="284">
          <cell r="J284">
            <v>6.6041666666351375</v>
          </cell>
        </row>
      </sheetData>
      <sheetData sheetId="2" refreshError="1">
        <row r="92">
          <cell r="J92">
            <v>1.7743055555474712</v>
          </cell>
        </row>
      </sheetData>
      <sheetData sheetId="3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 2018"/>
      <sheetName val="Chang Ho"/>
      <sheetName val="Gloriever"/>
      <sheetName val="SM Challenger"/>
      <sheetName val="Sea Honesty"/>
      <sheetName val="Marivictoria"/>
    </sheetNames>
    <sheetDataSet>
      <sheetData sheetId="0" refreshError="1"/>
      <sheetData sheetId="1">
        <row r="56">
          <cell r="F56">
            <v>2.7170138888868678</v>
          </cell>
        </row>
        <row r="59">
          <cell r="F59">
            <v>4.09375</v>
          </cell>
        </row>
      </sheetData>
      <sheetData sheetId="2">
        <row r="55">
          <cell r="F55">
            <v>0.87673611110221827</v>
          </cell>
        </row>
        <row r="58">
          <cell r="F58">
            <v>2.0243055555547471</v>
          </cell>
        </row>
      </sheetData>
      <sheetData sheetId="3">
        <row r="42">
          <cell r="F42">
            <v>0.56770833332120674</v>
          </cell>
        </row>
        <row r="45">
          <cell r="F45">
            <v>1.5416666666642413</v>
          </cell>
        </row>
      </sheetData>
      <sheetData sheetId="4">
        <row r="38">
          <cell r="F38">
            <v>0.86111111110585625</v>
          </cell>
        </row>
        <row r="41">
          <cell r="F41">
            <v>1.6770833333357587</v>
          </cell>
        </row>
      </sheetData>
      <sheetData sheetId="5">
        <row r="49">
          <cell r="F49">
            <v>2.3194444444452529</v>
          </cell>
        </row>
        <row r="52">
          <cell r="F52">
            <v>3.6770833333284827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8"/>
      <sheetName val="Leading Bravery"/>
      <sheetName val="Wangaratta"/>
      <sheetName val="Chandra Kirana"/>
    </sheetNames>
    <sheetDataSet>
      <sheetData sheetId="0" refreshError="1"/>
      <sheetData sheetId="1">
        <row r="57">
          <cell r="F57">
            <v>2.7604166666387755</v>
          </cell>
        </row>
        <row r="60">
          <cell r="F60">
            <v>4.2430555555547471</v>
          </cell>
        </row>
      </sheetData>
      <sheetData sheetId="2">
        <row r="65">
          <cell r="F65">
            <v>4.4722222222335404</v>
          </cell>
        </row>
        <row r="68">
          <cell r="F68">
            <v>5.9930555555547471</v>
          </cell>
        </row>
      </sheetData>
      <sheetData sheetId="3">
        <row r="73">
          <cell r="F73">
            <v>2.8715277777737356</v>
          </cell>
        </row>
        <row r="76">
          <cell r="F76">
            <v>4.2256944444452529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Xin Dong Guan 3 "/>
      <sheetName val="Giant Ace"/>
    </sheetNames>
    <sheetDataSet>
      <sheetData sheetId="0" refreshError="1"/>
      <sheetData sheetId="1">
        <row r="38">
          <cell r="F38">
            <v>0.55381944444525288</v>
          </cell>
        </row>
        <row r="41">
          <cell r="F41">
            <v>1.1111111111094942</v>
          </cell>
        </row>
      </sheetData>
      <sheetData sheetId="2">
        <row r="42">
          <cell r="F42">
            <v>0.53993055554383318</v>
          </cell>
        </row>
        <row r="45">
          <cell r="F45">
            <v>1.6736111111094942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Xin Dong Guan 3 "/>
      <sheetName val="Giant Ace"/>
      <sheetName val="Corona Kingdom"/>
      <sheetName val="Well Deep"/>
      <sheetName val="Infinity"/>
      <sheetName val="Andhika Nareswari"/>
      <sheetName val="Best Unity"/>
      <sheetName val="Yue Dian 2"/>
    </sheetNames>
    <sheetDataSet>
      <sheetData sheetId="0"/>
      <sheetData sheetId="1"/>
      <sheetData sheetId="2"/>
      <sheetData sheetId="3">
        <row r="59">
          <cell r="F59">
            <v>1.9809027777700976</v>
          </cell>
        </row>
        <row r="62">
          <cell r="F62">
            <v>3.5625</v>
          </cell>
        </row>
      </sheetData>
      <sheetData sheetId="4">
        <row r="42">
          <cell r="F42">
            <v>0.75173611110585625</v>
          </cell>
        </row>
        <row r="45">
          <cell r="F45">
            <v>1.5416666666715173</v>
          </cell>
        </row>
      </sheetData>
      <sheetData sheetId="5">
        <row r="58">
          <cell r="F58">
            <v>1.5260416666533274</v>
          </cell>
        </row>
        <row r="61">
          <cell r="F61">
            <v>3.2430555555620231</v>
          </cell>
        </row>
      </sheetData>
      <sheetData sheetId="6">
        <row r="57">
          <cell r="F57">
            <v>2.3923611111022183</v>
          </cell>
        </row>
        <row r="60">
          <cell r="F60">
            <v>4.0277777777810115</v>
          </cell>
        </row>
      </sheetData>
      <sheetData sheetId="7">
        <row r="51">
          <cell r="F51">
            <v>0.99826388889414375</v>
          </cell>
        </row>
        <row r="54">
          <cell r="F54">
            <v>2.2847222222189885</v>
          </cell>
        </row>
      </sheetData>
      <sheetData sheetId="8">
        <row r="33">
          <cell r="F33">
            <v>0.39236111110585625</v>
          </cell>
        </row>
        <row r="36">
          <cell r="F36">
            <v>0.99305555555474712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8"/>
      <sheetName val="Ocean Sapphire"/>
      <sheetName val="Leading Glory"/>
      <sheetName val="Sea Empire"/>
      <sheetName val="Leading Bravery"/>
      <sheetName val="Arpeggio"/>
      <sheetName val="Andhika Kanishka"/>
    </sheetNames>
    <sheetDataSet>
      <sheetData sheetId="0"/>
      <sheetData sheetId="1">
        <row r="34">
          <cell r="F34">
            <v>0.32291666664605145</v>
          </cell>
        </row>
        <row r="37">
          <cell r="F37">
            <v>0.875</v>
          </cell>
        </row>
      </sheetData>
      <sheetData sheetId="2">
        <row r="53">
          <cell r="F53">
            <v>2.539930555572937</v>
          </cell>
        </row>
        <row r="56">
          <cell r="F56">
            <v>4.0069444444452529</v>
          </cell>
        </row>
      </sheetData>
      <sheetData sheetId="3">
        <row r="54">
          <cell r="F54">
            <v>2.8142361111094942</v>
          </cell>
        </row>
        <row r="57">
          <cell r="F57">
            <v>4.2013888888832298</v>
          </cell>
        </row>
      </sheetData>
      <sheetData sheetId="4">
        <row r="63">
          <cell r="F63">
            <v>2.4409722222117125</v>
          </cell>
        </row>
        <row r="66">
          <cell r="F66">
            <v>3.9270833333357587</v>
          </cell>
        </row>
      </sheetData>
      <sheetData sheetId="5">
        <row r="52">
          <cell r="F52">
            <v>0.96354166666060337</v>
          </cell>
        </row>
        <row r="55">
          <cell r="F55">
            <v>2.2638888888832298</v>
          </cell>
        </row>
      </sheetData>
      <sheetData sheetId="6">
        <row r="52">
          <cell r="F52">
            <v>0.92361111110949423</v>
          </cell>
        </row>
        <row r="55">
          <cell r="F55">
            <v>2.1284722222189885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8"/>
      <sheetName val="Cape Fushen"/>
      <sheetName val="Best Unity"/>
    </sheetNames>
    <sheetDataSet>
      <sheetData sheetId="0"/>
      <sheetData sheetId="1">
        <row r="63">
          <cell r="F63">
            <v>1.2013888888759539</v>
          </cell>
        </row>
        <row r="66">
          <cell r="F66">
            <v>3.0208333333357587</v>
          </cell>
        </row>
      </sheetData>
      <sheetData sheetId="2">
        <row r="53">
          <cell r="F53">
            <v>2.4548611111022183</v>
          </cell>
        </row>
        <row r="56">
          <cell r="F56">
            <v>3.6111111111167702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8"/>
      <sheetName val="Hui Zhi"/>
    </sheetNames>
    <sheetDataSet>
      <sheetData sheetId="0"/>
      <sheetData sheetId="1">
        <row r="38">
          <cell r="F38">
            <v>0.39930555558021297</v>
          </cell>
        </row>
        <row r="41">
          <cell r="F41">
            <v>1.3611111111094942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8"/>
      <sheetName val="Anthea"/>
      <sheetName val="Taipower Prosperity II"/>
      <sheetName val="Navios Felicity"/>
      <sheetName val="Topeka"/>
      <sheetName val="Zheng Kai"/>
      <sheetName val="Everlucky"/>
      <sheetName val="Dewi Parwati"/>
    </sheetNames>
    <sheetDataSet>
      <sheetData sheetId="0"/>
      <sheetData sheetId="1">
        <row r="57">
          <cell r="F57">
            <v>1.5763888888868678</v>
          </cell>
        </row>
        <row r="60">
          <cell r="F60">
            <v>3.1111111111094942</v>
          </cell>
        </row>
      </sheetData>
      <sheetData sheetId="2">
        <row r="40">
          <cell r="F40">
            <v>0.55381944444161491</v>
          </cell>
        </row>
        <row r="43">
          <cell r="F43">
            <v>1.4236111111094942</v>
          </cell>
        </row>
      </sheetData>
      <sheetData sheetId="3">
        <row r="51">
          <cell r="F51">
            <v>0.87673611111313221</v>
          </cell>
        </row>
        <row r="54">
          <cell r="F54">
            <v>2.2013888888905058</v>
          </cell>
        </row>
      </sheetData>
      <sheetData sheetId="4"/>
      <sheetData sheetId="5">
        <row r="29">
          <cell r="F29">
            <v>0.21527777778101154</v>
          </cell>
        </row>
        <row r="32">
          <cell r="F32">
            <v>0.70138888889050577</v>
          </cell>
        </row>
      </sheetData>
      <sheetData sheetId="6">
        <row r="53">
          <cell r="F53">
            <v>0.89583333332848269</v>
          </cell>
        </row>
        <row r="56">
          <cell r="F56">
            <v>2.125</v>
          </cell>
        </row>
      </sheetData>
      <sheetData sheetId="7">
        <row r="59">
          <cell r="F59">
            <v>4.3715277777773736</v>
          </cell>
        </row>
        <row r="62">
          <cell r="F62">
            <v>5.6388888888905058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Sea Triumph"/>
      <sheetName val="CAPE CLOVER"/>
      <sheetName val="LOWLANDS TENACITY"/>
      <sheetName val="Ocean Pride"/>
      <sheetName val="GALIO"/>
      <sheetName val="HE DA"/>
      <sheetName val="NORD POLARIS"/>
    </sheetNames>
    <sheetDataSet>
      <sheetData sheetId="0" refreshError="1"/>
      <sheetData sheetId="1" refreshError="1">
        <row r="74">
          <cell r="F74">
            <v>1.6111111110949423</v>
          </cell>
        </row>
        <row r="79">
          <cell r="F79">
            <v>2.7708333333357587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018"/>
      <sheetName val="Ying Shun"/>
      <sheetName val="Yue Dian 8"/>
      <sheetName val="Genco Beauty"/>
      <sheetName val="Rosco Sandalwood"/>
      <sheetName val="HL IBT"/>
    </sheetNames>
    <sheetDataSet>
      <sheetData sheetId="0"/>
      <sheetData sheetId="1">
        <row r="36">
          <cell r="F36">
            <v>0.36805555555474712</v>
          </cell>
        </row>
        <row r="39">
          <cell r="F39">
            <v>1.0208333333284827</v>
          </cell>
        </row>
      </sheetData>
      <sheetData sheetId="2">
        <row r="36">
          <cell r="F36">
            <v>0.49479166667879326</v>
          </cell>
        </row>
        <row r="39">
          <cell r="F39">
            <v>0.98958333332848269</v>
          </cell>
        </row>
      </sheetData>
      <sheetData sheetId="3">
        <row r="32">
          <cell r="F32">
            <v>0.29687499999636202</v>
          </cell>
        </row>
        <row r="35">
          <cell r="F35">
            <v>0.92361111110949423</v>
          </cell>
        </row>
      </sheetData>
      <sheetData sheetId="4">
        <row r="45">
          <cell r="F45">
            <v>0.66840277777373558</v>
          </cell>
        </row>
        <row r="48">
          <cell r="F48">
            <v>1.5590277777810115</v>
          </cell>
        </row>
      </sheetData>
      <sheetData sheetId="5">
        <row r="36">
          <cell r="F36">
            <v>1.0989583333357587</v>
          </cell>
        </row>
        <row r="39">
          <cell r="F39">
            <v>1.9444444444452529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 2018"/>
      <sheetName val="Taipower Prosperity II"/>
      <sheetName val="Protefs"/>
      <sheetName val="Mineral Brugge"/>
      <sheetName val="Ocean Emerald"/>
      <sheetName val="Australia Maru"/>
    </sheetNames>
    <sheetDataSet>
      <sheetData sheetId="0">
        <row r="10">
          <cell r="C10">
            <v>1.5018222222080739</v>
          </cell>
          <cell r="E10">
            <v>10000</v>
          </cell>
        </row>
      </sheetData>
      <sheetData sheetId="1">
        <row r="54">
          <cell r="F54">
            <v>0.8940972222299024</v>
          </cell>
        </row>
        <row r="57">
          <cell r="F57">
            <v>2.65625</v>
          </cell>
        </row>
      </sheetData>
      <sheetData sheetId="2">
        <row r="55">
          <cell r="F55">
            <v>0.85243055555110914</v>
          </cell>
        </row>
        <row r="58">
          <cell r="F58">
            <v>2.1736111111094942</v>
          </cell>
        </row>
      </sheetData>
      <sheetData sheetId="3">
        <row r="53">
          <cell r="F53">
            <v>1.9461805555474712</v>
          </cell>
        </row>
        <row r="56">
          <cell r="F56">
            <v>3.5486111111094942</v>
          </cell>
        </row>
      </sheetData>
      <sheetData sheetId="4">
        <row r="53">
          <cell r="F53">
            <v>0.96701388890505768</v>
          </cell>
        </row>
        <row r="56">
          <cell r="F56">
            <v>2.6909722222189885</v>
          </cell>
        </row>
      </sheetData>
      <sheetData sheetId="5">
        <row r="77">
          <cell r="F77">
            <v>1.854166666650902</v>
          </cell>
        </row>
        <row r="80">
          <cell r="F80">
            <v>4.4861111111094942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18"/>
      <sheetName val="Dewi Parwati"/>
      <sheetName val="Shao Shan 1"/>
      <sheetName val="Meister"/>
      <sheetName val="Sea Empire"/>
      <sheetName val="Long Shan Hu"/>
      <sheetName val="Peace"/>
      <sheetName val="Ocean Energy"/>
      <sheetName val="Taipower Prosperity V"/>
    </sheetNames>
    <sheetDataSet>
      <sheetData sheetId="0" refreshError="1"/>
      <sheetData sheetId="1">
        <row r="54">
          <cell r="F54">
            <v>1.7013888888686779</v>
          </cell>
        </row>
        <row r="57">
          <cell r="F57">
            <v>3.2986111111094942</v>
          </cell>
        </row>
      </sheetData>
      <sheetData sheetId="2">
        <row r="52">
          <cell r="F52">
            <v>0.79166666665696539</v>
          </cell>
        </row>
        <row r="55">
          <cell r="F55">
            <v>2.25</v>
          </cell>
        </row>
      </sheetData>
      <sheetData sheetId="3">
        <row r="54">
          <cell r="F54">
            <v>1.9270833333248447</v>
          </cell>
        </row>
        <row r="57">
          <cell r="F57">
            <v>3.0902777777737356</v>
          </cell>
        </row>
      </sheetData>
      <sheetData sheetId="4">
        <row r="53">
          <cell r="F53">
            <v>1.1423611111313221</v>
          </cell>
        </row>
        <row r="56">
          <cell r="F56">
            <v>2.6493055555547471</v>
          </cell>
        </row>
      </sheetData>
      <sheetData sheetId="5">
        <row r="38">
          <cell r="F38">
            <v>0.96875</v>
          </cell>
        </row>
        <row r="41">
          <cell r="F41">
            <v>1.5173611111094942</v>
          </cell>
        </row>
      </sheetData>
      <sheetData sheetId="6">
        <row r="56">
          <cell r="F56">
            <v>1.2951388888989943</v>
          </cell>
        </row>
        <row r="59">
          <cell r="F59">
            <v>2.7638888888905058</v>
          </cell>
        </row>
      </sheetData>
      <sheetData sheetId="7">
        <row r="47">
          <cell r="F47">
            <v>0.93229166668243124</v>
          </cell>
        </row>
        <row r="50">
          <cell r="F50">
            <v>2.4305555555547471</v>
          </cell>
        </row>
      </sheetData>
      <sheetData sheetId="8">
        <row r="52">
          <cell r="F52">
            <v>0.85763888888686779</v>
          </cell>
        </row>
        <row r="55">
          <cell r="F55">
            <v>2.1875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8"/>
      <sheetName val="Zheng Hao"/>
      <sheetName val="Navios Felicity"/>
      <sheetName val="Dewi Parwati"/>
      <sheetName val="New Herald"/>
      <sheetName val="Sea Gemini"/>
      <sheetName val="Seneca"/>
    </sheetNames>
    <sheetDataSet>
      <sheetData sheetId="0" refreshError="1"/>
      <sheetData sheetId="1">
        <row r="55">
          <cell r="F55">
            <v>0.9965277777700976</v>
          </cell>
        </row>
        <row r="58">
          <cell r="F58">
            <v>3.0659722222189885</v>
          </cell>
        </row>
      </sheetData>
      <sheetData sheetId="2">
        <row r="53">
          <cell r="F53">
            <v>0.93923611109494232</v>
          </cell>
        </row>
        <row r="56">
          <cell r="F56">
            <v>3.1319444444452529</v>
          </cell>
        </row>
      </sheetData>
      <sheetData sheetId="3">
        <row r="56">
          <cell r="F56">
            <v>3.1736111111094942</v>
          </cell>
        </row>
      </sheetData>
      <sheetData sheetId="4">
        <row r="56">
          <cell r="F56">
            <v>0.91666666665332741</v>
          </cell>
        </row>
        <row r="59">
          <cell r="F59">
            <v>3.8680555555620231</v>
          </cell>
        </row>
      </sheetData>
      <sheetData sheetId="5">
        <row r="58">
          <cell r="F58">
            <v>1.5347222222262644</v>
          </cell>
        </row>
        <row r="61">
          <cell r="F61">
            <v>4.4861111111094942</v>
          </cell>
        </row>
      </sheetData>
      <sheetData sheetId="6">
        <row r="53">
          <cell r="F53">
            <v>0.84548611109494232</v>
          </cell>
        </row>
        <row r="56">
          <cell r="F56">
            <v>2.5138888888905058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8"/>
      <sheetName val="Zheng Hao"/>
      <sheetName val="Navios Felicity"/>
      <sheetName val="Dewi Parwati"/>
      <sheetName val="New Herald"/>
      <sheetName val="Sea Gemini"/>
      <sheetName val="Seneca"/>
      <sheetName val="Daebo Gladstone"/>
    </sheetNames>
    <sheetDataSet>
      <sheetData sheetId="0" refreshError="1"/>
      <sheetData sheetId="1" refreshError="1"/>
      <sheetData sheetId="2" refreshError="1"/>
      <sheetData sheetId="3">
        <row r="53">
          <cell r="F53">
            <v>1.3159722222480923</v>
          </cell>
        </row>
        <row r="56">
          <cell r="F56">
            <v>3.1736111111094942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8"/>
      <sheetName val="Zheng Hao"/>
      <sheetName val="Navios Felicity"/>
      <sheetName val="Dewi Parwati"/>
      <sheetName val="New Herald"/>
      <sheetName val="Sea Gemini"/>
      <sheetName val="Seneca"/>
      <sheetName val="Daebo Gladst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5">
          <cell r="F35">
            <v>0.67361111110949423</v>
          </cell>
        </row>
        <row r="38">
          <cell r="F38">
            <v>1.625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8"/>
      <sheetName val="Ocean Sapphire"/>
      <sheetName val="Dewi Parwati"/>
      <sheetName val="Ecoan G.O"/>
      <sheetName val="Wei Qin"/>
      <sheetName val="Stella Ellena"/>
      <sheetName val="Kartini Baruna"/>
      <sheetName val="Yun Ton"/>
      <sheetName val="HC Sunshine"/>
    </sheetNames>
    <sheetDataSet>
      <sheetData sheetId="0" refreshError="1"/>
      <sheetData sheetId="1">
        <row r="46">
          <cell r="F46">
            <v>0.56423611112040817</v>
          </cell>
        </row>
        <row r="49">
          <cell r="F49">
            <v>1.6736111111094942</v>
          </cell>
        </row>
      </sheetData>
      <sheetData sheetId="2">
        <row r="67">
          <cell r="F67">
            <v>1.5868055555595977</v>
          </cell>
        </row>
        <row r="70">
          <cell r="F70">
            <v>3.0902777777737356</v>
          </cell>
        </row>
      </sheetData>
      <sheetData sheetId="3">
        <row r="55">
          <cell r="F55">
            <v>0.65451388887716655</v>
          </cell>
        </row>
        <row r="58">
          <cell r="F58">
            <v>2.2951388888905058</v>
          </cell>
        </row>
      </sheetData>
      <sheetData sheetId="4">
        <row r="26">
          <cell r="F26">
            <v>0.16666666666787933</v>
          </cell>
        </row>
        <row r="29">
          <cell r="F29">
            <v>0.5</v>
          </cell>
        </row>
      </sheetData>
      <sheetData sheetId="5">
        <row r="50">
          <cell r="F50">
            <v>0.82291666665332741</v>
          </cell>
        </row>
        <row r="53">
          <cell r="F53">
            <v>2.3055555555620231</v>
          </cell>
        </row>
      </sheetData>
      <sheetData sheetId="6">
        <row r="61">
          <cell r="F61">
            <v>0.91319444443555164</v>
          </cell>
        </row>
        <row r="64">
          <cell r="F64">
            <v>2.4652777777737356</v>
          </cell>
        </row>
      </sheetData>
      <sheetData sheetId="7">
        <row r="55">
          <cell r="F55">
            <v>1.9149305555656611</v>
          </cell>
        </row>
        <row r="58">
          <cell r="F58">
            <v>3.59375</v>
          </cell>
        </row>
      </sheetData>
      <sheetData sheetId="8">
        <row r="44">
          <cell r="F44">
            <v>0.80208333334667259</v>
          </cell>
        </row>
        <row r="47">
          <cell r="F47">
            <v>2.2951388888905058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 2019"/>
      <sheetName val="Ecoan G.O"/>
      <sheetName val="Prema One"/>
      <sheetName val="Cape Garland"/>
      <sheetName val="Grace One"/>
      <sheetName val="Taipower Prosperity VIII"/>
      <sheetName val="JR Summer"/>
      <sheetName val="Best Unity"/>
      <sheetName val="Taipower Prosperity I"/>
    </sheetNames>
    <sheetDataSet>
      <sheetData sheetId="0" refreshError="1"/>
      <sheetData sheetId="1" refreshError="1">
        <row r="111">
          <cell r="F111">
            <v>1.5833333333321207</v>
          </cell>
        </row>
      </sheetData>
      <sheetData sheetId="2" refreshError="1">
        <row r="87">
          <cell r="F87">
            <v>1.2013888888868678</v>
          </cell>
        </row>
      </sheetData>
      <sheetData sheetId="3" refreshError="1">
        <row r="112">
          <cell r="F112">
            <v>1.8211805555656611</v>
          </cell>
        </row>
      </sheetData>
      <sheetData sheetId="4" refreshError="1">
        <row r="110">
          <cell r="F110">
            <v>1.4253472222117125</v>
          </cell>
        </row>
      </sheetData>
      <sheetData sheetId="5" refreshError="1">
        <row r="75">
          <cell r="F75">
            <v>1.0329861111094942</v>
          </cell>
        </row>
      </sheetData>
      <sheetData sheetId="6" refreshError="1">
        <row r="110">
          <cell r="F110">
            <v>1.7013888888941437</v>
          </cell>
        </row>
      </sheetData>
      <sheetData sheetId="7" refreshError="1">
        <row r="81">
          <cell r="F81">
            <v>1.2065972222153505</v>
          </cell>
        </row>
      </sheetData>
      <sheetData sheetId="8" refreshError="1">
        <row r="85">
          <cell r="F85">
            <v>1.1614583333102928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9"/>
      <sheetName val="Eastern Glamour"/>
      <sheetName val="Ningbo Innovation"/>
      <sheetName val="Minoan Courage"/>
      <sheetName val="Chang Ming 2"/>
      <sheetName val="Chang Sheng"/>
      <sheetName val="Neng Yuan"/>
      <sheetName val="Christina IV"/>
    </sheetNames>
    <sheetDataSet>
      <sheetData sheetId="0" refreshError="1"/>
      <sheetData sheetId="1" refreshError="1">
        <row r="145">
          <cell r="F145">
            <v>3.6996527777882875</v>
          </cell>
        </row>
      </sheetData>
      <sheetData sheetId="2" refreshError="1">
        <row r="69">
          <cell r="F69">
            <v>0.88020833333575865</v>
          </cell>
        </row>
      </sheetData>
      <sheetData sheetId="3" refreshError="1">
        <row r="133">
          <cell r="F133">
            <v>1.5694444444525288</v>
          </cell>
        </row>
      </sheetData>
      <sheetData sheetId="4" refreshError="1">
        <row r="90">
          <cell r="F90">
            <v>1.468749999992724</v>
          </cell>
        </row>
      </sheetData>
      <sheetData sheetId="5" refreshError="1">
        <row r="56">
          <cell r="F56">
            <v>0.60937500000363798</v>
          </cell>
        </row>
      </sheetData>
      <sheetData sheetId="6" refreshError="1">
        <row r="71">
          <cell r="F71">
            <v>0.93923611110221827</v>
          </cell>
        </row>
      </sheetData>
      <sheetData sheetId="7" refreshError="1">
        <row r="116">
          <cell r="F116">
            <v>3.7343749999987872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uel consumption"/>
      <sheetName val="Recap Accounting"/>
      <sheetName val="Recap Performance"/>
      <sheetName val="Recap Ops 2019"/>
      <sheetName val="Bulk Java "/>
      <sheetName val="Bulk Borneo"/>
      <sheetName val="Bulk Celebes"/>
      <sheetName val="Bulk Sumatra"/>
      <sheetName val="Princess Chloe"/>
      <sheetName val="Ratu Kumala"/>
      <sheetName val="Asia Bella"/>
      <sheetName val="Blitz and Nicholas"/>
      <sheetName val="SPOT"/>
      <sheetName val="Barges"/>
      <sheetName val="Wahana Barg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46">
          <cell r="C146">
            <v>6971.4210000000003</v>
          </cell>
        </row>
      </sheetData>
      <sheetData sheetId="14" refreshError="1"/>
      <sheetData sheetId="1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CAPE CLOVER"/>
      <sheetName val="LOWLANDS TENACITY"/>
      <sheetName val="Ocean Pride"/>
      <sheetName val="GALIO"/>
      <sheetName val="HE DA"/>
      <sheetName val="NORD POLARIS"/>
    </sheetNames>
    <sheetDataSet>
      <sheetData sheetId="0" refreshError="1"/>
      <sheetData sheetId="1" refreshError="1">
        <row r="156">
          <cell r="F156">
            <v>1.4184027777555457</v>
          </cell>
        </row>
      </sheetData>
      <sheetData sheetId="2" refreshError="1">
        <row r="137">
          <cell r="F137">
            <v>1.0954861110949423</v>
          </cell>
        </row>
      </sheetData>
      <sheetData sheetId="3" refreshError="1">
        <row r="114">
          <cell r="F114">
            <v>1.2343749999915115</v>
          </cell>
        </row>
      </sheetData>
      <sheetData sheetId="4" refreshError="1">
        <row r="40">
          <cell r="F40">
            <v>0.27777777777737356</v>
          </cell>
        </row>
      </sheetData>
      <sheetData sheetId="5" refreshError="1"/>
      <sheetData sheetId="6" refreshError="1">
        <row r="60">
          <cell r="F60">
            <v>0.68229166667515528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Dimitra"/>
      <sheetName val="Fortune Union"/>
      <sheetName val="Xin Wu Zhou"/>
      <sheetName val="Chang Ming 2"/>
      <sheetName val="Hero"/>
      <sheetName val="Dimitra2"/>
      <sheetName val="Melbourne"/>
      <sheetName val="Yue Dian 81"/>
    </sheetNames>
    <sheetDataSet>
      <sheetData sheetId="0" refreshError="1"/>
      <sheetData sheetId="1" refreshError="1">
        <row r="120">
          <cell r="F120">
            <v>2.0642361111022183</v>
          </cell>
        </row>
      </sheetData>
      <sheetData sheetId="2" refreshError="1">
        <row r="99">
          <cell r="F99">
            <v>1.5086805555438332</v>
          </cell>
        </row>
      </sheetData>
      <sheetData sheetId="3" refreshError="1">
        <row r="108">
          <cell r="F108">
            <v>1.359374999996362</v>
          </cell>
        </row>
      </sheetData>
      <sheetData sheetId="4" refreshError="1">
        <row r="92">
          <cell r="F92">
            <v>1.2760416666824312</v>
          </cell>
        </row>
      </sheetData>
      <sheetData sheetId="5" refreshError="1">
        <row r="175">
          <cell r="F175">
            <v>2.6302083333357587</v>
          </cell>
        </row>
      </sheetData>
      <sheetData sheetId="6" refreshError="1">
        <row r="54">
          <cell r="F54">
            <v>0.59895833331756876</v>
          </cell>
        </row>
      </sheetData>
      <sheetData sheetId="7" refreshError="1">
        <row r="52">
          <cell r="F52">
            <v>0.63368055554747116</v>
          </cell>
        </row>
      </sheetData>
      <sheetData sheetId="8" refreshError="1">
        <row r="59">
          <cell r="F59">
            <v>0.94097222221171251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9"/>
      <sheetName val="Arimbi Baruna"/>
      <sheetName val="Rong Yuan"/>
      <sheetName val="Zheng Jie "/>
      <sheetName val="Dewi Parwati"/>
      <sheetName val="Cape Star"/>
      <sheetName val="CHANG SHENG"/>
    </sheetNames>
    <sheetDataSet>
      <sheetData sheetId="0" refreshError="1"/>
      <sheetData sheetId="1" refreshError="1">
        <row r="108">
          <cell r="F108">
            <v>1.3906249999769595</v>
          </cell>
        </row>
      </sheetData>
      <sheetData sheetId="2" refreshError="1">
        <row r="48">
          <cell r="F48">
            <v>0.91666666666787933</v>
          </cell>
        </row>
      </sheetData>
      <sheetData sheetId="3" refreshError="1">
        <row r="56">
          <cell r="F56">
            <v>1.1284722222080745</v>
          </cell>
        </row>
      </sheetData>
      <sheetData sheetId="4" refreshError="1">
        <row r="79">
          <cell r="F79">
            <v>1.3489583333430346</v>
          </cell>
        </row>
      </sheetData>
      <sheetData sheetId="5" refreshError="1">
        <row r="45">
          <cell r="F45">
            <v>6.9444444452528842E-3</v>
          </cell>
        </row>
      </sheetData>
      <sheetData sheetId="6" refreshError="1">
        <row r="108">
          <cell r="F108">
            <v>2.0364583333527357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SEACON 9"/>
      <sheetName val="MALAKAND"/>
      <sheetName val="BOTTIGLIERI SOPHIE GREEN"/>
      <sheetName val="SHAO SHAN 1"/>
      <sheetName val="YM RIGHTNESS"/>
      <sheetName val="LOWLAND PHOENIX"/>
      <sheetName val="NENG YUAN"/>
      <sheetName val="SUNLIGHT"/>
      <sheetName val="TW JIANGSU"/>
      <sheetName val="ETERNAL RESOURCE"/>
    </sheetNames>
    <sheetDataSet>
      <sheetData sheetId="0" refreshError="1"/>
      <sheetData sheetId="1" refreshError="1">
        <row r="108">
          <cell r="F108">
            <v>1.671875000007276</v>
          </cell>
        </row>
      </sheetData>
      <sheetData sheetId="2" refreshError="1">
        <row r="93">
          <cell r="F93">
            <v>1.0017361111131322</v>
          </cell>
        </row>
      </sheetData>
      <sheetData sheetId="3" refreshError="1">
        <row r="141">
          <cell r="F141">
            <v>3.656249999992724</v>
          </cell>
        </row>
      </sheetData>
      <sheetData sheetId="4" refreshError="1">
        <row r="66">
          <cell r="F66">
            <v>0.82291666666424135</v>
          </cell>
        </row>
      </sheetData>
      <sheetData sheetId="5" refreshError="1">
        <row r="62">
          <cell r="F62">
            <v>0.51736111111677019</v>
          </cell>
        </row>
      </sheetData>
      <sheetData sheetId="6" refreshError="1">
        <row r="118">
          <cell r="F118">
            <v>1.7968750000145519</v>
          </cell>
        </row>
      </sheetData>
      <sheetData sheetId="7" refreshError="1">
        <row r="87">
          <cell r="F87">
            <v>1.3229166666715173</v>
          </cell>
        </row>
      </sheetData>
      <sheetData sheetId="8" refreshError="1">
        <row r="75">
          <cell r="F75">
            <v>1.0156249999818101</v>
          </cell>
        </row>
      </sheetData>
      <sheetData sheetId="9" refreshError="1">
        <row r="85">
          <cell r="F85">
            <v>1.1284722222153505</v>
          </cell>
        </row>
      </sheetData>
      <sheetData sheetId="10" refreshError="1">
        <row r="31">
          <cell r="F31">
            <v>0.27777777778101154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9"/>
      <sheetName val="ZHENG JIE"/>
      <sheetName val="NS NINGBO"/>
      <sheetName val="NS NINGBO 2"/>
      <sheetName val="TAIPOWER PROSPERITY II"/>
      <sheetName val="TUO FU 11"/>
      <sheetName val="XIN DONG GUAN 3"/>
      <sheetName val="XIN TANG SHAN HAI 1"/>
      <sheetName val="TAIPOWER PROSPERITY VI"/>
      <sheetName val="PEDHOULAS CHERRY"/>
    </sheetNames>
    <sheetDataSet>
      <sheetData sheetId="0" refreshError="1"/>
      <sheetData sheetId="1" refreshError="1">
        <row r="77">
          <cell r="F77">
            <v>1.031249999992724</v>
          </cell>
        </row>
      </sheetData>
      <sheetData sheetId="2" refreshError="1">
        <row r="40">
          <cell r="F40">
            <v>0.33159722222626442</v>
          </cell>
        </row>
      </sheetData>
      <sheetData sheetId="3" refreshError="1">
        <row r="60">
          <cell r="F60">
            <v>0.70659722221898846</v>
          </cell>
        </row>
      </sheetData>
      <sheetData sheetId="4" refreshError="1">
        <row r="45">
          <cell r="F45">
            <v>0.36805555556566105</v>
          </cell>
        </row>
      </sheetData>
      <sheetData sheetId="5" refreshError="1">
        <row r="36">
          <cell r="F36">
            <v>0.22743055555110914</v>
          </cell>
        </row>
      </sheetData>
      <sheetData sheetId="6" refreshError="1">
        <row r="95">
          <cell r="F95">
            <v>1.2569444444452529</v>
          </cell>
        </row>
      </sheetData>
      <sheetData sheetId="7" refreshError="1">
        <row r="93">
          <cell r="F93">
            <v>1.5729166666751553</v>
          </cell>
        </row>
      </sheetData>
      <sheetData sheetId="8" refreshError="1">
        <row r="124">
          <cell r="F124">
            <v>1.8541666666448389</v>
          </cell>
        </row>
      </sheetData>
      <sheetData sheetId="9" refreshError="1">
        <row r="57">
          <cell r="F57">
            <v>0.67187500000363798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9"/>
      <sheetName val="THREE STARS"/>
      <sheetName val="NENG YUAN"/>
      <sheetName val="TAIPOWER PROSPERITY VI"/>
      <sheetName val="JIAN QIN"/>
      <sheetName val="CHINA ENERGY"/>
      <sheetName val="TUO FU 11"/>
      <sheetName val="YI HUI"/>
      <sheetName val="CHANG SHENG"/>
      <sheetName val="TAIPOWER PROSPERITY VIII"/>
    </sheetNames>
    <sheetDataSet>
      <sheetData sheetId="0" refreshError="1"/>
      <sheetData sheetId="1" refreshError="1">
        <row r="93">
          <cell r="F93">
            <v>1.2361111111167702</v>
          </cell>
        </row>
      </sheetData>
      <sheetData sheetId="2" refreshError="1">
        <row r="55">
          <cell r="F55">
            <v>0.69791666666424135</v>
          </cell>
        </row>
      </sheetData>
      <sheetData sheetId="3" refreshError="1">
        <row r="146">
          <cell r="F146">
            <v>1.6979166666593908</v>
          </cell>
        </row>
      </sheetData>
      <sheetData sheetId="4" refreshError="1">
        <row r="58">
          <cell r="F58">
            <v>0.62847222222626442</v>
          </cell>
        </row>
      </sheetData>
      <sheetData sheetId="5" refreshError="1">
        <row r="107">
          <cell r="F107">
            <v>1.4895833333321207</v>
          </cell>
        </row>
      </sheetData>
      <sheetData sheetId="6" refreshError="1">
        <row r="51">
          <cell r="F51">
            <v>0.72395833333939663</v>
          </cell>
        </row>
      </sheetData>
      <sheetData sheetId="7" refreshError="1">
        <row r="74">
          <cell r="F74">
            <v>0.86805555555474712</v>
          </cell>
        </row>
      </sheetData>
      <sheetData sheetId="8" refreshError="1">
        <row r="82">
          <cell r="F82">
            <v>1.0208333333248447</v>
          </cell>
        </row>
      </sheetData>
      <sheetData sheetId="9" refreshError="1">
        <row r="126">
          <cell r="F126">
            <v>1.7673611111240461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ust 2019"/>
      <sheetName val="CEMTEX HUNTER"/>
      <sheetName val="TAIPOWER PROSPERITY VII"/>
      <sheetName val="CHANG SHENG"/>
      <sheetName val="MINERAL DRAGON"/>
    </sheetNames>
    <sheetDataSet>
      <sheetData sheetId="0" refreshError="1"/>
      <sheetData sheetId="1" refreshError="1">
        <row r="114">
          <cell r="F114">
            <v>1.7795138888977817</v>
          </cell>
        </row>
      </sheetData>
      <sheetData sheetId="2" refreshError="1">
        <row r="155">
          <cell r="F155">
            <v>1.8090277777616091</v>
          </cell>
        </row>
      </sheetData>
      <sheetData sheetId="3" refreshError="1">
        <row r="75">
          <cell r="F75">
            <v>1.0381944444440403</v>
          </cell>
        </row>
      </sheetData>
      <sheetData sheetId="4" refreshError="1">
        <row r="114">
          <cell r="F114">
            <v>1.7690972222044365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ember 2019"/>
      <sheetName val="TAIPOWER PROSPERITY II"/>
      <sheetName val="OCEAN APHRODITE"/>
      <sheetName val="BEST TRADER"/>
      <sheetName val="GOOD LUCK"/>
    </sheetNames>
    <sheetDataSet>
      <sheetData sheetId="0" refreshError="1"/>
      <sheetData sheetId="1" refreshError="1">
        <row r="49">
          <cell r="F49">
            <v>0.64409722221898846</v>
          </cell>
        </row>
      </sheetData>
      <sheetData sheetId="2" refreshError="1">
        <row r="137">
          <cell r="F137">
            <v>1.5746527777737356</v>
          </cell>
        </row>
      </sheetData>
      <sheetData sheetId="3" refreshError="1">
        <row r="83">
          <cell r="F83">
            <v>1.1197916666678793</v>
          </cell>
        </row>
      </sheetData>
      <sheetData sheetId="4" refreshError="1">
        <row r="78">
          <cell r="F78">
            <v>0.92013888888322981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ember 2019"/>
      <sheetName val="TAIPOWER PROSPERITY II"/>
      <sheetName val="OCEAN APHRODITE"/>
      <sheetName val="BEST TRADER"/>
      <sheetName val="GOOD LUCK"/>
      <sheetName val="CHANG SHE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4">
          <cell r="F94">
            <v>1.3420138888905058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19"/>
      <sheetName val="GUANG XIN"/>
      <sheetName val="SINOCHART BEIJING"/>
      <sheetName val="TEN SPRING"/>
      <sheetName val="YUE DIAN 82"/>
      <sheetName val="TTM HOPE"/>
      <sheetName val="MILAGRO"/>
    </sheetNames>
    <sheetDataSet>
      <sheetData sheetId="0" refreshError="1"/>
      <sheetData sheetId="1" refreshError="1">
        <row r="61">
          <cell r="F61">
            <v>0.86979166667515528</v>
          </cell>
        </row>
      </sheetData>
      <sheetData sheetId="2" refreshError="1">
        <row r="112">
          <cell r="F112">
            <v>1.4965277777628216</v>
          </cell>
        </row>
      </sheetData>
      <sheetData sheetId="3" refreshError="1">
        <row r="113">
          <cell r="F113">
            <v>1.5920138889086957</v>
          </cell>
        </row>
      </sheetData>
      <sheetData sheetId="4" refreshError="1">
        <row r="114">
          <cell r="F114">
            <v>1.1614583333393966</v>
          </cell>
        </row>
      </sheetData>
      <sheetData sheetId="5" refreshError="1">
        <row r="72">
          <cell r="F72">
            <v>0.82465277777373558</v>
          </cell>
        </row>
      </sheetData>
      <sheetData sheetId="6" refreshError="1">
        <row r="68">
          <cell r="F68">
            <v>0.77118055557366461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9"/>
      <sheetName val="BEST UNITY"/>
      <sheetName val="WOOYANG FRIEND"/>
      <sheetName val="TAI HANG 8"/>
      <sheetName val="XING BAO"/>
      <sheetName val="OCEAN PRIDE"/>
    </sheetNames>
    <sheetDataSet>
      <sheetData sheetId="0" refreshError="1"/>
      <sheetData sheetId="1" refreshError="1">
        <row r="68">
          <cell r="F68">
            <v>0.7204861110985803</v>
          </cell>
        </row>
      </sheetData>
      <sheetData sheetId="2" refreshError="1">
        <row r="108">
          <cell r="F108">
            <v>1.435763888914759</v>
          </cell>
        </row>
      </sheetData>
      <sheetData sheetId="3" refreshError="1">
        <row r="102">
          <cell r="F102">
            <v>1.1961805555571725</v>
          </cell>
        </row>
      </sheetData>
      <sheetData sheetId="4" refreshError="1">
        <row r="109">
          <cell r="F109">
            <v>1.3072916666884946</v>
          </cell>
        </row>
      </sheetData>
      <sheetData sheetId="5" refreshError="1">
        <row r="44">
          <cell r="F44">
            <v>0.55555555555838509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9"/>
      <sheetName val="KARTINI BARUNA"/>
      <sheetName val="JIN ZHU HAI"/>
      <sheetName val="ARISTIDIS"/>
    </sheetNames>
    <sheetDataSet>
      <sheetData sheetId="0" refreshError="1"/>
      <sheetData sheetId="1" refreshError="1">
        <row r="122">
          <cell r="F122">
            <v>1.418402777765247</v>
          </cell>
        </row>
      </sheetData>
      <sheetData sheetId="2" refreshError="1">
        <row r="129">
          <cell r="F129">
            <v>1.6006944444331264</v>
          </cell>
        </row>
      </sheetData>
      <sheetData sheetId="3" refreshError="1">
        <row r="138">
          <cell r="F138">
            <v>1.7690972222177759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RUI NING 22"/>
      <sheetName val="TWIN DRAGON"/>
    </sheetNames>
    <sheetDataSet>
      <sheetData sheetId="0" refreshError="1"/>
      <sheetData sheetId="1" refreshError="1">
        <row r="43">
          <cell r="F43">
            <v>0.46180555556202307</v>
          </cell>
        </row>
      </sheetData>
      <sheetData sheetId="2" refreshError="1">
        <row r="54">
          <cell r="F54">
            <v>0.64756944444525288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RUI NING 22"/>
      <sheetName val="TWIN DRAGON"/>
      <sheetName val="TAIPOWER PROSPERITY VI"/>
      <sheetName val="SEA EMPIRE"/>
      <sheetName val="GLORIEVER"/>
      <sheetName val="NAN XIN 27"/>
    </sheetNames>
    <sheetDataSet>
      <sheetData sheetId="0" refreshError="1"/>
      <sheetData sheetId="1" refreshError="1"/>
      <sheetData sheetId="2" refreshError="1"/>
      <sheetData sheetId="3" refreshError="1">
        <row r="151">
          <cell r="F151">
            <v>1.5937500000133393</v>
          </cell>
        </row>
      </sheetData>
      <sheetData sheetId="4" refreshError="1">
        <row r="55">
          <cell r="F55">
            <v>0.80729166666424135</v>
          </cell>
        </row>
      </sheetData>
      <sheetData sheetId="5" refreshError="1">
        <row r="116">
          <cell r="F116">
            <v>1.6684027777519077</v>
          </cell>
        </row>
      </sheetData>
      <sheetData sheetId="6" refreshError="1">
        <row r="85">
          <cell r="F85">
            <v>0.99305555557172431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"/>
      <sheetName val="TAIPOWER PROSPERITY VI"/>
      <sheetName val="YUE DIAN 6"/>
      <sheetName val="YUE DIAN 82"/>
      <sheetName val="KM SYDNEY"/>
    </sheetNames>
    <sheetDataSet>
      <sheetData sheetId="0" refreshError="1"/>
      <sheetData sheetId="1" refreshError="1">
        <row r="123">
          <cell r="F123">
            <v>1.7430555555571725</v>
          </cell>
        </row>
      </sheetData>
      <sheetData sheetId="2" refreshError="1">
        <row r="114">
          <cell r="F114">
            <v>1.3628472222359658</v>
          </cell>
        </row>
      </sheetData>
      <sheetData sheetId="3" refreshError="1">
        <row r="106">
          <cell r="F106">
            <v>1.3177083333309081</v>
          </cell>
        </row>
      </sheetData>
      <sheetData sheetId="4" refreshError="1">
        <row r="117">
          <cell r="F117">
            <v>1.4531250000242533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0"/>
      <sheetName val="CHANG MING"/>
      <sheetName val="SANTARLI"/>
      <sheetName val="LUCKY JASON"/>
      <sheetName val="HUAYANG PIONEER"/>
    </sheetNames>
    <sheetDataSet>
      <sheetData sheetId="0" refreshError="1"/>
      <sheetData sheetId="1" refreshError="1">
        <row r="103">
          <cell r="F103">
            <v>1.4010416666412009</v>
          </cell>
        </row>
      </sheetData>
      <sheetData sheetId="2" refreshError="1">
        <row r="122">
          <cell r="F122">
            <v>1.3861111111060989</v>
          </cell>
        </row>
      </sheetData>
      <sheetData sheetId="3" refreshError="1">
        <row r="109">
          <cell r="F109">
            <v>1.473958333352736</v>
          </cell>
        </row>
      </sheetData>
      <sheetData sheetId="4" refreshError="1">
        <row r="99">
          <cell r="F99">
            <v>1.355902777776161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0"/>
      <sheetName val="JK HONGKONG "/>
      <sheetName val="WEI QIN"/>
      <sheetName val="YU LIN HAI"/>
      <sheetName val="KM SYDNEY"/>
    </sheetNames>
    <sheetDataSet>
      <sheetData sheetId="0" refreshError="1"/>
      <sheetData sheetId="1" refreshError="1">
        <row r="162">
          <cell r="F162">
            <v>1.395833333352736</v>
          </cell>
        </row>
      </sheetData>
      <sheetData sheetId="2" refreshError="1">
        <row r="96">
          <cell r="F96">
            <v>0.95833333331635606</v>
          </cell>
        </row>
      </sheetData>
      <sheetData sheetId="3" refreshError="1">
        <row r="53">
          <cell r="F53">
            <v>0.56250000001091394</v>
          </cell>
        </row>
      </sheetData>
      <sheetData sheetId="4" refreshError="1">
        <row r="81">
          <cell r="F81">
            <v>1.0434027777773736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0"/>
      <sheetName val="OCEAN TREASURE"/>
      <sheetName val="XIE HAI FA ZHAN"/>
      <sheetName val="YUE DIAN 82"/>
      <sheetName val="TAIPOWER PROSPERITY II"/>
      <sheetName val="WU ZHOU 8"/>
      <sheetName val="SWEET LYDIA"/>
    </sheetNames>
    <sheetDataSet>
      <sheetData sheetId="0" refreshError="1"/>
      <sheetData sheetId="1" refreshError="1">
        <row r="114">
          <cell r="F114">
            <v>1.1909722222359658</v>
          </cell>
        </row>
      </sheetData>
      <sheetData sheetId="2" refreshError="1">
        <row r="140">
          <cell r="F140">
            <v>1.809027777776161</v>
          </cell>
        </row>
      </sheetData>
      <sheetData sheetId="3" refreshError="1">
        <row r="96">
          <cell r="F96">
            <v>1.0416666666666667</v>
          </cell>
        </row>
      </sheetData>
      <sheetData sheetId="4" refreshError="1">
        <row r="79">
          <cell r="F79">
            <v>0.94791666667030461</v>
          </cell>
        </row>
      </sheetData>
      <sheetData sheetId="5" refreshError="1">
        <row r="115">
          <cell r="F115">
            <v>1.2968749999878735</v>
          </cell>
        </row>
      </sheetData>
      <sheetData sheetId="6" refreshError="1">
        <row r="137">
          <cell r="F137">
            <v>1.3940972222214139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"/>
      <sheetName val="YUE DIAN 82"/>
      <sheetName val="FLAG TOM"/>
      <sheetName val="CEMTEX LEADER"/>
      <sheetName val="OCEAN RHEA"/>
    </sheetNames>
    <sheetDataSet>
      <sheetData sheetId="0" refreshError="1"/>
      <sheetData sheetId="1" refreshError="1">
        <row r="88">
          <cell r="F88">
            <v>0.86979166666666663</v>
          </cell>
        </row>
      </sheetData>
      <sheetData sheetId="2" refreshError="1">
        <row r="71">
          <cell r="F71">
            <v>2.1840277777810115</v>
          </cell>
        </row>
        <row r="116">
          <cell r="F116">
            <v>1.3819444444440403</v>
          </cell>
        </row>
      </sheetData>
      <sheetData sheetId="3" refreshError="1">
        <row r="97">
          <cell r="F97">
            <v>1.168402777765247</v>
          </cell>
        </row>
      </sheetData>
      <sheetData sheetId="4" refreshError="1">
        <row r="65">
          <cell r="F65">
            <v>0.78819444443797693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"/>
      <sheetName val="DUTA AZZAM "/>
      <sheetName val="AQUAKATANA"/>
      <sheetName val="YUE DIAN 81"/>
      <sheetName val="HONG MERIT"/>
      <sheetName val="W RAPTOR"/>
      <sheetName val="BK ALICE"/>
      <sheetName val="CEMTEX RENAISSANCE"/>
    </sheetNames>
    <sheetDataSet>
      <sheetData sheetId="0" refreshError="1"/>
      <sheetData sheetId="1" refreshError="1">
        <row r="120">
          <cell r="F120">
            <v>1.4756944444695062</v>
          </cell>
        </row>
      </sheetData>
      <sheetData sheetId="2" refreshError="1">
        <row r="104">
          <cell r="F104">
            <v>1.2656250000133393</v>
          </cell>
        </row>
      </sheetData>
      <sheetData sheetId="3" refreshError="1">
        <row r="74">
          <cell r="F74">
            <v>0.7656249999987873</v>
          </cell>
        </row>
      </sheetData>
      <sheetData sheetId="4" refreshError="1">
        <row r="75">
          <cell r="F75">
            <v>0.76562500000242528</v>
          </cell>
        </row>
      </sheetData>
      <sheetData sheetId="5" refreshError="1">
        <row r="70">
          <cell r="F70">
            <v>0.78993055558263825</v>
          </cell>
        </row>
      </sheetData>
      <sheetData sheetId="6" refreshError="1">
        <row r="126">
          <cell r="F126">
            <v>1.5104166666775807</v>
          </cell>
        </row>
      </sheetData>
      <sheetData sheetId="7" refreshError="1">
        <row r="139">
          <cell r="F139">
            <v>1.8125000000133393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"/>
      <sheetName val="KONSTANTINOUS II"/>
      <sheetName val="ADONIS"/>
      <sheetName val="SAKIZAYA POWER"/>
      <sheetName val="GLORIEVER"/>
      <sheetName val="CLAIRE Z"/>
      <sheetName val="NINGBO INNOVATION"/>
    </sheetNames>
    <sheetDataSet>
      <sheetData sheetId="0" refreshError="1"/>
      <sheetData sheetId="1" refreshError="1">
        <row r="104">
          <cell r="F104">
            <v>1.2569444444513163</v>
          </cell>
        </row>
      </sheetData>
      <sheetData sheetId="2" refreshError="1">
        <row r="116">
          <cell r="F116">
            <v>1.7187499999915115</v>
          </cell>
        </row>
      </sheetData>
      <sheetData sheetId="3" refreshError="1">
        <row r="68">
          <cell r="F68">
            <v>0.83159722221049981</v>
          </cell>
        </row>
      </sheetData>
      <sheetData sheetId="4" refreshError="1">
        <row r="95">
          <cell r="F95">
            <v>1.3194444444476783</v>
          </cell>
        </row>
      </sheetData>
      <sheetData sheetId="5" refreshError="1">
        <row r="80">
          <cell r="F80">
            <v>1.0624999999878735</v>
          </cell>
        </row>
      </sheetData>
      <sheetData sheetId="6" refreshError="1">
        <row r="119">
          <cell r="F119">
            <v>1.4184027777834369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0"/>
      <sheetName val="ZHONG LIAN SI FANG"/>
      <sheetName val="POS LOGISTICS 1"/>
      <sheetName val="YUE DIAN 82"/>
      <sheetName val="MANALAGI PRITA"/>
      <sheetName val="BON VOYAGE"/>
      <sheetName val="TAIPOWER PROSPERITY VII"/>
    </sheetNames>
    <sheetDataSet>
      <sheetData sheetId="0" refreshError="1"/>
      <sheetData sheetId="1" refreshError="1">
        <row r="53">
          <cell r="F53">
            <v>0.57291666666666663</v>
          </cell>
        </row>
      </sheetData>
      <sheetData sheetId="2" refreshError="1">
        <row r="66">
          <cell r="F66">
            <v>0.7361111110985803</v>
          </cell>
        </row>
      </sheetData>
      <sheetData sheetId="3" refreshError="1">
        <row r="56">
          <cell r="F56">
            <v>0.66493055556202307</v>
          </cell>
        </row>
      </sheetData>
      <sheetData sheetId="4" refreshError="1">
        <row r="47">
          <cell r="F47">
            <v>0.56944444444161491</v>
          </cell>
        </row>
      </sheetData>
      <sheetData sheetId="5" refreshError="1">
        <row r="53">
          <cell r="F53">
            <v>0.61458333333575865</v>
          </cell>
        </row>
      </sheetData>
      <sheetData sheetId="6" refreshError="1">
        <row r="104">
          <cell r="F104">
            <v>1.3975694444440403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9"/>
      <sheetName val="SURYAWATI"/>
      <sheetName val="CAPE RACE"/>
      <sheetName val="KARTINI SAMUDERA"/>
      <sheetName val="CORONA LIONS"/>
      <sheetName val="KARUNIA"/>
      <sheetName val="SHAO SHAN 6"/>
      <sheetName val="CHANDRA KIRANA"/>
      <sheetName val="SPRING WEALTH"/>
      <sheetName val="CEMTEX VENTURE"/>
    </sheetNames>
    <sheetDataSet>
      <sheetData sheetId="0" refreshError="1"/>
      <sheetData sheetId="1" refreshError="1">
        <row r="120">
          <cell r="F120">
            <v>1.3854166666666667</v>
          </cell>
        </row>
      </sheetData>
      <sheetData sheetId="2" refreshError="1">
        <row r="152">
          <cell r="F152">
            <v>1.9236111110755398</v>
          </cell>
        </row>
      </sheetData>
      <sheetData sheetId="3" refreshError="1">
        <row r="56">
          <cell r="F56">
            <v>0.8090277777700976</v>
          </cell>
        </row>
      </sheetData>
      <sheetData sheetId="4" refreshError="1">
        <row r="99">
          <cell r="F99">
            <v>1.2395833333199942</v>
          </cell>
        </row>
      </sheetData>
      <sheetData sheetId="5" refreshError="1">
        <row r="117">
          <cell r="F117">
            <v>1.5069444444331264</v>
          </cell>
        </row>
      </sheetData>
      <sheetData sheetId="6" refreshError="1">
        <row r="116">
          <cell r="F116">
            <v>1.1006944444112985</v>
          </cell>
        </row>
      </sheetData>
      <sheetData sheetId="7" refreshError="1">
        <row r="105">
          <cell r="F105">
            <v>1.4045138888929312</v>
          </cell>
        </row>
      </sheetData>
      <sheetData sheetId="8" refreshError="1">
        <row r="109">
          <cell r="F109">
            <v>1.6163194444440403</v>
          </cell>
        </row>
      </sheetData>
      <sheetData sheetId="9" refreshError="1">
        <row r="119">
          <cell r="F119">
            <v>1.6249999999987874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"/>
      <sheetName val="ALAM KUASA"/>
      <sheetName val="HC SUNSHINE"/>
      <sheetName val="TAIPOWER PROSPERITY VII"/>
      <sheetName val="YUE DIAN 9"/>
      <sheetName val="HC SUNSHINE 2"/>
      <sheetName val="DUTA AZZAM"/>
    </sheetNames>
    <sheetDataSet>
      <sheetData sheetId="0" refreshError="1"/>
      <sheetData sheetId="1" refreshError="1">
        <row r="43">
          <cell r="F43">
            <v>0.55729166666424135</v>
          </cell>
        </row>
      </sheetData>
      <sheetData sheetId="2" refreshError="1">
        <row r="106">
          <cell r="F106">
            <v>1.5208333333127182</v>
          </cell>
        </row>
      </sheetData>
      <sheetData sheetId="3" refreshError="1">
        <row r="136">
          <cell r="F136">
            <v>1.9062500000060634</v>
          </cell>
        </row>
      </sheetData>
      <sheetData sheetId="4" refreshError="1">
        <row r="114">
          <cell r="F114">
            <v>1.3628472222396038</v>
          </cell>
        </row>
      </sheetData>
      <sheetData sheetId="5" refreshError="1">
        <row r="74">
          <cell r="F74">
            <v>0.93749999998181011</v>
          </cell>
        </row>
      </sheetData>
      <sheetData sheetId="6" refreshError="1">
        <row r="114">
          <cell r="F114">
            <v>1.6805555555535345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"/>
      <sheetName val="YUE DIAN 8"/>
      <sheetName val="YANGZE 10"/>
      <sheetName val="NINGBO ONNOVATION"/>
      <sheetName val="YASA TEAM"/>
      <sheetName val="TAIPOWER PROSPERITY VII"/>
    </sheetNames>
    <sheetDataSet>
      <sheetData sheetId="0" refreshError="1"/>
      <sheetData sheetId="1" refreshError="1">
        <row r="116">
          <cell r="F116">
            <v>1.3749999999878735</v>
          </cell>
        </row>
      </sheetData>
      <sheetData sheetId="2" refreshError="1">
        <row r="88">
          <cell r="F88">
            <v>1.0468749999805975</v>
          </cell>
        </row>
      </sheetData>
      <sheetData sheetId="3" refreshError="1">
        <row r="60">
          <cell r="F60">
            <v>0.79687500000606326</v>
          </cell>
        </row>
      </sheetData>
      <sheetData sheetId="4" refreshError="1">
        <row r="64">
          <cell r="F64">
            <v>0.85763888888929307</v>
          </cell>
        </row>
      </sheetData>
      <sheetData sheetId="5" refreshError="1">
        <row r="87">
          <cell r="F87">
            <v>1.121527777776161</v>
          </cell>
        </row>
      </sheetData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"/>
      <sheetName val="PANAMAX OSTRIA"/>
      <sheetName val="ANDHIKA NARESWARI"/>
      <sheetName val="FEYHA"/>
      <sheetName val="THERESA SHANDONG"/>
      <sheetName val="XING MENG XIANG"/>
      <sheetName val="MARGRETH PISSAREK"/>
      <sheetName val="Recap Oct 20"/>
    </sheetNames>
    <sheetDataSet>
      <sheetData sheetId="0" refreshError="1"/>
      <sheetData sheetId="1" refreshError="1">
        <row r="118">
          <cell r="F118">
            <v>1.5781249999951494</v>
          </cell>
        </row>
      </sheetData>
      <sheetData sheetId="2" refreshError="1">
        <row r="128">
          <cell r="F128">
            <v>1.3576388888892932</v>
          </cell>
        </row>
      </sheetData>
      <sheetData sheetId="3" refreshError="1">
        <row r="60">
          <cell r="F60">
            <v>0.63541666666060337</v>
          </cell>
        </row>
      </sheetData>
      <sheetData sheetId="4" refreshError="1">
        <row r="62">
          <cell r="F62">
            <v>0.75347222223354038</v>
          </cell>
        </row>
      </sheetData>
      <sheetData sheetId="5" refreshError="1">
        <row r="72">
          <cell r="F72">
            <v>0.84722222223960364</v>
          </cell>
        </row>
      </sheetData>
      <sheetData sheetId="6" refreshError="1">
        <row r="65">
          <cell r="F65">
            <v>0.71875000001333922</v>
          </cell>
        </row>
      </sheetData>
      <sheetData sheetId="7" refreshError="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"/>
      <sheetName val="CEMTEX HUNTER"/>
      <sheetName val="CAPE BRITANNIA"/>
      <sheetName val="GIORGIS"/>
    </sheetNames>
    <sheetDataSet>
      <sheetData sheetId="0" refreshError="1"/>
      <sheetData sheetId="1" refreshError="1">
        <row r="124">
          <cell r="F124">
            <v>1.5885416666593908</v>
          </cell>
        </row>
      </sheetData>
      <sheetData sheetId="2" refreshError="1">
        <row r="171">
          <cell r="F171">
            <v>2.1996527777506949</v>
          </cell>
        </row>
      </sheetData>
      <sheetData sheetId="3" refreshError="1">
        <row r="123">
          <cell r="F123">
            <v>1.5104166666703047</v>
          </cell>
        </row>
      </sheetData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1"/>
      <sheetName val="XING BAO"/>
      <sheetName val="PAN FLOWER"/>
      <sheetName val="CUI PING FENG"/>
      <sheetName val="TAHO AUSTRALIA"/>
      <sheetName val="ZHENG HAO"/>
    </sheetNames>
    <sheetDataSet>
      <sheetData sheetId="0" refreshError="1"/>
      <sheetData sheetId="1" refreshError="1">
        <row r="125">
          <cell r="F125">
            <v>1.2916666666703047</v>
          </cell>
        </row>
      </sheetData>
      <sheetData sheetId="2" refreshError="1">
        <row r="67">
          <cell r="F67">
            <v>0.72916666667030461</v>
          </cell>
        </row>
      </sheetData>
      <sheetData sheetId="3" refreshError="1">
        <row r="117">
          <cell r="F117">
            <v>1.364583333338184</v>
          </cell>
        </row>
      </sheetData>
      <sheetData sheetId="4" refreshError="1">
        <row r="145">
          <cell r="F145">
            <v>1.4062499999733216</v>
          </cell>
        </row>
      </sheetData>
      <sheetData sheetId="5" refreshError="1">
        <row r="73">
          <cell r="F73">
            <v>0.77777777777616086</v>
          </cell>
        </row>
      </sheetData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1"/>
      <sheetName val="NAN XIN 27"/>
      <sheetName val="KM SYDNEY"/>
      <sheetName val="FORTUNA"/>
      <sheetName val="CHANG MING"/>
    </sheetNames>
    <sheetDataSet>
      <sheetData sheetId="0" refreshError="1"/>
      <sheetData sheetId="1" refreshError="1">
        <row r="66">
          <cell r="F66">
            <v>0.66319444444040221</v>
          </cell>
        </row>
      </sheetData>
      <sheetData sheetId="2" refreshError="1">
        <row r="81">
          <cell r="F81">
            <v>0.86458333334909787</v>
          </cell>
        </row>
      </sheetData>
      <sheetData sheetId="3" refreshError="1">
        <row r="101">
          <cell r="F101">
            <v>1.0572916666703047</v>
          </cell>
        </row>
      </sheetData>
      <sheetData sheetId="4" refreshError="1">
        <row r="86">
          <cell r="F86">
            <v>1.1753472222250518</v>
          </cell>
        </row>
      </sheetData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1"/>
      <sheetName val="CEMTEX RAINESSANCE"/>
      <sheetName val="SWEET VENUS"/>
      <sheetName val="TAIPOWER PROSPERITY VII"/>
      <sheetName val="YUE DIAN 81"/>
      <sheetName val="STAR APHRODITE"/>
      <sheetName val="ANDHIKA KHANISKA"/>
    </sheetNames>
    <sheetDataSet>
      <sheetData sheetId="0" refreshError="1"/>
      <sheetData sheetId="1" refreshError="1">
        <row r="92">
          <cell r="F92">
            <v>1.1076388888929312</v>
          </cell>
        </row>
      </sheetData>
      <sheetData sheetId="2" refreshError="1">
        <row r="73">
          <cell r="F73">
            <v>0.83680555554262048</v>
          </cell>
        </row>
      </sheetData>
      <sheetData sheetId="3" refreshError="1">
        <row r="92">
          <cell r="F92">
            <v>0.84548611110100558</v>
          </cell>
        </row>
      </sheetData>
      <sheetData sheetId="4" refreshError="1">
        <row r="114">
          <cell r="F114">
            <v>1.2256944444222124</v>
          </cell>
        </row>
      </sheetData>
      <sheetData sheetId="5" refreshError="1">
        <row r="128">
          <cell r="F128">
            <v>1.5052083333345461</v>
          </cell>
        </row>
      </sheetData>
      <sheetData sheetId="6" refreshError="1">
        <row r="61">
          <cell r="F61">
            <v>0.39930555555353447</v>
          </cell>
        </row>
      </sheetData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1"/>
      <sheetName val="YUE DIAN 6"/>
      <sheetName val="STAR PIERA"/>
      <sheetName val="MARAN BRILLIANCE"/>
      <sheetName val="MINERAL DESTELBERGEN"/>
      <sheetName val="KONSTANTINOS II"/>
      <sheetName val="ROBUSTO"/>
    </sheetNames>
    <sheetDataSet>
      <sheetData sheetId="0" refreshError="1"/>
      <sheetData sheetId="1" refreshError="1">
        <row r="112">
          <cell r="F112">
            <v>1.355902777772523</v>
          </cell>
        </row>
      </sheetData>
      <sheetData sheetId="2" refreshError="1">
        <row r="143">
          <cell r="F143">
            <v>1.5937499999842355</v>
          </cell>
        </row>
      </sheetData>
      <sheetData sheetId="3" refreshError="1">
        <row r="116">
          <cell r="F116">
            <v>1.4913194444476783</v>
          </cell>
        </row>
      </sheetData>
      <sheetData sheetId="4" refreshError="1">
        <row r="68">
          <cell r="F68">
            <v>0.91840277777737356</v>
          </cell>
        </row>
      </sheetData>
      <sheetData sheetId="5" refreshError="1">
        <row r="157">
          <cell r="F157">
            <v>1.4791666666703047</v>
          </cell>
        </row>
      </sheetData>
      <sheetData sheetId="6" refreshError="1">
        <row r="119">
          <cell r="F119">
            <v>1.7881944444040225</v>
          </cell>
        </row>
      </sheetData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1"/>
      <sheetName val="YUE DIAN 101"/>
      <sheetName val="GOLDEN DEB"/>
      <sheetName val="MBA GEOVANNI"/>
      <sheetName val="INDUS VICTORY"/>
      <sheetName val="YUE DIAN 101 (2)"/>
    </sheetNames>
    <sheetDataSet>
      <sheetData sheetId="0" refreshError="1"/>
      <sheetData sheetId="1" refreshError="1">
        <row r="130">
          <cell r="F130">
            <v>1.5625000000097014</v>
          </cell>
        </row>
      </sheetData>
      <sheetData sheetId="2" refreshError="1">
        <row r="145">
          <cell r="F145">
            <v>1.5416666666375629</v>
          </cell>
        </row>
      </sheetData>
      <sheetData sheetId="3" refreshError="1">
        <row r="113">
          <cell r="F113">
            <v>1.1562499999805975</v>
          </cell>
        </row>
      </sheetData>
      <sheetData sheetId="4" refreshError="1">
        <row r="152">
          <cell r="F152">
            <v>1.6180555555389826</v>
          </cell>
        </row>
      </sheetData>
      <sheetData sheetId="5" refreshError="1">
        <row r="126">
          <cell r="F126">
            <v>1.5503472222396038</v>
          </cell>
        </row>
      </sheetData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1"/>
      <sheetName val="HE YUAN"/>
      <sheetName val="MBA GIOVANNI"/>
      <sheetName val="ROSCO LITCHI"/>
      <sheetName val="SARONIC CHAMPION"/>
      <sheetName val="SEA VENUS"/>
      <sheetName val="LT OCEAN STAR"/>
      <sheetName val="HUA YANG CHUAN QI"/>
    </sheetNames>
    <sheetDataSet>
      <sheetData sheetId="0" refreshError="1"/>
      <sheetData sheetId="1" refreshError="1">
        <row r="97">
          <cell r="F97">
            <v>1.1562500000133393</v>
          </cell>
        </row>
      </sheetData>
      <sheetData sheetId="2" refreshError="1">
        <row r="135">
          <cell r="F135">
            <v>1.6788194444222124</v>
          </cell>
        </row>
      </sheetData>
      <sheetData sheetId="3" refreshError="1">
        <row r="53">
          <cell r="F53">
            <v>0.67881944442948827</v>
          </cell>
        </row>
      </sheetData>
      <sheetData sheetId="4" refreshError="1">
        <row r="54">
          <cell r="F54">
            <v>0.52604166667151731</v>
          </cell>
        </row>
      </sheetData>
      <sheetData sheetId="5" refreshError="1">
        <row r="134">
          <cell r="F134">
            <v>1.3680555555680864</v>
          </cell>
        </row>
      </sheetData>
      <sheetData sheetId="6" refreshError="1">
        <row r="99">
          <cell r="F99">
            <v>1.0763888889002071</v>
          </cell>
        </row>
      </sheetData>
      <sheetData sheetId="7" refreshError="1">
        <row r="29">
          <cell r="F29">
            <v>0.16666666666424135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ust 2019"/>
      <sheetName val="YUE DIAN 8"/>
      <sheetName val="CORONIS"/>
      <sheetName val="DEWI PARWATI"/>
      <sheetName val="SHI DAI 8"/>
      <sheetName val="TAI HANG 9"/>
      <sheetName val="RUI NING 22"/>
      <sheetName val="ZHENG HAO"/>
      <sheetName val="PERMATA CAROLINE"/>
    </sheetNames>
    <sheetDataSet>
      <sheetData sheetId="0" refreshError="1"/>
      <sheetData sheetId="1" refreshError="1">
        <row r="114">
          <cell r="F114">
            <v>1.2795138888929312</v>
          </cell>
        </row>
      </sheetData>
      <sheetData sheetId="2" refreshError="1">
        <row r="128">
          <cell r="F128">
            <v>1.8263888888674653</v>
          </cell>
        </row>
      </sheetData>
      <sheetData sheetId="3" refreshError="1">
        <row r="103">
          <cell r="F103">
            <v>1.4357638889111211</v>
          </cell>
        </row>
      </sheetData>
      <sheetData sheetId="4" refreshError="1">
        <row r="93">
          <cell r="F93">
            <v>0.88541666667394259</v>
          </cell>
        </row>
      </sheetData>
      <sheetData sheetId="5" refreshError="1">
        <row r="121">
          <cell r="F121">
            <v>1.5451388888820172</v>
          </cell>
        </row>
      </sheetData>
      <sheetData sheetId="6" refreshError="1">
        <row r="46">
          <cell r="F46">
            <v>0.57812499999636202</v>
          </cell>
        </row>
      </sheetData>
      <sheetData sheetId="7" refreshError="1">
        <row r="42">
          <cell r="F42">
            <v>0.36111111110221827</v>
          </cell>
        </row>
      </sheetData>
      <sheetData sheetId="8" refreshError="1">
        <row r="56">
          <cell r="F56">
            <v>0.62673611111313221</v>
          </cell>
        </row>
      </sheetData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1"/>
      <sheetName val="SEAPOWER II"/>
      <sheetName val="JAL VAIBHAV"/>
      <sheetName val="TRAMONTANA"/>
      <sheetName val="D SKALKEAS"/>
      <sheetName val="HUAYANG ENDEAVOUR"/>
      <sheetName val="BULK PROMISE"/>
      <sheetName val="JUPITER N"/>
    </sheetNames>
    <sheetDataSet>
      <sheetData sheetId="0" refreshError="1"/>
      <sheetData sheetId="1" refreshError="1">
        <row r="119">
          <cell r="F119">
            <v>1.2326388888929312</v>
          </cell>
        </row>
      </sheetData>
      <sheetData sheetId="2" refreshError="1">
        <row r="135">
          <cell r="F135">
            <v>1.6006944444440403</v>
          </cell>
        </row>
      </sheetData>
      <sheetData sheetId="3" refreshError="1">
        <row r="132">
          <cell r="F132">
            <v>1.6319444444476783</v>
          </cell>
        </row>
      </sheetData>
      <sheetData sheetId="4" refreshError="1">
        <row r="112">
          <cell r="F112">
            <v>1.30208333334546</v>
          </cell>
        </row>
      </sheetData>
      <sheetData sheetId="5" refreshError="1">
        <row r="79">
          <cell r="F79">
            <v>0.75000000000606326</v>
          </cell>
        </row>
      </sheetData>
      <sheetData sheetId="6" refreshError="1">
        <row r="55">
          <cell r="F55">
            <v>0.75173611110949423</v>
          </cell>
        </row>
      </sheetData>
      <sheetData sheetId="7" refreshError="1">
        <row r="141">
          <cell r="F141">
            <v>1.6111111111119196</v>
          </cell>
        </row>
      </sheetData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1"/>
      <sheetName val="CHANG SHENG"/>
      <sheetName val="PROTEAS"/>
      <sheetName val="JIN HAI QIANG"/>
      <sheetName val="CEMTEX HUNTER"/>
      <sheetName val="STAR PEACE"/>
      <sheetName val="SEA EXPRESS"/>
      <sheetName val="ELVA"/>
      <sheetName val="JIAN MING"/>
      <sheetName val="SHANDONG HAI WANG"/>
      <sheetName val="OCEAN DIAMOND"/>
      <sheetName val="GUO YUAN 16"/>
    </sheetNames>
    <sheetDataSet>
      <sheetData sheetId="0" refreshError="1"/>
      <sheetData sheetId="1" refreshError="1">
        <row r="58">
          <cell r="F58">
            <v>0.64756944444889086</v>
          </cell>
        </row>
      </sheetData>
      <sheetData sheetId="2" refreshError="1">
        <row r="78">
          <cell r="F78">
            <v>0.86979166667030461</v>
          </cell>
        </row>
      </sheetData>
      <sheetData sheetId="3" refreshError="1">
        <row r="52">
          <cell r="F52">
            <v>0.3749999999915114</v>
          </cell>
        </row>
      </sheetData>
      <sheetData sheetId="4" refreshError="1">
        <row r="105">
          <cell r="F105">
            <v>0.99826388891475892</v>
          </cell>
        </row>
      </sheetData>
      <sheetData sheetId="5" refreshError="1">
        <row r="44">
          <cell r="F44">
            <v>0.54861111110949423</v>
          </cell>
        </row>
      </sheetData>
      <sheetData sheetId="6" refreshError="1">
        <row r="52">
          <cell r="F52">
            <v>0.56249999999514932</v>
          </cell>
        </row>
      </sheetData>
      <sheetData sheetId="7" refreshError="1">
        <row r="64">
          <cell r="F64">
            <v>0.73784722222505172</v>
          </cell>
        </row>
      </sheetData>
      <sheetData sheetId="8" refreshError="1">
        <row r="48">
          <cell r="F48">
            <v>0.57986111110585625</v>
          </cell>
        </row>
      </sheetData>
      <sheetData sheetId="9" refreshError="1">
        <row r="121">
          <cell r="F121">
            <v>1.3090277777506951</v>
          </cell>
        </row>
      </sheetData>
      <sheetData sheetId="10" refreshError="1">
        <row r="47">
          <cell r="F47">
            <v>0.5</v>
          </cell>
        </row>
      </sheetData>
      <sheetData sheetId="11" refreshError="1">
        <row r="120">
          <cell r="F120">
            <v>1.402777777776161</v>
          </cell>
        </row>
      </sheetData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 21"/>
      <sheetName val="LEVANTE"/>
      <sheetName val="YARRA STAR"/>
      <sheetName val="PAN ELDORADO"/>
      <sheetName val="OCEAN DIAMOND"/>
      <sheetName val="WELPROFIT"/>
      <sheetName val="PAN TOPAZ"/>
    </sheetNames>
    <sheetDataSet>
      <sheetData sheetId="0" refreshError="1"/>
      <sheetData sheetId="1" refreshError="1">
        <row r="91">
          <cell r="F91">
            <v>1.0885416666812187</v>
          </cell>
        </row>
      </sheetData>
      <sheetData sheetId="2" refreshError="1">
        <row r="41">
          <cell r="F41">
            <v>0.26215277778101154</v>
          </cell>
        </row>
      </sheetData>
      <sheetData sheetId="3" refreshError="1">
        <row r="82">
          <cell r="F82">
            <v>0.68576388889293105</v>
          </cell>
        </row>
      </sheetData>
      <sheetData sheetId="4" refreshError="1">
        <row r="61">
          <cell r="F61">
            <v>0.74305555557900027</v>
          </cell>
        </row>
      </sheetData>
      <sheetData sheetId="5" refreshError="1">
        <row r="85">
          <cell r="F85">
            <v>0.91319444444040221</v>
          </cell>
        </row>
      </sheetData>
      <sheetData sheetId="6" refreshError="1">
        <row r="116">
          <cell r="F116">
            <v>1.449652777772523</v>
          </cell>
        </row>
      </sheetData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 21"/>
      <sheetName val="LEVANTE"/>
      <sheetName val="YARRA STAR"/>
      <sheetName val="PAN ELDORADO"/>
      <sheetName val="OCEAN DIAMOND"/>
      <sheetName val="WELPROFIT"/>
      <sheetName val="PAN TOPAZ"/>
      <sheetName val="LEVANTE (2)"/>
      <sheetName val="RUBI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26">
          <cell r="F126">
            <v>1.5781249999987874</v>
          </cell>
        </row>
      </sheetData>
      <sheetData sheetId="8" refreshError="1">
        <row r="149">
          <cell r="F149">
            <v>1.4079861111337475</v>
          </cell>
        </row>
      </sheetData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1"/>
      <sheetName val="XIANG MING"/>
      <sheetName val="URMILA"/>
      <sheetName val="MBA LIBERTY"/>
      <sheetName val="ROSEWOOD"/>
      <sheetName val="DA JIA"/>
      <sheetName val="URMILA(2)"/>
    </sheetNames>
    <sheetDataSet>
      <sheetData sheetId="0" refreshError="1"/>
      <sheetData sheetId="1" refreshError="1">
        <row r="113">
          <cell r="F113">
            <v>1.2291666666812187</v>
          </cell>
        </row>
      </sheetData>
      <sheetData sheetId="2" refreshError="1">
        <row r="129">
          <cell r="F129">
            <v>1.4236111111046437</v>
          </cell>
        </row>
      </sheetData>
      <sheetData sheetId="3" refreshError="1">
        <row r="131">
          <cell r="F131">
            <v>1.4114583333309081</v>
          </cell>
        </row>
      </sheetData>
      <sheetData sheetId="4" refreshError="1">
        <row r="149">
          <cell r="F149">
            <v>1.4947916666848566</v>
          </cell>
        </row>
      </sheetData>
      <sheetData sheetId="5" refreshError="1">
        <row r="115">
          <cell r="F115">
            <v>1.2187499999951494</v>
          </cell>
        </row>
      </sheetData>
      <sheetData sheetId="6" refreshError="1">
        <row r="134">
          <cell r="F134">
            <v>1.6822916666703047</v>
          </cell>
        </row>
      </sheetData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1"/>
      <sheetName val="KMAX LEADER"/>
      <sheetName val="TAIPOWER PROSPERITY V"/>
      <sheetName val="IKAN BELANAK"/>
      <sheetName val="CEMTEX ORIENT"/>
      <sheetName val="ANDHIKA ATHALIA"/>
    </sheetNames>
    <sheetDataSet>
      <sheetData sheetId="0" refreshError="1"/>
      <sheetData sheetId="1" refreshError="1">
        <row r="142">
          <cell r="F142">
            <v>1.4357638888892932</v>
          </cell>
        </row>
      </sheetData>
      <sheetData sheetId="2" refreshError="1">
        <row r="166">
          <cell r="F166">
            <v>1.5746527777943509</v>
          </cell>
        </row>
      </sheetData>
      <sheetData sheetId="3" refreshError="1">
        <row r="133">
          <cell r="F133">
            <v>1.3836805555680864</v>
          </cell>
        </row>
      </sheetData>
      <sheetData sheetId="4" refreshError="1">
        <row r="145">
          <cell r="F145">
            <v>1.5937500000060634</v>
          </cell>
        </row>
      </sheetData>
      <sheetData sheetId="5" refreshError="1">
        <row r="173">
          <cell r="F173">
            <v>1.1076388889002071</v>
          </cell>
        </row>
      </sheetData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1"/>
      <sheetName val="TAIPOWER PROSPERITY VI"/>
      <sheetName val="NURI BEY"/>
      <sheetName val="GOLDEN ENTERPRISE"/>
      <sheetName val="W-PEARL"/>
    </sheetNames>
    <sheetDataSet>
      <sheetData sheetId="0" refreshError="1"/>
      <sheetData sheetId="1" refreshError="1">
        <row r="152">
          <cell r="F152">
            <v>1.6545138888820172</v>
          </cell>
        </row>
      </sheetData>
      <sheetData sheetId="2" refreshError="1">
        <row r="138">
          <cell r="F138">
            <v>1.3732638888856552</v>
          </cell>
        </row>
      </sheetData>
      <sheetData sheetId="3" refreshError="1">
        <row r="133">
          <cell r="F133">
            <v>1.3506944444367643</v>
          </cell>
        </row>
      </sheetData>
      <sheetData sheetId="4" refreshError="1">
        <row r="141">
          <cell r="F141">
            <v>1.5538194444112985</v>
          </cell>
        </row>
      </sheetData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2"/>
      <sheetName val="YIN XING HU"/>
      <sheetName val="HUI XIN 8"/>
      <sheetName val="SELINA"/>
      <sheetName val="JUPITER N"/>
    </sheetNames>
    <sheetDataSet>
      <sheetData sheetId="0" refreshError="1"/>
      <sheetData sheetId="1" refreshError="1">
        <row r="114">
          <cell r="F114">
            <v>1.326388888914759</v>
          </cell>
        </row>
      </sheetData>
      <sheetData sheetId="2" refreshError="1">
        <row r="107">
          <cell r="F107">
            <v>1.3003472222177759</v>
          </cell>
        </row>
      </sheetData>
      <sheetData sheetId="3" refreshError="1">
        <row r="120">
          <cell r="F120">
            <v>1.3038194444367643</v>
          </cell>
        </row>
      </sheetData>
      <sheetData sheetId="4" refreshError="1">
        <row r="136">
          <cell r="F136">
            <v>2.8645833333563742</v>
          </cell>
        </row>
      </sheetData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2"/>
      <sheetName val="TAIPOWER PROSPERITY V"/>
      <sheetName val="CEMTEX HUNTER"/>
      <sheetName val="KMAX RULER"/>
      <sheetName val="GLEAMSTAR"/>
      <sheetName val="YUE DIAN 82"/>
      <sheetName val="SIANA"/>
    </sheetNames>
    <sheetDataSet>
      <sheetData sheetId="0" refreshError="1"/>
      <sheetData sheetId="1" refreshError="1">
        <row r="138">
          <cell r="F138">
            <v>1.5086805555608105</v>
          </cell>
        </row>
      </sheetData>
      <sheetData sheetId="2" refreshError="1">
        <row r="136">
          <cell r="F136">
            <v>1.5625000000060634</v>
          </cell>
        </row>
      </sheetData>
      <sheetData sheetId="3" refreshError="1">
        <row r="131">
          <cell r="F131">
            <v>1.4600694444476783</v>
          </cell>
        </row>
      </sheetData>
      <sheetData sheetId="4" refreshError="1">
        <row r="128">
          <cell r="F128">
            <v>1.2274305555389826</v>
          </cell>
        </row>
      </sheetData>
      <sheetData sheetId="5" refreshError="1">
        <row r="110">
          <cell r="F110">
            <v>1.1041666666703047</v>
          </cell>
        </row>
      </sheetData>
      <sheetData sheetId="6" refreshError="1">
        <row r="131">
          <cell r="F131">
            <v>1.1354166666812187</v>
          </cell>
        </row>
      </sheetData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2"/>
      <sheetName val="MANALAGI PRITA"/>
      <sheetName val="OCEAN TREASURE"/>
      <sheetName val="G B CORRADO"/>
      <sheetName val="YUE DIAN 82"/>
      <sheetName val="XIN DONG GUAN 12"/>
      <sheetName val="FUXING"/>
      <sheetName val="KARTINI SAMUDRA"/>
    </sheetNames>
    <sheetDataSet>
      <sheetData sheetId="0" refreshError="1"/>
      <sheetData sheetId="1" refreshError="1"/>
      <sheetData sheetId="2" refreshError="1">
        <row r="130">
          <cell r="F130">
            <v>1.4461805555244307</v>
          </cell>
        </row>
      </sheetData>
      <sheetData sheetId="3" refreshError="1">
        <row r="116">
          <cell r="F116">
            <v>1.2586805555717244</v>
          </cell>
        </row>
      </sheetData>
      <sheetData sheetId="4" refreshError="1">
        <row r="117">
          <cell r="F117">
            <v>1.177083333352736</v>
          </cell>
        </row>
      </sheetData>
      <sheetData sheetId="5" refreshError="1">
        <row r="116">
          <cell r="F116">
            <v>1.6927083333345461</v>
          </cell>
        </row>
      </sheetData>
      <sheetData sheetId="6" refreshError="1">
        <row r="139">
          <cell r="F139">
            <v>1.4999999999842355</v>
          </cell>
        </row>
      </sheetData>
      <sheetData sheetId="7" refreshError="1">
        <row r="159">
          <cell r="F159">
            <v>0.74826388888201711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19"/>
      <sheetName val="JK PIONEER"/>
    </sheetNames>
    <sheetDataSet>
      <sheetData sheetId="0" refreshError="1"/>
      <sheetData sheetId="1" refreshError="1">
        <row r="120">
          <cell r="F120">
            <v>1.6805555555244307</v>
          </cell>
        </row>
      </sheetData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2"/>
      <sheetName val="RONG YUAN"/>
      <sheetName val="SEA POWER II"/>
      <sheetName val="W-RAPTOR"/>
      <sheetName val="TW HAMBURG"/>
      <sheetName val="THALIA"/>
      <sheetName val="ELECTRA"/>
      <sheetName val="LUMOSO PRATAMA"/>
    </sheetNames>
    <sheetDataSet>
      <sheetData sheetId="0" refreshError="1"/>
      <sheetData sheetId="1" refreshError="1">
        <row r="117">
          <cell r="F117">
            <v>1.1631944444549542</v>
          </cell>
        </row>
      </sheetData>
      <sheetData sheetId="2" refreshError="1">
        <row r="87">
          <cell r="F87">
            <v>1.3472222222396038</v>
          </cell>
        </row>
      </sheetData>
      <sheetData sheetId="3" refreshError="1">
        <row r="61">
          <cell r="F61">
            <v>0.47048611109372968</v>
          </cell>
        </row>
      </sheetData>
      <sheetData sheetId="4" refreshError="1">
        <row r="127">
          <cell r="F127">
            <v>1.574652777765247</v>
          </cell>
        </row>
      </sheetData>
      <sheetData sheetId="5" refreshError="1">
        <row r="139">
          <cell r="F139">
            <v>1.4947916666521148</v>
          </cell>
        </row>
      </sheetData>
      <sheetData sheetId="6" refreshError="1">
        <row r="128">
          <cell r="F128">
            <v>1.4236111110937297</v>
          </cell>
        </row>
      </sheetData>
      <sheetData sheetId="7" refreshError="1">
        <row r="162">
          <cell r="F162">
            <v>1.0781250000242533</v>
          </cell>
        </row>
      </sheetData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2"/>
      <sheetName val="DUTA AZZAM"/>
      <sheetName val="KM SYDNEY"/>
      <sheetName val="PIAVIA"/>
      <sheetName val="THERESA SHANDONG"/>
    </sheetNames>
    <sheetDataSet>
      <sheetData sheetId="0" refreshError="1"/>
      <sheetData sheetId="1" refreshError="1">
        <row r="117">
          <cell r="F117">
            <v>1.3680555555680864</v>
          </cell>
        </row>
      </sheetData>
      <sheetData sheetId="2" refreshError="1">
        <row r="121">
          <cell r="F121">
            <v>1.2256944444476783</v>
          </cell>
        </row>
      </sheetData>
      <sheetData sheetId="3" refreshError="1">
        <row r="120">
          <cell r="F120">
            <v>1.5416666666666667</v>
          </cell>
        </row>
      </sheetData>
      <sheetData sheetId="4" refreshError="1">
        <row r="120">
          <cell r="F120">
            <v>1.8090277777870749</v>
          </cell>
        </row>
      </sheetData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2"/>
      <sheetName val="AMARYLLIS"/>
      <sheetName val="SEA HOPE"/>
      <sheetName val="KMAX EVDOKIA"/>
      <sheetName val="ANDHIKA NARESWARI"/>
      <sheetName val="SELINA"/>
    </sheetNames>
    <sheetDataSet>
      <sheetData sheetId="0" refreshError="1"/>
      <sheetData sheetId="1" refreshError="1">
        <row r="134">
          <cell r="F134">
            <v>1.3038194444840581</v>
          </cell>
        </row>
      </sheetData>
      <sheetData sheetId="2" refreshError="1">
        <row r="137">
          <cell r="F137">
            <v>1.230902777779799</v>
          </cell>
        </row>
      </sheetData>
      <sheetData sheetId="3" refreshError="1">
        <row r="67">
          <cell r="F67">
            <v>0.49999999999878736</v>
          </cell>
        </row>
      </sheetData>
      <sheetData sheetId="4" refreshError="1">
        <row r="179">
          <cell r="F179">
            <v>0.9565972222286897</v>
          </cell>
        </row>
      </sheetData>
      <sheetData sheetId="5" refreshError="1">
        <row r="121">
          <cell r="F121">
            <v>1.3645833333782018</v>
          </cell>
        </row>
      </sheetData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2"/>
      <sheetName val="INDUS PROSPERITY"/>
      <sheetName val="MAGIC RAINBOW "/>
      <sheetName val="VAN CONTINENT"/>
      <sheetName val="OCEAN LUCKY "/>
      <sheetName val="ANGLO MARIMAR"/>
      <sheetName val="CHOLA UNITY"/>
      <sheetName val="LUMOSO PRATAMA "/>
      <sheetName val="MANALAGI DASA"/>
    </sheetNames>
    <sheetDataSet>
      <sheetData sheetId="0" refreshError="1"/>
      <sheetData sheetId="1" refreshError="1">
        <row r="130">
          <cell r="F130">
            <v>1.4427083333018043</v>
          </cell>
        </row>
      </sheetData>
      <sheetData sheetId="2" refreshError="1">
        <row r="96">
          <cell r="F96">
            <v>1.0885416666739427</v>
          </cell>
        </row>
      </sheetData>
      <sheetData sheetId="3" refreshError="1">
        <row r="39">
          <cell r="F39">
            <v>0.25868055555474712</v>
          </cell>
        </row>
      </sheetData>
      <sheetData sheetId="4" refreshError="1">
        <row r="121">
          <cell r="F121">
            <v>1.6805555555717244</v>
          </cell>
        </row>
      </sheetData>
      <sheetData sheetId="5" refreshError="1">
        <row r="134">
          <cell r="F134">
            <v>1.5138888889038451</v>
          </cell>
        </row>
      </sheetData>
      <sheetData sheetId="6" refreshError="1">
        <row r="92">
          <cell r="F92">
            <v>0.66319444444767817</v>
          </cell>
        </row>
      </sheetData>
      <sheetData sheetId="7" refreshError="1">
        <row r="156">
          <cell r="F156">
            <v>1.0208333333345461</v>
          </cell>
        </row>
      </sheetData>
      <sheetData sheetId="8" refreshError="1">
        <row r="112">
          <cell r="F112">
            <v>1.9305555555547471</v>
          </cell>
        </row>
        <row r="113">
          <cell r="F113">
            <v>0.9062499999987873</v>
          </cell>
        </row>
      </sheetData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2"/>
      <sheetName val="OCEAN LUCKY"/>
      <sheetName val="TAIPOWER PROSPERITY VI"/>
      <sheetName val="EIRINI P"/>
    </sheetNames>
    <sheetDataSet>
      <sheetData sheetId="0" refreshError="1"/>
      <sheetData sheetId="1" refreshError="1">
        <row r="128">
          <cell r="F128">
            <v>1.5572916666630288</v>
          </cell>
        </row>
      </sheetData>
      <sheetData sheetId="2" refreshError="1">
        <row r="122">
          <cell r="F122">
            <v>1.5711805555571725</v>
          </cell>
        </row>
      </sheetData>
      <sheetData sheetId="3" refreshError="1">
        <row r="117">
          <cell r="F117">
            <v>1.1961805555535345</v>
          </cell>
        </row>
      </sheetData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2"/>
      <sheetName val="OCEAN LUCKY"/>
      <sheetName val="TAIPOWER PROSPERITY VI"/>
      <sheetName val="EIRINI P"/>
      <sheetName val="MANALAGI DASA"/>
      <sheetName val="MODEST SW"/>
      <sheetName val="OCEAN VENUS"/>
      <sheetName val="OCEAN LUCKY (2)"/>
      <sheetName val="ZHENG RU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3">
          <cell r="F123">
            <v>1.1406249999987874</v>
          </cell>
        </row>
      </sheetData>
      <sheetData sheetId="5" refreshError="1">
        <row r="55">
          <cell r="F55">
            <v>0.5347222222286897</v>
          </cell>
        </row>
      </sheetData>
      <sheetData sheetId="6" refreshError="1">
        <row r="120">
          <cell r="F120">
            <v>1.5520833333127182</v>
          </cell>
        </row>
      </sheetData>
      <sheetData sheetId="7" refreshError="1">
        <row r="110">
          <cell r="F110">
            <v>1.277777777768885</v>
          </cell>
        </row>
      </sheetData>
      <sheetData sheetId="8" refreshError="1">
        <row r="98">
          <cell r="F98">
            <v>1.043402777768885</v>
          </cell>
        </row>
      </sheetData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2"/>
      <sheetName val="REDMER OLDDENDORFF"/>
      <sheetName val="TAI HANG 1"/>
      <sheetName val="EDGAR"/>
      <sheetName val="TAIPOWER PROSPERITY VIII"/>
      <sheetName val="HC PROGRESS"/>
      <sheetName val="AMAZING SALUTE"/>
    </sheetNames>
    <sheetDataSet>
      <sheetData sheetId="0" refreshError="1"/>
      <sheetData sheetId="1" refreshError="1">
        <row r="163">
          <cell r="F163">
            <v>1.9149305555753624</v>
          </cell>
        </row>
      </sheetData>
      <sheetData sheetId="2" refreshError="1">
        <row r="105">
          <cell r="F105">
            <v>1.0503472222286898</v>
          </cell>
        </row>
      </sheetData>
      <sheetData sheetId="3" refreshError="1">
        <row r="156">
          <cell r="F156">
            <v>2.4149305555498963</v>
          </cell>
        </row>
      </sheetData>
      <sheetData sheetId="4" refreshError="1">
        <row r="141">
          <cell r="F141">
            <v>1.5434027778052648</v>
          </cell>
        </row>
      </sheetData>
      <sheetData sheetId="5" refreshError="1">
        <row r="127">
          <cell r="F127">
            <v>1.5625000000097014</v>
          </cell>
        </row>
      </sheetData>
      <sheetData sheetId="6" refreshError="1">
        <row r="150">
          <cell r="F150">
            <v>1.7465277778125408</v>
          </cell>
        </row>
      </sheetData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2"/>
      <sheetName val="PHILIPP OLDENDORFF"/>
      <sheetName val="THERESA HEBEI"/>
      <sheetName val="DECLAN DUFF"/>
      <sheetName val="GRA"/>
      <sheetName val="PELLONIA"/>
    </sheetNames>
    <sheetDataSet>
      <sheetData sheetId="0" refreshError="1"/>
      <sheetData sheetId="1" refreshError="1">
        <row r="172">
          <cell r="F172">
            <v>1.9062500000242533</v>
          </cell>
        </row>
      </sheetData>
      <sheetData sheetId="2" refreshError="1">
        <row r="110">
          <cell r="F110">
            <v>1.4288194444585922</v>
          </cell>
        </row>
      </sheetData>
      <sheetData sheetId="3" refreshError="1">
        <row r="128">
          <cell r="F128">
            <v>1.4843750000169773</v>
          </cell>
        </row>
      </sheetData>
      <sheetData sheetId="4" refreshError="1">
        <row r="86">
          <cell r="F86">
            <v>0.99131944442948827</v>
          </cell>
        </row>
      </sheetData>
      <sheetData sheetId="5" refreshError="1">
        <row r="135">
          <cell r="F135">
            <v>1.4999999999987874</v>
          </cell>
        </row>
      </sheetData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2"/>
      <sheetName val="HC SUNSHINE"/>
      <sheetName val="AEOLIAN HERITAGE"/>
      <sheetName val="THE EVOLUTION"/>
      <sheetName val="REGINA OLDENDORFF"/>
      <sheetName val="ANDHIKA KANISHKA"/>
    </sheetNames>
    <sheetDataSet>
      <sheetData sheetId="0" refreshError="1"/>
      <sheetData sheetId="1" refreshError="1">
        <row r="106">
          <cell r="F106">
            <v>1.3680555555644485</v>
          </cell>
        </row>
      </sheetData>
      <sheetData sheetId="2" refreshError="1">
        <row r="126">
          <cell r="F126">
            <v>1.3246527777907129</v>
          </cell>
        </row>
      </sheetData>
      <sheetData sheetId="3" refreshError="1">
        <row r="90">
          <cell r="F90">
            <v>0.98263888889293105</v>
          </cell>
        </row>
      </sheetData>
      <sheetData sheetId="4" refreshError="1">
        <row r="99">
          <cell r="F99">
            <v>1.1197916666557528</v>
          </cell>
        </row>
      </sheetData>
      <sheetData sheetId="5" refreshError="1">
        <row r="65">
          <cell r="F65">
            <v>0.40798611111919553</v>
          </cell>
        </row>
      </sheetData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2"/>
      <sheetName val="CHORUS"/>
      <sheetName val="CEMTEX EXELLENCE"/>
      <sheetName val="THERESA HEBEI"/>
      <sheetName val="EVANGELIA"/>
      <sheetName val="GUO YUAN 28"/>
      <sheetName val="BBG DREAM"/>
      <sheetName val="HC SUNSHINE"/>
    </sheetNames>
    <sheetDataSet>
      <sheetData sheetId="0" refreshError="1"/>
      <sheetData sheetId="1" refreshError="1">
        <row r="65">
          <cell r="F65">
            <v>0.64236111112647143</v>
          </cell>
        </row>
      </sheetData>
      <sheetData sheetId="2" refreshError="1">
        <row r="121">
          <cell r="F121">
            <v>1.550347222188672</v>
          </cell>
        </row>
      </sheetData>
      <sheetData sheetId="3" refreshError="1">
        <row r="123">
          <cell r="F123">
            <v>1.309027777768885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kt 2019"/>
      <sheetName val="GUAN LAN HU"/>
      <sheetName val="SURYAWATI"/>
      <sheetName val="MANGARELLA"/>
      <sheetName val="NENG YUAN"/>
      <sheetName val="DEDALOS"/>
      <sheetName val="NINGBO INNOVATION"/>
    </sheetNames>
    <sheetDataSet>
      <sheetData sheetId="0" refreshError="1"/>
      <sheetData sheetId="1" refreshError="1">
        <row r="90">
          <cell r="F90">
            <v>1.4722222222335404</v>
          </cell>
        </row>
      </sheetData>
      <sheetData sheetId="2" refreshError="1">
        <row r="132">
          <cell r="F132">
            <v>1.487847222195948</v>
          </cell>
        </row>
      </sheetData>
      <sheetData sheetId="3" refreshError="1">
        <row r="109">
          <cell r="F109">
            <v>1.3958333333272701</v>
          </cell>
        </row>
      </sheetData>
      <sheetData sheetId="4" refreshError="1">
        <row r="103">
          <cell r="F103">
            <v>1.7170138888965691</v>
          </cell>
        </row>
      </sheetData>
      <sheetData sheetId="5" refreshError="1"/>
      <sheetData sheetId="6" refreshError="1">
        <row r="139">
          <cell r="F139">
            <v>1.9565972222214139</v>
          </cell>
        </row>
      </sheetData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2"/>
      <sheetName val="CHORUS"/>
      <sheetName val="CEMTEX EXELLENCE"/>
      <sheetName val="THERESA HEBEI"/>
      <sheetName val="EVANGELIA"/>
      <sheetName val="GUO YUAN 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3">
          <cell r="F83">
            <v>0.83333333333818393</v>
          </cell>
        </row>
      </sheetData>
      <sheetData sheetId="5" refreshError="1">
        <row r="116">
          <cell r="F116">
            <v>1.2916666666666667</v>
          </cell>
        </row>
      </sheetData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2"/>
      <sheetName val="CHORUS"/>
      <sheetName val="CEMTEX EXELLENCE"/>
      <sheetName val="THERESA HEBEI"/>
      <sheetName val="EVANGELIA"/>
      <sheetName val="GUO YUAN 28"/>
      <sheetName val="BBG DREAM"/>
      <sheetName val="HC SUNSH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5">
          <cell r="F125">
            <v>1.3020833333127182</v>
          </cell>
        </row>
      </sheetData>
      <sheetData sheetId="7" refreshError="1">
        <row r="117">
          <cell r="F117">
            <v>1.4444444444331264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kt 2019"/>
      <sheetName val="GUAN LAN HU"/>
      <sheetName val="SURYAWATI"/>
      <sheetName val="MANGARELLA"/>
      <sheetName val="NENG YUAN"/>
      <sheetName val="DEDALOS"/>
      <sheetName val="NINGBO INNOV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7">
          <cell r="F57">
            <v>0.47395833332848269</v>
          </cell>
        </row>
      </sheetData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 2019"/>
      <sheetName val="TINA IV"/>
      <sheetName val="MARIOLINA DE CARLINI"/>
      <sheetName val="TEN SPRING"/>
      <sheetName val="HIGH SPEED"/>
      <sheetName val="SITC HENGSHAN"/>
      <sheetName val="CHANG YANG JIN HE"/>
    </sheetNames>
    <sheetDataSet>
      <sheetData sheetId="0" refreshError="1"/>
      <sheetData sheetId="1" refreshError="1">
        <row r="109">
          <cell r="F109">
            <v>1.4826388888892932</v>
          </cell>
        </row>
      </sheetData>
      <sheetData sheetId="2" refreshError="1">
        <row r="134">
          <cell r="F134">
            <v>2.9826388888832298</v>
          </cell>
        </row>
        <row r="135">
          <cell r="F135">
            <v>1.809027777765247</v>
          </cell>
        </row>
      </sheetData>
      <sheetData sheetId="3" refreshError="1">
        <row r="134">
          <cell r="F134">
            <v>1.7725694444294884</v>
          </cell>
        </row>
      </sheetData>
      <sheetData sheetId="4" refreshError="1">
        <row r="116">
          <cell r="F116">
            <v>1.3680555555462586</v>
          </cell>
        </row>
      </sheetData>
      <sheetData sheetId="5" refreshError="1">
        <row r="131">
          <cell r="F131">
            <v>1.5746527777870749</v>
          </cell>
        </row>
      </sheetData>
      <sheetData sheetId="6" refreshError="1">
        <row r="79">
          <cell r="F79">
            <v>3.7604166666642413</v>
          </cell>
        </row>
        <row r="113">
          <cell r="F113">
            <v>1.4027777778089028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8"/>
      <sheetName val="Agnes"/>
      <sheetName val="Chrysanthi S"/>
      <sheetName val="Andhika Nareswari"/>
    </sheetNames>
    <sheetDataSet>
      <sheetData sheetId="0" refreshError="1"/>
      <sheetData sheetId="1">
        <row r="57">
          <cell r="F57">
            <v>2.4947916666533274</v>
          </cell>
        </row>
        <row r="62">
          <cell r="F62">
            <v>3.90625</v>
          </cell>
        </row>
      </sheetData>
      <sheetData sheetId="2">
        <row r="53">
          <cell r="F53">
            <v>1.5972222222408163</v>
          </cell>
        </row>
        <row r="58">
          <cell r="F58">
            <v>2.9618055555547471</v>
          </cell>
        </row>
      </sheetData>
      <sheetData sheetId="3">
        <row r="52">
          <cell r="F52">
            <v>1.0347222222189885</v>
          </cell>
        </row>
        <row r="57">
          <cell r="F57">
            <v>2.3541666666642413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HE DA"/>
      <sheetName val="YUN LONG FENG"/>
    </sheetNames>
    <sheetDataSet>
      <sheetData sheetId="0" refreshError="1"/>
      <sheetData sheetId="1" refreshError="1">
        <row r="111">
          <cell r="F111">
            <v>1.4149305555462586</v>
          </cell>
        </row>
      </sheetData>
      <sheetData sheetId="2" refreshError="1">
        <row r="94">
          <cell r="F94">
            <v>1.1944444444549542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HE DA"/>
      <sheetName val="YUN LONG FENG"/>
      <sheetName val="OCEAN CORONA"/>
      <sheetName val="HIGH SPEED"/>
      <sheetName val="ZHENG HAO"/>
      <sheetName val="SWEET VENUS"/>
    </sheetNames>
    <sheetDataSet>
      <sheetData sheetId="0" refreshError="1"/>
      <sheetData sheetId="1" refreshError="1"/>
      <sheetData sheetId="2" refreshError="1"/>
      <sheetData sheetId="3" refreshError="1">
        <row r="199">
          <cell r="F199">
            <v>3.4843749999805973</v>
          </cell>
        </row>
      </sheetData>
      <sheetData sheetId="4" refreshError="1">
        <row r="115">
          <cell r="F115">
            <v>1.5416666666630288</v>
          </cell>
        </row>
      </sheetData>
      <sheetData sheetId="5" refreshError="1">
        <row r="103">
          <cell r="F103">
            <v>1.2256944444549542</v>
          </cell>
        </row>
      </sheetData>
      <sheetData sheetId="6" refreshError="1">
        <row r="134">
          <cell r="F134">
            <v>1.5815972222214139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20"/>
      <sheetName val="CHANG YANG JIN HE"/>
      <sheetName val="THERESA GUANGDONG"/>
      <sheetName val="CHANG YANG JIN AN"/>
      <sheetName val="DARYA GAYATRI"/>
    </sheetNames>
    <sheetDataSet>
      <sheetData sheetId="0" refreshError="1"/>
      <sheetData sheetId="1" refreshError="1">
        <row r="120">
          <cell r="F120">
            <v>1.685763888914759</v>
          </cell>
        </row>
      </sheetData>
      <sheetData sheetId="2" refreshError="1">
        <row r="139">
          <cell r="F139">
            <v>1.6232638888711033</v>
          </cell>
        </row>
      </sheetData>
      <sheetData sheetId="3" refreshError="1">
        <row r="122">
          <cell r="F122">
            <v>1.4079861110900918</v>
          </cell>
        </row>
      </sheetData>
      <sheetData sheetId="4" refreshError="1">
        <row r="129">
          <cell r="F129">
            <v>1.7656249999696836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 2020"/>
      <sheetName val="CAPE PUFFIN"/>
      <sheetName val="NINGBO PIONEER"/>
      <sheetName val="AZUR"/>
    </sheetNames>
    <sheetDataSet>
      <sheetData sheetId="0" refreshError="1"/>
      <sheetData sheetId="1" refreshError="1">
        <row r="230">
          <cell r="F230">
            <v>3.5642361111155574</v>
          </cell>
        </row>
      </sheetData>
      <sheetData sheetId="2" refreshError="1">
        <row r="120">
          <cell r="F120">
            <v>1.3993055555317067</v>
          </cell>
        </row>
      </sheetData>
      <sheetData sheetId="3" refreshError="1">
        <row r="128">
          <cell r="F128">
            <v>1.7309027777579711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 2020"/>
      <sheetName val="PANAMAX BREEZE"/>
      <sheetName val="SCARLET ROSELLA"/>
      <sheetName val="GREAT GLEN"/>
      <sheetName val="KARTINI BARUNA"/>
      <sheetName val="LEADING GLORY"/>
      <sheetName val="KARTINI SAMUDERA"/>
    </sheetNames>
    <sheetDataSet>
      <sheetData sheetId="0" refreshError="1"/>
      <sheetData sheetId="1" refreshError="1">
        <row r="111">
          <cell r="F111">
            <v>1.5729166666824312</v>
          </cell>
        </row>
      </sheetData>
      <sheetData sheetId="2" refreshError="1">
        <row r="58">
          <cell r="F58">
            <v>0.67534722221535048</v>
          </cell>
        </row>
      </sheetData>
      <sheetData sheetId="3" refreshError="1">
        <row r="115">
          <cell r="F115">
            <v>1.9809027777810115</v>
          </cell>
        </row>
      </sheetData>
      <sheetData sheetId="4" refreshError="1">
        <row r="100">
          <cell r="F100">
            <v>1.5190972222480923</v>
          </cell>
        </row>
      </sheetData>
      <sheetData sheetId="5" refreshError="1">
        <row r="114">
          <cell r="F114">
            <v>1.8246527777882875</v>
          </cell>
        </row>
      </sheetData>
      <sheetData sheetId="6" refreshError="1">
        <row r="70">
          <cell r="F70">
            <v>1.0798611110985803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 2020"/>
      <sheetName val="ANDHIKA KANISHKA"/>
      <sheetName val="GUO YUAN 8"/>
      <sheetName val="KARTINI BARUNA"/>
      <sheetName val="ARIMBI BARUNA"/>
      <sheetName val="ANDHIKA KANISHKA (2)"/>
      <sheetName val="MANALAGI PRITA"/>
      <sheetName val="KARTINI SAMUDERA"/>
      <sheetName val="XIE HAI FA ZHAN"/>
      <sheetName val="NINGBO PIONEER"/>
      <sheetName val="ANDHIKA KANISHKA (3)"/>
      <sheetName val="ANDHIKA PARAMESTI"/>
    </sheetNames>
    <sheetDataSet>
      <sheetData sheetId="0" refreshError="1"/>
      <sheetData sheetId="1" refreshError="1">
        <row r="94">
          <cell r="F94">
            <v>1.1857638888759539</v>
          </cell>
        </row>
      </sheetData>
      <sheetData sheetId="2" refreshError="1">
        <row r="107">
          <cell r="F107">
            <v>1.4722222222153505</v>
          </cell>
        </row>
      </sheetData>
      <sheetData sheetId="3" refreshError="1">
        <row r="106">
          <cell r="F106">
            <v>1.4965277777810115</v>
          </cell>
        </row>
      </sheetData>
      <sheetData sheetId="4" refreshError="1">
        <row r="100">
          <cell r="F100">
            <v>1.734374999992724</v>
          </cell>
        </row>
      </sheetData>
      <sheetData sheetId="5" refreshError="1">
        <row r="102">
          <cell r="F102">
            <v>1.6597222222080745</v>
          </cell>
        </row>
      </sheetData>
      <sheetData sheetId="6" refreshError="1">
        <row r="98">
          <cell r="F98">
            <v>1.5503472222226264</v>
          </cell>
        </row>
      </sheetData>
      <sheetData sheetId="7" refreshError="1">
        <row r="100">
          <cell r="F100">
            <v>1.6336805555511091</v>
          </cell>
        </row>
      </sheetData>
      <sheetData sheetId="8" refreshError="1">
        <row r="104">
          <cell r="F104">
            <v>1.5798611111094942</v>
          </cell>
        </row>
      </sheetData>
      <sheetData sheetId="9" refreshError="1">
        <row r="47">
          <cell r="F47">
            <v>0.42881944444161491</v>
          </cell>
        </row>
      </sheetData>
      <sheetData sheetId="10" refreshError="1">
        <row r="98">
          <cell r="F98">
            <v>1.5572916666496894</v>
          </cell>
        </row>
      </sheetData>
      <sheetData sheetId="11" refreshError="1">
        <row r="71">
          <cell r="F71">
            <v>0.90625000000363798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20"/>
      <sheetName val="D SKALKEAS"/>
      <sheetName val="YUE GUAN FENG"/>
      <sheetName val="DUTA AZZAM"/>
      <sheetName val="ANDHIKA KANISHKA"/>
      <sheetName val="VITAHORIZON"/>
      <sheetName val="KARTINI BARUNA"/>
      <sheetName val="SITC HENGSHAN"/>
      <sheetName val="ASIAN MAJESTY"/>
      <sheetName val="KARTINI BARUNA 2"/>
      <sheetName val="PACIFIC ENERGY"/>
    </sheetNames>
    <sheetDataSet>
      <sheetData sheetId="0" refreshError="1"/>
      <sheetData sheetId="1" refreshError="1">
        <row r="56">
          <cell r="F56">
            <v>1.0416666666642413</v>
          </cell>
        </row>
      </sheetData>
      <sheetData sheetId="2" refreshError="1">
        <row r="105">
          <cell r="F105">
            <v>2.1909722222068617</v>
          </cell>
        </row>
      </sheetData>
      <sheetData sheetId="3" refreshError="1">
        <row r="113">
          <cell r="F113">
            <v>1.6336805555935523</v>
          </cell>
        </row>
      </sheetData>
      <sheetData sheetId="4" refreshError="1">
        <row r="112">
          <cell r="F112">
            <v>1.5000000000351672</v>
          </cell>
        </row>
      </sheetData>
      <sheetData sheetId="5" refreshError="1">
        <row r="107">
          <cell r="F107">
            <v>1.762152777768885</v>
          </cell>
        </row>
      </sheetData>
      <sheetData sheetId="6" refreshError="1">
        <row r="104">
          <cell r="F104">
            <v>1.4288194444222124</v>
          </cell>
        </row>
      </sheetData>
      <sheetData sheetId="7" refreshError="1">
        <row r="106">
          <cell r="F106">
            <v>1.7881944444440403</v>
          </cell>
        </row>
      </sheetData>
      <sheetData sheetId="8" refreshError="1">
        <row r="100">
          <cell r="F100">
            <v>1.5138888888856552</v>
          </cell>
        </row>
      </sheetData>
      <sheetData sheetId="9" refreshError="1">
        <row r="100">
          <cell r="F100">
            <v>1.661458333338184</v>
          </cell>
        </row>
      </sheetData>
      <sheetData sheetId="10" refreshError="1">
        <row r="114">
          <cell r="F114">
            <v>1.8489583333309081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 2020"/>
      <sheetName val="VISHVA VINAY"/>
    </sheetNames>
    <sheetDataSet>
      <sheetData sheetId="0" refreshError="1"/>
      <sheetData sheetId="1" refreshError="1">
        <row r="111">
          <cell r="F111">
            <v>1.4687499999696836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 2020"/>
      <sheetName val="SWEET VENUS"/>
      <sheetName val="Sheet1"/>
    </sheetNames>
    <sheetDataSet>
      <sheetData sheetId="0" refreshError="1"/>
      <sheetData sheetId="1" refreshError="1">
        <row r="124">
          <cell r="F124">
            <v>2.1840277777725228</v>
          </cell>
        </row>
      </sheetData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 2020"/>
      <sheetName val="IKAN BANGAT"/>
      <sheetName val="Sheet1"/>
    </sheetNames>
    <sheetDataSet>
      <sheetData sheetId="0" refreshError="1"/>
      <sheetData sheetId="1" refreshError="1">
        <row r="107">
          <cell r="F107">
            <v>1.7274305555583851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Taipower Prosperity I"/>
    </sheetNames>
    <sheetDataSet>
      <sheetData sheetId="0" refreshError="1"/>
      <sheetData sheetId="1">
        <row r="50">
          <cell r="F50">
            <v>0.90451388888686779</v>
          </cell>
        </row>
        <row r="55">
          <cell r="F55">
            <v>2.75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020"/>
      <sheetName val="BRILIANT ADVANCE"/>
      <sheetName val="AURILIA"/>
    </sheetNames>
    <sheetDataSet>
      <sheetData sheetId="0" refreshError="1"/>
      <sheetData sheetId="1" refreshError="1"/>
      <sheetData sheetId="2" refreshError="1">
        <row r="140">
          <cell r="F140">
            <v>1.6520833333367289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20"/>
      <sheetName val="SHIRARA"/>
      <sheetName val="SUNNY YOUNG"/>
    </sheetNames>
    <sheetDataSet>
      <sheetData sheetId="0" refreshError="1"/>
      <sheetData sheetId="1" refreshError="1">
        <row r="287">
          <cell r="F287">
            <v>3.9114583332945281</v>
          </cell>
        </row>
      </sheetData>
      <sheetData sheetId="2" refreshError="1">
        <row r="143">
          <cell r="F143">
            <v>2.0763888888965689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 2020"/>
      <sheetName val="BEIJING 2008"/>
      <sheetName val="SWEET VENUS"/>
      <sheetName val="HEDA"/>
      <sheetName val="JIN RUN"/>
    </sheetNames>
    <sheetDataSet>
      <sheetData sheetId="0" refreshError="1"/>
      <sheetData sheetId="1" refreshError="1">
        <row r="134">
          <cell r="O134">
            <v>2.8124999999272406E-2</v>
          </cell>
        </row>
        <row r="135">
          <cell r="F135">
            <v>1.7465277777943509</v>
          </cell>
        </row>
      </sheetData>
      <sheetData sheetId="2" refreshError="1">
        <row r="132">
          <cell r="O132">
            <v>2.7777777777777776E-2</v>
          </cell>
        </row>
        <row r="133">
          <cell r="F133">
            <v>1.6302083333163562</v>
          </cell>
        </row>
      </sheetData>
      <sheetData sheetId="3" refreshError="1">
        <row r="125">
          <cell r="F125">
            <v>1.4444444444585922</v>
          </cell>
        </row>
      </sheetData>
      <sheetData sheetId="4" refreshError="1">
        <row r="100">
          <cell r="F100">
            <v>1.300347222199586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20"/>
      <sheetName val="CEMTEX HUNTER"/>
    </sheetNames>
    <sheetDataSet>
      <sheetData sheetId="0" refreshError="1"/>
      <sheetData sheetId="1" refreshError="1">
        <row r="95">
          <cell r="F95">
            <v>1.2916666666739427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21"/>
      <sheetName val="KING LAN"/>
      <sheetName val="RISING HIMEJI"/>
      <sheetName val="JP CORAL "/>
      <sheetName val="ANTWERPIA"/>
      <sheetName val="Sheet1"/>
      <sheetName val="HERMES"/>
    </sheetNames>
    <sheetDataSet>
      <sheetData sheetId="0" refreshError="1"/>
      <sheetData sheetId="1" refreshError="1">
        <row r="65">
          <cell r="F65">
            <v>9.84375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"/>
      <sheetName val="KING LAN"/>
      <sheetName val="RISING HIMEJI"/>
      <sheetName val="JP CORAL "/>
      <sheetName val="ANTWERPIA"/>
    </sheetNames>
    <sheetDataSet>
      <sheetData sheetId="0" refreshError="1"/>
      <sheetData sheetId="1" refreshError="1">
        <row r="74">
          <cell r="F74">
            <v>1.1788194444488909</v>
          </cell>
        </row>
      </sheetData>
      <sheetData sheetId="2" refreshError="1">
        <row r="124">
          <cell r="F124">
            <v>1.7934027777846495</v>
          </cell>
        </row>
      </sheetData>
      <sheetData sheetId="3" refreshError="1">
        <row r="112">
          <cell r="F112">
            <v>1.6215277778028394</v>
          </cell>
        </row>
      </sheetData>
      <sheetData sheetId="4" refreshError="1">
        <row r="119">
          <cell r="F119">
            <v>1.3194444444695062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"/>
      <sheetName val="HERMES"/>
      <sheetName val="LUCKY LOONG"/>
      <sheetName val="ANTWERPIA"/>
      <sheetName val="CEMTEX HUNTER"/>
      <sheetName val="SEASTRENGTH"/>
      <sheetName val="YUN MI FENG"/>
    </sheetNames>
    <sheetDataSet>
      <sheetData sheetId="0" refreshError="1"/>
      <sheetData sheetId="1" refreshError="1">
        <row r="97">
          <cell r="F97">
            <v>1.1284722222250518</v>
          </cell>
        </row>
      </sheetData>
      <sheetData sheetId="2" refreshError="1">
        <row r="137">
          <cell r="F137">
            <v>1.4340277777579711</v>
          </cell>
        </row>
      </sheetData>
      <sheetData sheetId="3" refreshError="1">
        <row r="138">
          <cell r="F138">
            <v>1.6458333333272701</v>
          </cell>
        </row>
      </sheetData>
      <sheetData sheetId="4" refreshError="1">
        <row r="130">
          <cell r="F130">
            <v>1.7413194444367643</v>
          </cell>
        </row>
      </sheetData>
      <sheetData sheetId="5" refreshError="1">
        <row r="85">
          <cell r="F85">
            <v>3.9097222222189885</v>
          </cell>
        </row>
        <row r="86">
          <cell r="F86">
            <v>1.3142361110900918</v>
          </cell>
        </row>
      </sheetData>
      <sheetData sheetId="6" refreshError="1">
        <row r="82">
          <cell r="F82">
            <v>1.5972222222262644</v>
          </cell>
        </row>
        <row r="83">
          <cell r="F83">
            <v>1.2118055555790004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HENG MAO"/>
      <sheetName val="KM SYDNEY"/>
      <sheetName val="NEW LEONIDAS"/>
      <sheetName val="STAR OPHELIA"/>
      <sheetName val="DE YUAN"/>
      <sheetName val="MINERAL TIANJIN"/>
      <sheetName val="ALPHA BRAVERY"/>
    </sheetNames>
    <sheetDataSet>
      <sheetData sheetId="0" refreshError="1"/>
      <sheetData sheetId="1" refreshError="1">
        <row r="88">
          <cell r="F88">
            <v>1.538194444430701</v>
          </cell>
        </row>
      </sheetData>
      <sheetData sheetId="2" refreshError="1">
        <row r="135">
          <cell r="F135">
            <v>1.5590277777870749</v>
          </cell>
        </row>
      </sheetData>
      <sheetData sheetId="3" refreshError="1">
        <row r="65">
          <cell r="F65">
            <v>1.1111111110985803</v>
          </cell>
        </row>
      </sheetData>
      <sheetData sheetId="4" refreshError="1">
        <row r="119">
          <cell r="F119">
            <v>1.4652777777810115</v>
          </cell>
        </row>
      </sheetData>
      <sheetData sheetId="5" refreshError="1">
        <row r="33">
          <cell r="F33">
            <v>0.43923611110100563</v>
          </cell>
        </row>
      </sheetData>
      <sheetData sheetId="6" refreshError="1">
        <row r="201">
          <cell r="F201">
            <v>3.1892361111519372</v>
          </cell>
        </row>
      </sheetData>
      <sheetData sheetId="7" refreshError="1">
        <row r="108">
          <cell r="F108">
            <v>1.5729166666314995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ALIKI"/>
      <sheetName val="ORIENTAL GLORY"/>
      <sheetName val="FORTUNA"/>
      <sheetName val="JIAN MING"/>
      <sheetName val="MINERAL BRUGGE"/>
      <sheetName val="ZAMPA BLUE"/>
      <sheetName val="ARIMBI BARUNA"/>
      <sheetName val="GUANG YUAN"/>
    </sheetNames>
    <sheetDataSet>
      <sheetData sheetId="0" refreshError="1"/>
      <sheetData sheetId="1" refreshError="1">
        <row r="35">
          <cell r="F35">
            <v>0.21875000000363798</v>
          </cell>
        </row>
      </sheetData>
      <sheetData sheetId="2" refreshError="1">
        <row r="104">
          <cell r="F104">
            <v>1.451388888925673</v>
          </cell>
        </row>
      </sheetData>
      <sheetData sheetId="3" refreshError="1">
        <row r="123">
          <cell r="F123">
            <v>1.706597222199586</v>
          </cell>
        </row>
      </sheetData>
      <sheetData sheetId="4" refreshError="1">
        <row r="156">
          <cell r="F156">
            <v>2.2986111111191954</v>
          </cell>
        </row>
      </sheetData>
      <sheetData sheetId="5" refreshError="1">
        <row r="102">
          <cell r="F102">
            <v>1.4288194444452529</v>
          </cell>
        </row>
      </sheetData>
      <sheetData sheetId="6" refreshError="1">
        <row r="104">
          <cell r="F104">
            <v>2.4513888888977817</v>
          </cell>
        </row>
      </sheetData>
      <sheetData sheetId="7" refreshError="1">
        <row r="48">
          <cell r="F48">
            <v>0.49826388889778173</v>
          </cell>
        </row>
      </sheetData>
      <sheetData sheetId="8" refreshError="1">
        <row r="136">
          <cell r="F136">
            <v>1.5017361111119196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MAY"/>
      <sheetName val="MIYAMA"/>
      <sheetName val="SILVERMINE"/>
    </sheetNames>
    <sheetDataSet>
      <sheetData sheetId="0" refreshError="1"/>
      <sheetData sheetId="1" refreshError="1">
        <row r="165">
          <cell r="F165">
            <v>1.6840277777943509</v>
          </cell>
        </row>
      </sheetData>
      <sheetData sheetId="2" refreshError="1">
        <row r="95">
          <cell r="F95">
            <v>1.1562500000024254</v>
          </cell>
        </row>
      </sheetData>
      <sheetData sheetId="3" refreshError="1">
        <row r="122">
          <cell r="F122">
            <v>1.4288194444476783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Taipower Prosperity I"/>
      <sheetName val="Taipower Prosperity II"/>
    </sheetNames>
    <sheetDataSet>
      <sheetData sheetId="0"/>
      <sheetData sheetId="1"/>
      <sheetData sheetId="2">
        <row r="53">
          <cell r="F53">
            <v>2.203124999992724</v>
          </cell>
        </row>
        <row r="58">
          <cell r="F58">
            <v>3.8611111111094942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MAY"/>
      <sheetName val="MIYAMA"/>
      <sheetName val="SILVERMINE"/>
      <sheetName val="NEW HONOR"/>
      <sheetName val="W-ARCTURUS"/>
      <sheetName val="ATLANTIC 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2">
          <cell r="F92">
            <v>1.2256944444476783</v>
          </cell>
        </row>
      </sheetData>
      <sheetData sheetId="5" refreshError="1">
        <row r="125">
          <cell r="F125">
            <v>1.6232638888892932</v>
          </cell>
        </row>
      </sheetData>
      <sheetData sheetId="6" refreshError="1">
        <row r="110">
          <cell r="F110">
            <v>1.7118055555426206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NEA ELPIS"/>
      <sheetName val="GUO MAY"/>
      <sheetName val="SHUN FU XING"/>
      <sheetName val="PAN MUTIARA"/>
      <sheetName val="OCEAN ROAD"/>
      <sheetName val="TW HAMBURG"/>
      <sheetName val="PRISCILLA"/>
    </sheetNames>
    <sheetDataSet>
      <sheetData sheetId="0" refreshError="1"/>
      <sheetData sheetId="1" refreshError="1">
        <row r="74">
          <cell r="O74">
            <v>2.4305555555959774E-2</v>
          </cell>
        </row>
        <row r="75">
          <cell r="F75">
            <v>0.68402777777373558</v>
          </cell>
        </row>
      </sheetData>
      <sheetData sheetId="2" refreshError="1">
        <row r="81">
          <cell r="F81">
            <v>1.2291666666642413</v>
          </cell>
        </row>
      </sheetData>
      <sheetData sheetId="3" refreshError="1">
        <row r="79">
          <cell r="F79">
            <v>0.77430555555110914</v>
          </cell>
        </row>
      </sheetData>
      <sheetData sheetId="4" refreshError="1">
        <row r="130">
          <cell r="F130">
            <v>1.5520833333345461</v>
          </cell>
        </row>
      </sheetData>
      <sheetData sheetId="5" refreshError="1">
        <row r="120">
          <cell r="F120">
            <v>1.3732638888856552</v>
          </cell>
        </row>
      </sheetData>
      <sheetData sheetId="6" refreshError="1">
        <row r="76">
          <cell r="F76">
            <v>0.74652777777737356</v>
          </cell>
        </row>
      </sheetData>
      <sheetData sheetId="7" refreshError="1">
        <row r="101">
          <cell r="F101">
            <v>1.1631944444404023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GENEVA QUEEN"/>
      <sheetName val="CHAILEASE BLOSSOM"/>
      <sheetName val="KARTINI BARUNA"/>
      <sheetName val="AQUAENA"/>
      <sheetName val="YARRA"/>
      <sheetName val="LILA KYOTO"/>
      <sheetName val="VIDYUT"/>
      <sheetName val="QIN FA 18"/>
    </sheetNames>
    <sheetDataSet>
      <sheetData sheetId="0" refreshError="1"/>
      <sheetData sheetId="1" refreshError="1">
        <row r="60">
          <cell r="F60">
            <v>0.49999999998181011</v>
          </cell>
        </row>
      </sheetData>
      <sheetData sheetId="2" refreshError="1">
        <row r="122">
          <cell r="F122">
            <v>1.5451388888820172</v>
          </cell>
        </row>
      </sheetData>
      <sheetData sheetId="3" refreshError="1">
        <row r="106">
          <cell r="F106">
            <v>1.371527777765247</v>
          </cell>
        </row>
      </sheetData>
      <sheetData sheetId="4" refreshError="1">
        <row r="61">
          <cell r="F61">
            <v>0.71527777776645962</v>
          </cell>
        </row>
      </sheetData>
      <sheetData sheetId="5" refreshError="1">
        <row r="139">
          <cell r="F139">
            <v>1.4913194444331264</v>
          </cell>
        </row>
      </sheetData>
      <sheetData sheetId="6" refreshError="1">
        <row r="215">
          <cell r="F215">
            <v>2.4600694444367641</v>
          </cell>
        </row>
      </sheetData>
      <sheetData sheetId="7" refreshError="1">
        <row r="195">
          <cell r="F195">
            <v>2.8975694444367641</v>
          </cell>
        </row>
      </sheetData>
      <sheetData sheetId="8" refreshError="1">
        <row r="130">
          <cell r="F130">
            <v>2.0034722222068617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HARMONY"/>
      <sheetName val="KSL SIDNEY"/>
      <sheetName val="HONG YU"/>
      <sheetName val="CL GRACE"/>
      <sheetName val="DOOYANG JEJU"/>
      <sheetName val="LUMOSO PRATAMA"/>
      <sheetName val="W-PEARL"/>
      <sheetName val="GUO YUAN 18"/>
      <sheetName val="ANGELIC PEACE"/>
      <sheetName val="GUO YUAN 18 (2)"/>
    </sheetNames>
    <sheetDataSet>
      <sheetData sheetId="0" refreshError="1"/>
      <sheetData sheetId="1" refreshError="1">
        <row r="38">
          <cell r="F38">
            <v>0.28993055555110914</v>
          </cell>
        </row>
      </sheetData>
      <sheetData sheetId="2" refreshError="1">
        <row r="61">
          <cell r="F61">
            <v>0.68750000001455192</v>
          </cell>
        </row>
      </sheetData>
      <sheetData sheetId="3" refreshError="1">
        <row r="72">
          <cell r="F72">
            <v>0.82986111111191951</v>
          </cell>
        </row>
      </sheetData>
      <sheetData sheetId="4" refreshError="1">
        <row r="62">
          <cell r="F62">
            <v>0.55208333332484472</v>
          </cell>
        </row>
      </sheetData>
      <sheetData sheetId="5" refreshError="1">
        <row r="90">
          <cell r="F90">
            <v>0.81250000002182787</v>
          </cell>
        </row>
      </sheetData>
      <sheetData sheetId="6" refreshError="1">
        <row r="115">
          <cell r="F115">
            <v>1.2083333333236321</v>
          </cell>
        </row>
      </sheetData>
      <sheetData sheetId="7" refreshError="1">
        <row r="152">
          <cell r="F152">
            <v>1.5624999999587696</v>
          </cell>
        </row>
      </sheetData>
      <sheetData sheetId="8" refreshError="1">
        <row r="69">
          <cell r="F69">
            <v>0.68229166665332741</v>
          </cell>
        </row>
      </sheetData>
      <sheetData sheetId="9" refreshError="1">
        <row r="126">
          <cell r="F126">
            <v>1.6979166666557528</v>
          </cell>
        </row>
      </sheetData>
      <sheetData sheetId="10" refreshError="1">
        <row r="35">
          <cell r="F35">
            <v>0.27430555555110914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TAIPOWER PROSPERITY V"/>
      <sheetName val="THASSOS WARRIOR"/>
      <sheetName val="EVOIKOS THEO"/>
      <sheetName val="GOLDEN HARVEST"/>
      <sheetName val="PAN ENERGEN"/>
      <sheetName val="ANGGREK LAUT"/>
      <sheetName val="NS XIAMEN"/>
      <sheetName val="ATTALIA"/>
      <sheetName val="CHANDRA KIRANA"/>
      <sheetName val="MBA LIBERTY"/>
      <sheetName val="THEMIS"/>
    </sheetNames>
    <sheetDataSet>
      <sheetData sheetId="0" refreshError="1"/>
      <sheetData sheetId="1" refreshError="1">
        <row r="146">
          <cell r="F146">
            <v>1.6770833333236321</v>
          </cell>
        </row>
      </sheetData>
      <sheetData sheetId="2" refreshError="1">
        <row r="40">
          <cell r="F40">
            <v>0.43055555555474712</v>
          </cell>
        </row>
      </sheetData>
      <sheetData sheetId="3" refreshError="1">
        <row r="117">
          <cell r="F117">
            <v>1.5590277777700976</v>
          </cell>
        </row>
      </sheetData>
      <sheetData sheetId="4" refreshError="1">
        <row r="87">
          <cell r="F87">
            <v>0.93229166666424135</v>
          </cell>
        </row>
      </sheetData>
      <sheetData sheetId="5" refreshError="1">
        <row r="138">
          <cell r="F138">
            <v>2.100694444430701</v>
          </cell>
        </row>
      </sheetData>
      <sheetData sheetId="6" refreshError="1">
        <row r="50">
          <cell r="F50">
            <v>0.30902777778101154</v>
          </cell>
        </row>
      </sheetData>
      <sheetData sheetId="7" refreshError="1">
        <row r="89">
          <cell r="F89">
            <v>1.0069444444416149</v>
          </cell>
        </row>
      </sheetData>
      <sheetData sheetId="8" refreshError="1">
        <row r="114">
          <cell r="F114">
            <v>1.1284722222250518</v>
          </cell>
        </row>
      </sheetData>
      <sheetData sheetId="9" refreshError="1">
        <row r="82">
          <cell r="F82">
            <v>0.90451388887595385</v>
          </cell>
        </row>
      </sheetData>
      <sheetData sheetId="10" refreshError="1">
        <row r="125">
          <cell r="F125">
            <v>1.6458333333127182</v>
          </cell>
        </row>
      </sheetData>
      <sheetData sheetId="11" refreshError="1">
        <row r="98">
          <cell r="F98">
            <v>1.2378472222432417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ORIENT UNION"/>
      <sheetName val="CAPE BOSS"/>
      <sheetName val="KARTINI SAMUDRA"/>
      <sheetName val="HE YUAN"/>
      <sheetName val="CEMTEX HUNTER"/>
    </sheetNames>
    <sheetDataSet>
      <sheetData sheetId="0" refreshError="1"/>
      <sheetData sheetId="1" refreshError="1">
        <row r="42">
          <cell r="F42">
            <v>0.3315972222299024</v>
          </cell>
        </row>
      </sheetData>
      <sheetData sheetId="2" refreshError="1">
        <row r="110">
          <cell r="F110">
            <v>1.2013888888929312</v>
          </cell>
        </row>
      </sheetData>
      <sheetData sheetId="3" refreshError="1">
        <row r="108">
          <cell r="F108">
            <v>1.4201388888965691</v>
          </cell>
        </row>
      </sheetData>
      <sheetData sheetId="4" refreshError="1">
        <row r="154">
          <cell r="F154">
            <v>1.4236111111264715</v>
          </cell>
        </row>
      </sheetData>
      <sheetData sheetId="5" refreshError="1">
        <row r="125">
          <cell r="F125">
            <v>1.7777777777834369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ORIENT UNION"/>
      <sheetName val="CAPE BOSS"/>
      <sheetName val="KARTINI SAMUDRA"/>
      <sheetName val="HE YUAN"/>
      <sheetName val="CEMTEX HUNTER"/>
      <sheetName val="SANTA REGINA"/>
      <sheetName val="SM DONGHAE"/>
      <sheetName val="SEA FUTURE"/>
      <sheetName val="ORIENT PR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39">
          <cell r="F139">
            <v>1.0899305555782728</v>
          </cell>
        </row>
      </sheetData>
      <sheetData sheetId="7" refreshError="1">
        <row r="60">
          <cell r="F60">
            <v>0.83854166667151731</v>
          </cell>
        </row>
      </sheetData>
      <sheetData sheetId="8" refreshError="1">
        <row r="90">
          <cell r="F90">
            <v>1.0416666666921326</v>
          </cell>
        </row>
      </sheetData>
      <sheetData sheetId="9" refreshError="1">
        <row r="94">
          <cell r="F94">
            <v>1.0902777778125408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PANAMAX UNIVERSE"/>
      <sheetName val="SHAO SHAN 1"/>
    </sheetNames>
    <sheetDataSet>
      <sheetData sheetId="0" refreshError="1"/>
      <sheetData sheetId="1" refreshError="1">
        <row r="68">
          <cell r="F68">
            <v>0.71874999999272404</v>
          </cell>
        </row>
      </sheetData>
      <sheetData sheetId="2" refreshError="1">
        <row r="40">
          <cell r="F40">
            <v>0.27951388889050577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PANAMAX UNIVERSE"/>
      <sheetName val="SHAO SHAN 1"/>
      <sheetName val="KARTINI SAMUDRA"/>
    </sheetNames>
    <sheetDataSet>
      <sheetData sheetId="0" refreshError="1"/>
      <sheetData sheetId="1" refreshError="1"/>
      <sheetData sheetId="2" refreshError="1"/>
      <sheetData sheetId="3" refreshError="1">
        <row r="108">
          <cell r="F108">
            <v>1.4131944444440403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PANAMAX UNIVERSE"/>
      <sheetName val="SHAO SHAN 1"/>
      <sheetName val="KARTINI SAMUDRA"/>
      <sheetName val="SHI DAI 8"/>
      <sheetName val="JIN RUN"/>
      <sheetName val="TRAMONTANA"/>
      <sheetName val="AGIOS NIKOLAOS 1"/>
      <sheetName val="TAIPOWER PROSPERITY VII"/>
      <sheetName val="SEA HOPE"/>
      <sheetName val="PEACE"/>
      <sheetName val="KAMBAN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2">
          <cell r="F42">
            <v>0.44791666667879326</v>
          </cell>
        </row>
      </sheetData>
      <sheetData sheetId="5" refreshError="1">
        <row r="83">
          <cell r="F83">
            <v>0.92708333330665482</v>
          </cell>
        </row>
      </sheetData>
      <sheetData sheetId="6" refreshError="1">
        <row r="128">
          <cell r="F128">
            <v>1.6718750000315292</v>
          </cell>
        </row>
      </sheetData>
      <sheetData sheetId="7" refreshError="1">
        <row r="57">
          <cell r="F57">
            <v>0.53298611111191951</v>
          </cell>
        </row>
      </sheetData>
      <sheetData sheetId="8" refreshError="1">
        <row r="146">
          <cell r="F146">
            <v>1.8298611111191956</v>
          </cell>
        </row>
      </sheetData>
      <sheetData sheetId="9" refreshError="1">
        <row r="39">
          <cell r="F39">
            <v>0.375</v>
          </cell>
        </row>
      </sheetData>
      <sheetData sheetId="10" refreshError="1">
        <row r="107">
          <cell r="F107">
            <v>1.5104166666569654</v>
          </cell>
        </row>
      </sheetData>
      <sheetData sheetId="11" refreshError="1">
        <row r="42">
          <cell r="F42">
            <v>0.52777777777737356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8"/>
      <sheetName val="Taipower Prosperity VIII"/>
      <sheetName val="Ocean Lucky"/>
      <sheetName val="Junior"/>
      <sheetName val="Ulusoy"/>
      <sheetName val="Medi Palmarola"/>
      <sheetName val="Tuo Fu 11"/>
      <sheetName val="Taipower Prosperity II"/>
    </sheetNames>
    <sheetDataSet>
      <sheetData sheetId="0"/>
      <sheetData sheetId="1">
        <row r="27">
          <cell r="F27">
            <v>0.23611111110221827</v>
          </cell>
        </row>
        <row r="32">
          <cell r="F32">
            <v>0.70138888889050577</v>
          </cell>
        </row>
      </sheetData>
      <sheetData sheetId="2">
        <row r="55">
          <cell r="F55">
            <v>2.1961805555474712</v>
          </cell>
        </row>
        <row r="60">
          <cell r="F60">
            <v>3.9895833333284827</v>
          </cell>
        </row>
      </sheetData>
      <sheetData sheetId="3">
        <row r="55">
          <cell r="F55">
            <v>2.0607638888832298</v>
          </cell>
        </row>
        <row r="60">
          <cell r="F60">
            <v>3.7708333333357587</v>
          </cell>
        </row>
      </sheetData>
      <sheetData sheetId="4">
        <row r="60">
          <cell r="F60">
            <v>1.694444444430701</v>
          </cell>
        </row>
        <row r="65">
          <cell r="F65">
            <v>3.1909722222189885</v>
          </cell>
        </row>
      </sheetData>
      <sheetData sheetId="5">
        <row r="60">
          <cell r="F60">
            <v>1.1041666666169476</v>
          </cell>
        </row>
        <row r="65">
          <cell r="F65">
            <v>2.3020833333357587</v>
          </cell>
        </row>
      </sheetData>
      <sheetData sheetId="6">
        <row r="62">
          <cell r="F62">
            <v>1.7083333333139308</v>
          </cell>
        </row>
        <row r="67">
          <cell r="F67">
            <v>3.1215277777737356</v>
          </cell>
        </row>
      </sheetData>
      <sheetData sheetId="7">
        <row r="58">
          <cell r="F58">
            <v>2.5972222222080745</v>
          </cell>
        </row>
        <row r="63">
          <cell r="F63">
            <v>4.2083333333357587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"/>
      <sheetName val="KARTINI BARUNA"/>
      <sheetName val="CHAILEASE BLOSSOM"/>
      <sheetName val="SWEET LYDIA"/>
      <sheetName val="HUAYANG DREAM"/>
      <sheetName val="PRABHU YUVIKA"/>
      <sheetName val="FORTUNE SUN"/>
      <sheetName val="INDIAN GOODWILL"/>
      <sheetName val="GU IMABARI"/>
      <sheetName val="BARCARENA"/>
      <sheetName val="SHAO SHAN 1"/>
    </sheetNames>
    <sheetDataSet>
      <sheetData sheetId="0" refreshError="1"/>
      <sheetData sheetId="1" refreshError="1">
        <row r="116">
          <cell r="F116">
            <v>1.2916666666666667</v>
          </cell>
        </row>
      </sheetData>
      <sheetData sheetId="2" refreshError="1">
        <row r="154">
          <cell r="F154">
            <v>1.5381944444585922</v>
          </cell>
        </row>
      </sheetData>
      <sheetData sheetId="3" refreshError="1">
        <row r="122">
          <cell r="F122">
            <v>1.5972222222141379</v>
          </cell>
        </row>
      </sheetData>
      <sheetData sheetId="4" refreshError="1">
        <row r="125">
          <cell r="F125">
            <v>1.4079861111264715</v>
          </cell>
        </row>
      </sheetData>
      <sheetData sheetId="5" refreshError="1">
        <row r="74">
          <cell r="F74">
            <v>0.52951388887959183</v>
          </cell>
        </row>
      </sheetData>
      <sheetData sheetId="6" refreshError="1">
        <row r="125">
          <cell r="F125">
            <v>1.5243055555498966</v>
          </cell>
        </row>
      </sheetData>
      <sheetData sheetId="7" refreshError="1">
        <row r="135">
          <cell r="F135">
            <v>1.4548611111046437</v>
          </cell>
        </row>
      </sheetData>
      <sheetData sheetId="8" refreshError="1">
        <row r="135">
          <cell r="F135">
            <v>1.2534722222250518</v>
          </cell>
        </row>
      </sheetData>
      <sheetData sheetId="9" refreshError="1">
        <row r="81">
          <cell r="F81">
            <v>0.72222222221049981</v>
          </cell>
        </row>
      </sheetData>
      <sheetData sheetId="10" refreshError="1">
        <row r="50">
          <cell r="F50">
            <v>0.42013888889778173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"/>
      <sheetName val="CHANDRA KIRANA"/>
      <sheetName val="CHANG SHENG"/>
    </sheetNames>
    <sheetDataSet>
      <sheetData sheetId="0" refreshError="1"/>
      <sheetData sheetId="1" refreshError="1">
        <row r="118">
          <cell r="F118">
            <v>1.3993055555717244</v>
          </cell>
        </row>
      </sheetData>
      <sheetData sheetId="2" refreshError="1">
        <row r="121">
          <cell r="F121">
            <v>1.873263888914759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"/>
      <sheetName val="MARILOULA"/>
      <sheetName val="AQUAMARINE"/>
      <sheetName val="MOVERS 3"/>
      <sheetName val="MEDI KYOTO"/>
      <sheetName val="STAR MARKELLA"/>
      <sheetName val="COLOSSUS"/>
    </sheetNames>
    <sheetDataSet>
      <sheetData sheetId="0" refreshError="1"/>
      <sheetData sheetId="1" refreshError="1">
        <row r="80">
          <cell r="F80">
            <v>0.8611111110985803</v>
          </cell>
        </row>
      </sheetData>
      <sheetData sheetId="2" refreshError="1">
        <row r="131">
          <cell r="F131">
            <v>1.5520833333248447</v>
          </cell>
        </row>
      </sheetData>
      <sheetData sheetId="3" refreshError="1">
        <row r="124">
          <cell r="F124">
            <v>1.4791666666630288</v>
          </cell>
        </row>
      </sheetData>
      <sheetData sheetId="4" refreshError="1">
        <row r="158">
          <cell r="F158">
            <v>1.7447916666557528</v>
          </cell>
        </row>
      </sheetData>
      <sheetData sheetId="5" refreshError="1">
        <row r="100">
          <cell r="F100">
            <v>1.2083333333272701</v>
          </cell>
        </row>
      </sheetData>
      <sheetData sheetId="6" refreshError="1">
        <row r="122">
          <cell r="F122">
            <v>1.4305555555498966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"/>
      <sheetName val="ORIENT UNION"/>
      <sheetName val="LUMOSO KASIH"/>
      <sheetName val="MARAN BRILLIANCE"/>
      <sheetName val="CHANG MING"/>
      <sheetName val="JIN TAI FENG"/>
      <sheetName val="PAN ENERGEN"/>
      <sheetName val="CHANG MING (2)"/>
      <sheetName val="CAPTAIN J NEOFOTISTOS"/>
      <sheetName val="HONG XIANG"/>
      <sheetName val="MINERAL DRAGON"/>
      <sheetName val="OCEAN ARTEMIS"/>
      <sheetName val="GOLDEN DAISY"/>
      <sheetName val="LOWLANDS SPIRIT"/>
      <sheetName val="MINERAL NOBEL"/>
      <sheetName val="HAMPTON OCEAN"/>
    </sheetNames>
    <sheetDataSet>
      <sheetData sheetId="0" refreshError="1"/>
      <sheetData sheetId="1" refreshError="1">
        <row r="91">
          <cell r="F91">
            <v>1.0364583333321207</v>
          </cell>
        </row>
      </sheetData>
      <sheetData sheetId="2" refreshError="1">
        <row r="114">
          <cell r="F114">
            <v>1.3541666666739427</v>
          </cell>
        </row>
      </sheetData>
      <sheetData sheetId="3" refreshError="1">
        <row r="26">
          <cell r="F26">
            <v>7.9861111109494232E-2</v>
          </cell>
        </row>
      </sheetData>
      <sheetData sheetId="4" refreshError="1">
        <row r="45">
          <cell r="F45">
            <v>0.31770833333212067</v>
          </cell>
        </row>
      </sheetData>
      <sheetData sheetId="5" refreshError="1">
        <row r="139">
          <cell r="F139">
            <v>1.6197916667066845</v>
          </cell>
        </row>
      </sheetData>
      <sheetData sheetId="6" refreshError="1">
        <row r="133">
          <cell r="F133">
            <v>1.4305555555389826</v>
          </cell>
        </row>
      </sheetData>
      <sheetData sheetId="7" refreshError="1">
        <row r="25">
          <cell r="F25">
            <v>0.125</v>
          </cell>
        </row>
      </sheetData>
      <sheetData sheetId="8" refreshError="1">
        <row r="50">
          <cell r="F50">
            <v>0.41319444444161491</v>
          </cell>
        </row>
      </sheetData>
      <sheetData sheetId="9" refreshError="1">
        <row r="89">
          <cell r="F89">
            <v>0.99826388889050577</v>
          </cell>
        </row>
      </sheetData>
      <sheetData sheetId="10" refreshError="1">
        <row r="192">
          <cell r="F192">
            <v>3.045138888889293</v>
          </cell>
        </row>
      </sheetData>
      <sheetData sheetId="11" refreshError="1">
        <row r="81">
          <cell r="F81">
            <v>0.93749999998544808</v>
          </cell>
        </row>
      </sheetData>
      <sheetData sheetId="12" refreshError="1">
        <row r="61">
          <cell r="F61">
            <v>0.51562499999636202</v>
          </cell>
        </row>
      </sheetData>
      <sheetData sheetId="13" refreshError="1">
        <row r="125">
          <cell r="F125">
            <v>1.4652777777955635</v>
          </cell>
        </row>
      </sheetData>
      <sheetData sheetId="14" refreshError="1">
        <row r="86">
          <cell r="F86">
            <v>0.94618055557293701</v>
          </cell>
        </row>
      </sheetData>
      <sheetData sheetId="15" refreshError="1">
        <row r="88">
          <cell r="F88">
            <v>1.0538194444452529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"/>
      <sheetName val="ANGLO BARINTHUS"/>
      <sheetName val="HAMPTON OCEAN"/>
      <sheetName val="MINERAL NOBLE"/>
      <sheetName val="THALASSINI AGATHA"/>
      <sheetName val="ANGLO BARINTHUS (2)"/>
      <sheetName val="THALASSINI AGATHA (2)"/>
      <sheetName val="FAR EASTERN MERCURY"/>
      <sheetName val="OCEAN ARTEMIS"/>
      <sheetName val="SENTOSA SPIRIT"/>
      <sheetName val="BULK LAMBERT"/>
      <sheetName val="TAIPOWER PROSPERITY V"/>
      <sheetName val="LILA NANTONG"/>
      <sheetName val="SKYROS"/>
    </sheetNames>
    <sheetDataSet>
      <sheetData sheetId="0" refreshError="1"/>
      <sheetData sheetId="1" refreshError="1">
        <row r="59">
          <cell r="F59">
            <v>0.62673611110585625</v>
          </cell>
        </row>
      </sheetData>
      <sheetData sheetId="2" refreshError="1">
        <row r="57">
          <cell r="F57">
            <v>0.55555555556202307</v>
          </cell>
        </row>
      </sheetData>
      <sheetData sheetId="3" refreshError="1">
        <row r="108">
          <cell r="F108">
            <v>1.9861111110949423</v>
          </cell>
        </row>
      </sheetData>
      <sheetData sheetId="4" refreshError="1">
        <row r="60">
          <cell r="F60">
            <v>0.57465277778101154</v>
          </cell>
        </row>
      </sheetData>
      <sheetData sheetId="5" refreshError="1">
        <row r="64">
          <cell r="F64">
            <v>0.59375000001091394</v>
          </cell>
        </row>
      </sheetData>
      <sheetData sheetId="6" refreshError="1">
        <row r="60">
          <cell r="F60">
            <v>0.77083333333212067</v>
          </cell>
        </row>
      </sheetData>
      <sheetData sheetId="7" refreshError="1">
        <row r="79">
          <cell r="F79">
            <v>0.94444444445131615</v>
          </cell>
        </row>
      </sheetData>
      <sheetData sheetId="8" refreshError="1">
        <row r="108">
          <cell r="F108">
            <v>1.2899305555426206</v>
          </cell>
        </row>
      </sheetData>
      <sheetData sheetId="9" refreshError="1">
        <row r="148">
          <cell r="F148">
            <v>1.5625000000024254</v>
          </cell>
        </row>
      </sheetData>
      <sheetData sheetId="10" refreshError="1">
        <row r="74">
          <cell r="F74">
            <v>0.8350694444598048</v>
          </cell>
        </row>
      </sheetData>
      <sheetData sheetId="11" refreshError="1">
        <row r="161">
          <cell r="F161">
            <v>1.8020833333199942</v>
          </cell>
        </row>
      </sheetData>
      <sheetData sheetId="12" refreshError="1">
        <row r="129">
          <cell r="F129">
            <v>1.2239583333284827</v>
          </cell>
        </row>
      </sheetData>
      <sheetData sheetId="13" refreshError="1">
        <row r="49">
          <cell r="F49">
            <v>0.40451388889050577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"/>
      <sheetName val="FOMENTO ONE"/>
      <sheetName val="LUMOSO KASIH"/>
      <sheetName val="HONG RUN 6"/>
      <sheetName val="NEW ELLY"/>
      <sheetName val="TAIPOWER PROSPERITY V"/>
      <sheetName val="RESTINGA"/>
      <sheetName val="MAHA ANOSHA"/>
      <sheetName val="ATMOSPHERE"/>
      <sheetName val="RESTINGA (2)"/>
      <sheetName val="TW MANILA"/>
      <sheetName val="YANGTZE XING ZHONG"/>
      <sheetName val="GOLDEN SCAPE"/>
    </sheetNames>
    <sheetDataSet>
      <sheetData sheetId="0" refreshError="1"/>
      <sheetData sheetId="1" refreshError="1">
        <row r="103">
          <cell r="F103">
            <v>1.2812500000109139</v>
          </cell>
        </row>
      </sheetData>
      <sheetData sheetId="2" refreshError="1">
        <row r="110">
          <cell r="F110">
            <v>1.3576388888977817</v>
          </cell>
        </row>
      </sheetData>
      <sheetData sheetId="3" refreshError="1">
        <row r="141">
          <cell r="F141">
            <v>1.6284722222432417</v>
          </cell>
        </row>
      </sheetData>
      <sheetData sheetId="4" refreshError="1">
        <row r="58">
          <cell r="F58">
            <v>0.61805555555110914</v>
          </cell>
        </row>
      </sheetData>
      <sheetData sheetId="5" refreshError="1">
        <row r="140">
          <cell r="F140">
            <v>1.6770833333090802</v>
          </cell>
        </row>
      </sheetData>
      <sheetData sheetId="6" refreshError="1">
        <row r="67">
          <cell r="F67">
            <v>0.55381944444889086</v>
          </cell>
        </row>
      </sheetData>
      <sheetData sheetId="7" refreshError="1">
        <row r="85">
          <cell r="F85">
            <v>0.90451388889050577</v>
          </cell>
        </row>
      </sheetData>
      <sheetData sheetId="8" refreshError="1">
        <row r="102">
          <cell r="F102">
            <v>1.0625000000278912</v>
          </cell>
        </row>
      </sheetData>
      <sheetData sheetId="9" refreshError="1">
        <row r="100">
          <cell r="F100">
            <v>0.93576388887837914</v>
          </cell>
        </row>
      </sheetData>
      <sheetData sheetId="10" refreshError="1">
        <row r="135">
          <cell r="F135">
            <v>1.7604166666812187</v>
          </cell>
        </row>
      </sheetData>
      <sheetData sheetId="11" refreshError="1">
        <row r="56">
          <cell r="F56">
            <v>0.47569444444889086</v>
          </cell>
        </row>
      </sheetData>
      <sheetData sheetId="12" refreshError="1">
        <row r="102">
          <cell r="F102">
            <v>1.3993055555426206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"/>
      <sheetName val="RUBY INDAH"/>
      <sheetName val="ORIENT PRIMA"/>
      <sheetName val="STAR EUROPE"/>
      <sheetName val="CARO"/>
      <sheetName val="GENCO RESOLUTE"/>
      <sheetName val="CARO (2)"/>
      <sheetName val="AM GHENT"/>
      <sheetName val="ALEXANDRA P"/>
      <sheetName val="EGRET STAR"/>
      <sheetName val="AQUAVITA SKY"/>
      <sheetName val="CAMELLIA ISLAND"/>
      <sheetName val="BBG YULIN"/>
      <sheetName val="CORINTHIAN PHOENIX"/>
      <sheetName val="PRABHU SUMAT"/>
    </sheetNames>
    <sheetDataSet>
      <sheetData sheetId="0" refreshError="1"/>
      <sheetData sheetId="1" refreshError="1">
        <row r="82">
          <cell r="F82">
            <v>0.80034722222141375</v>
          </cell>
        </row>
      </sheetData>
      <sheetData sheetId="2" refreshError="1">
        <row r="91">
          <cell r="F91">
            <v>0.99479166666302865</v>
          </cell>
        </row>
      </sheetData>
      <sheetData sheetId="3" refreshError="1">
        <row r="103">
          <cell r="F103">
            <v>1.1927083333102928</v>
          </cell>
        </row>
      </sheetData>
      <sheetData sheetId="4" refreshError="1">
        <row r="56">
          <cell r="F56">
            <v>0.49131944445252884</v>
          </cell>
        </row>
      </sheetData>
      <sheetData sheetId="5" refreshError="1">
        <row r="84">
          <cell r="F84">
            <v>1.1059027777773736</v>
          </cell>
        </row>
      </sheetData>
      <sheetData sheetId="6" refreshError="1">
        <row r="63">
          <cell r="F63">
            <v>0.60069444445252884</v>
          </cell>
        </row>
      </sheetData>
      <sheetData sheetId="7" refreshError="1">
        <row r="62">
          <cell r="F62">
            <v>0.60243055556566105</v>
          </cell>
        </row>
      </sheetData>
      <sheetData sheetId="8" refreshError="1">
        <row r="121">
          <cell r="F121">
            <v>1.6163194444343389</v>
          </cell>
        </row>
      </sheetData>
      <sheetData sheetId="9" refreshError="1">
        <row r="33">
          <cell r="F33">
            <v>0.14062500000363798</v>
          </cell>
        </row>
      </sheetData>
      <sheetData sheetId="10" refreshError="1">
        <row r="130">
          <cell r="F130">
            <v>1.5208333333127182</v>
          </cell>
        </row>
      </sheetData>
      <sheetData sheetId="11" refreshError="1">
        <row r="114">
          <cell r="F114">
            <v>1.4027777777979888</v>
          </cell>
        </row>
      </sheetData>
      <sheetData sheetId="12" refreshError="1">
        <row r="137">
          <cell r="F137">
            <v>1.5156249999951494</v>
          </cell>
        </row>
      </sheetData>
      <sheetData sheetId="13" refreshError="1">
        <row r="52">
          <cell r="F52">
            <v>0.71354166666424135</v>
          </cell>
        </row>
      </sheetData>
      <sheetData sheetId="14" refreshError="1">
        <row r="129">
          <cell r="F129">
            <v>1.4010416666703047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KARTINI SAMUDRA"/>
      <sheetName val="ORIENTAL ENTERPRISE"/>
      <sheetName val="ULUSOY 12"/>
      <sheetName val="ASL MOON"/>
      <sheetName val="FLYING TIGER"/>
      <sheetName val="PARAPOLA"/>
      <sheetName val="SHEN YU 79"/>
      <sheetName val="GIACOMETTI"/>
      <sheetName val="REGINA OLDENDORFF"/>
      <sheetName val="MINERAL DRAGON"/>
      <sheetName val="THERESA JILIN"/>
    </sheetNames>
    <sheetDataSet>
      <sheetData sheetId="0" refreshError="1"/>
      <sheetData sheetId="1" refreshError="1">
        <row r="106">
          <cell r="F106">
            <v>1.302083333341822</v>
          </cell>
        </row>
      </sheetData>
      <sheetData sheetId="2" refreshError="1">
        <row r="65">
          <cell r="F65">
            <v>0.57465277777373558</v>
          </cell>
        </row>
      </sheetData>
      <sheetData sheetId="3" refreshError="1">
        <row r="112">
          <cell r="F112">
            <v>1.1076388888747413</v>
          </cell>
        </row>
      </sheetData>
      <sheetData sheetId="4" refreshError="1">
        <row r="111">
          <cell r="F111">
            <v>1.3194444444367643</v>
          </cell>
        </row>
      </sheetData>
      <sheetData sheetId="5" refreshError="1">
        <row r="41">
          <cell r="F41">
            <v>0.27777777778101154</v>
          </cell>
        </row>
      </sheetData>
      <sheetData sheetId="6" refreshError="1">
        <row r="91">
          <cell r="F91">
            <v>1.3506944444476783</v>
          </cell>
        </row>
      </sheetData>
      <sheetData sheetId="7" refreshError="1">
        <row r="49">
          <cell r="F49">
            <v>0.21527777777737356</v>
          </cell>
        </row>
      </sheetData>
      <sheetData sheetId="8" refreshError="1">
        <row r="35">
          <cell r="F35">
            <v>0.28472222221535048</v>
          </cell>
        </row>
      </sheetData>
      <sheetData sheetId="9" refreshError="1">
        <row r="180">
          <cell r="F180">
            <v>2.1180555555426204</v>
          </cell>
        </row>
      </sheetData>
      <sheetData sheetId="10" refreshError="1"/>
      <sheetData sheetId="11" refreshError="1">
        <row r="92">
          <cell r="F92">
            <v>1.0815972222299024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"/>
      <sheetName val="KARTINI SAMUDRA"/>
      <sheetName val="ORIENTAL ENTERPRISE"/>
      <sheetName val="ULUSOY 12"/>
      <sheetName val="ASL MOON"/>
      <sheetName val="FLYING TIGER"/>
      <sheetName val="PARAPOLA"/>
      <sheetName val="SHEN YU 79"/>
      <sheetName val="GIACOMETTI"/>
      <sheetName val="REGINA OLDENDORFF"/>
      <sheetName val="MINERAL DRAGON"/>
      <sheetName val="THERESA JIL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28">
          <cell r="F228">
            <v>2.9722222222214136</v>
          </cell>
        </row>
      </sheetData>
      <sheetData sheetId="1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CAPE PROTEUS"/>
      <sheetName val="WISDOM OF THE SEA 1"/>
      <sheetName val="MANALAGI ASTI"/>
      <sheetName val="WISDOM OF THE SEA 1 (2)"/>
      <sheetName val="LUMOSO KASIH"/>
      <sheetName val="HONG RUN 6"/>
      <sheetName val="HEIDE"/>
      <sheetName val="AUSCA 1"/>
      <sheetName val="TAIPOWER PROSPERITY VIII"/>
      <sheetName val="LUMOSO PRATAMA"/>
      <sheetName val="MARIA NASHWAH"/>
      <sheetName val="GRAMPUS CHARM"/>
    </sheetNames>
    <sheetDataSet>
      <sheetData sheetId="0" refreshError="1"/>
      <sheetData sheetId="1" refreshError="1">
        <row r="203">
          <cell r="F203">
            <v>2.6770833333490978</v>
          </cell>
        </row>
      </sheetData>
      <sheetData sheetId="2" refreshError="1">
        <row r="109">
          <cell r="F109">
            <v>1.2065972222153505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54">
          <cell r="F154">
            <v>1.559027777779799</v>
          </cell>
        </row>
      </sheetData>
      <sheetData sheetId="8" refreshError="1">
        <row r="136">
          <cell r="F136">
            <v>1.4374999999660456</v>
          </cell>
        </row>
      </sheetData>
      <sheetData sheetId="9" refreshError="1">
        <row r="137">
          <cell r="F137">
            <v>1.6701388888565514</v>
          </cell>
        </row>
      </sheetData>
      <sheetData sheetId="10" refreshError="1">
        <row r="111">
          <cell r="F111">
            <v>1.2361111111155576</v>
          </cell>
        </row>
      </sheetData>
      <sheetData sheetId="11" refreshError="1">
        <row r="128">
          <cell r="F128">
            <v>1.2951388888711033</v>
          </cell>
        </row>
      </sheetData>
      <sheetData sheetId="12" refreshError="1">
        <row r="90">
          <cell r="F90">
            <v>0.97048611109009164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8"/>
      <sheetName val="Panamax Universe"/>
      <sheetName val="Glory Energy"/>
      <sheetName val="Bottiglieri Ambition"/>
      <sheetName val="Thetis"/>
      <sheetName val="Taipower Prosperity II"/>
      <sheetName val="Pounda"/>
      <sheetName val="Sea Opal"/>
    </sheetNames>
    <sheetDataSet>
      <sheetData sheetId="0" refreshError="1"/>
      <sheetData sheetId="1" refreshError="1">
        <row r="59">
          <cell r="F59">
            <v>1.1874999999890861</v>
          </cell>
        </row>
        <row r="64">
          <cell r="F64">
            <v>2.7708333333357587</v>
          </cell>
        </row>
      </sheetData>
      <sheetData sheetId="2" refreshError="1">
        <row r="71">
          <cell r="F71">
            <v>2.5711805555401952</v>
          </cell>
        </row>
        <row r="76">
          <cell r="F76">
            <v>4.5625</v>
          </cell>
        </row>
      </sheetData>
      <sheetData sheetId="3" refreshError="1">
        <row r="63">
          <cell r="F63">
            <v>2.0052083333139308</v>
          </cell>
        </row>
        <row r="68">
          <cell r="F68">
            <v>3.8993055555547471</v>
          </cell>
        </row>
      </sheetData>
      <sheetData sheetId="4" refreshError="1">
        <row r="26">
          <cell r="F26">
            <v>0.24305555555838509</v>
          </cell>
        </row>
        <row r="31">
          <cell r="F31">
            <v>0.84027777778101154</v>
          </cell>
        </row>
      </sheetData>
      <sheetData sheetId="5" refreshError="1">
        <row r="54">
          <cell r="F54">
            <v>1.6267361111094942</v>
          </cell>
        </row>
        <row r="59">
          <cell r="F59">
            <v>3.3333333333357587</v>
          </cell>
        </row>
      </sheetData>
      <sheetData sheetId="6" refreshError="1">
        <row r="56">
          <cell r="F56">
            <v>2.6770833333539485</v>
          </cell>
        </row>
        <row r="61">
          <cell r="F61">
            <v>4.5763888888905058</v>
          </cell>
        </row>
      </sheetData>
      <sheetData sheetId="7" refreshError="1">
        <row r="47">
          <cell r="F47">
            <v>0.92881944444525288</v>
          </cell>
        </row>
        <row r="52">
          <cell r="F52">
            <v>2.1319444444452529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"/>
      <sheetName val="CAPE PROTEUS"/>
      <sheetName val="WISDOM OF THE SEA 1"/>
      <sheetName val="MANALAGI ASTI"/>
      <sheetName val="WISDOM OF THE SEA 1 (2)"/>
      <sheetName val="LUMOSO KASIH"/>
      <sheetName val="HONG RUN 6"/>
    </sheetNames>
    <sheetDataSet>
      <sheetData sheetId="0" refreshError="1"/>
      <sheetData sheetId="1" refreshError="1"/>
      <sheetData sheetId="2" refreshError="1"/>
      <sheetData sheetId="3" refreshError="1">
        <row r="120">
          <cell r="F120">
            <v>1.2812499999818101</v>
          </cell>
        </row>
      </sheetData>
      <sheetData sheetId="4" refreshError="1">
        <row r="45">
          <cell r="F45">
            <v>0.40972222222262644</v>
          </cell>
        </row>
      </sheetData>
      <sheetData sheetId="5" refreshError="1">
        <row r="120">
          <cell r="F120">
            <v>1.4340277777834369</v>
          </cell>
        </row>
      </sheetData>
      <sheetData sheetId="6" refreshError="1">
        <row r="55">
          <cell r="F55">
            <v>0.55208333332848269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"/>
      <sheetName val="MANALAGI DASA"/>
      <sheetName val="AVALON"/>
      <sheetName val="WELPROFIT"/>
      <sheetName val="GH POWER"/>
      <sheetName val="BEI LUN HAI SHI"/>
      <sheetName val="CEMTEX HONOR"/>
      <sheetName val="NING MAY"/>
      <sheetName val="SHI DAI 20"/>
      <sheetName val="NAVIOS PHOENIX"/>
      <sheetName val="KYLA FORTUNE"/>
    </sheetNames>
    <sheetDataSet>
      <sheetData sheetId="0" refreshError="1"/>
      <sheetData sheetId="1" refreshError="1">
        <row r="121">
          <cell r="F121">
            <v>1.4097222222104999</v>
          </cell>
        </row>
      </sheetData>
      <sheetData sheetId="2" refreshError="1">
        <row r="129">
          <cell r="F129">
            <v>1.6145833333163562</v>
          </cell>
        </row>
      </sheetData>
      <sheetData sheetId="3" refreshError="1">
        <row r="139">
          <cell r="F139">
            <v>1.7256944444294884</v>
          </cell>
        </row>
      </sheetData>
      <sheetData sheetId="4" refreshError="1">
        <row r="72">
          <cell r="F72">
            <v>0.73611111111313221</v>
          </cell>
        </row>
      </sheetData>
      <sheetData sheetId="5" refreshError="1">
        <row r="57">
          <cell r="F57">
            <v>0.42534722221535048</v>
          </cell>
        </row>
      </sheetData>
      <sheetData sheetId="6" refreshError="1">
        <row r="125">
          <cell r="F125">
            <v>1.527777777768885</v>
          </cell>
        </row>
      </sheetData>
      <sheetData sheetId="7" refreshError="1">
        <row r="134">
          <cell r="F134">
            <v>1.6354166666521148</v>
          </cell>
        </row>
      </sheetData>
      <sheetData sheetId="8" refreshError="1">
        <row r="144">
          <cell r="F144">
            <v>1.6423611111119196</v>
          </cell>
        </row>
      </sheetData>
      <sheetData sheetId="9" refreshError="1">
        <row r="73">
          <cell r="F73">
            <v>0.71875</v>
          </cell>
        </row>
      </sheetData>
      <sheetData sheetId="10" refreshError="1">
        <row r="122">
          <cell r="F122">
            <v>1.7118055555644485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"/>
      <sheetName val="VALADON"/>
      <sheetName val="ZALEHA FITRAT"/>
      <sheetName val="ANASTHASIA"/>
      <sheetName val="ATHENIAN PHOENIX (A)"/>
      <sheetName val="ATHENIAN PHOENIX (B)"/>
      <sheetName val="RISCEA"/>
      <sheetName val="MAGIC VENUS"/>
      <sheetName val="GENCO LIBERTY"/>
      <sheetName val="ANGLO CYNOSURE"/>
    </sheetNames>
    <sheetDataSet>
      <sheetData sheetId="0" refreshError="1"/>
      <sheetData sheetId="1" refreshError="1">
        <row r="87">
          <cell r="F87">
            <v>1.1909722222044365</v>
          </cell>
        </row>
      </sheetData>
      <sheetData sheetId="2" refreshError="1">
        <row r="126">
          <cell r="F126">
            <v>1.3333333333127182</v>
          </cell>
        </row>
      </sheetData>
      <sheetData sheetId="3" refreshError="1">
        <row r="146">
          <cell r="F146">
            <v>1.30208333334546</v>
          </cell>
        </row>
      </sheetData>
      <sheetData sheetId="4" refreshError="1">
        <row r="113">
          <cell r="F113">
            <v>1.7135706018489145</v>
          </cell>
        </row>
      </sheetData>
      <sheetData sheetId="5" refreshError="1">
        <row r="133">
          <cell r="F133">
            <v>1.7708333333430346</v>
          </cell>
        </row>
      </sheetData>
      <sheetData sheetId="6" refreshError="1">
        <row r="158">
          <cell r="F158">
            <v>1.8593749999660456</v>
          </cell>
        </row>
      </sheetData>
      <sheetData sheetId="7" refreshError="1">
        <row r="78">
          <cell r="F78">
            <v>0.84548611109130434</v>
          </cell>
        </row>
      </sheetData>
      <sheetData sheetId="8" refreshError="1">
        <row r="124">
          <cell r="F124">
            <v>1.3628472222117125</v>
          </cell>
        </row>
      </sheetData>
      <sheetData sheetId="9" refreshError="1">
        <row r="138">
          <cell r="F138">
            <v>1.9305555555717244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"/>
      <sheetName val="ORIENTAL GLORY"/>
      <sheetName val="MIYAGAWA MARU"/>
      <sheetName val="HERUN CHINA"/>
      <sheetName val="SPRING PROGRESS"/>
      <sheetName val="BERGE ISHIZUCHI (A)"/>
      <sheetName val="BERGE ISHIZUCHI (B)"/>
      <sheetName val="BERGE ISHIZUCHI (C)"/>
      <sheetName val="BERGE ISHIZUCHI (D)"/>
    </sheetNames>
    <sheetDataSet>
      <sheetData sheetId="0" refreshError="1"/>
      <sheetData sheetId="1" refreshError="1">
        <row r="104">
          <cell r="F104">
            <v>1.2256944444476783</v>
          </cell>
        </row>
      </sheetData>
      <sheetData sheetId="2" refreshError="1">
        <row r="87">
          <cell r="F87">
            <v>1.0503472222117125</v>
          </cell>
        </row>
      </sheetData>
      <sheetData sheetId="3" refreshError="1">
        <row r="119">
          <cell r="F119">
            <v>1.3611111111094942</v>
          </cell>
        </row>
      </sheetData>
      <sheetData sheetId="4" refreshError="1">
        <row r="108">
          <cell r="F108">
            <v>1.0659722222177759</v>
          </cell>
        </row>
      </sheetData>
      <sheetData sheetId="5" refreshError="1">
        <row r="43">
          <cell r="F43">
            <v>0.68055555556566105</v>
          </cell>
        </row>
      </sheetData>
      <sheetData sheetId="6" refreshError="1">
        <row r="64">
          <cell r="F64">
            <v>0.63541666667515528</v>
          </cell>
        </row>
      </sheetData>
      <sheetData sheetId="7" refreshError="1">
        <row r="87">
          <cell r="F87">
            <v>1.3888888889232476</v>
          </cell>
        </row>
      </sheetData>
      <sheetData sheetId="8" refreshError="1">
        <row r="111">
          <cell r="F111">
            <v>1.2951388888723159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"/>
      <sheetName val="KARTINI BARUNA"/>
      <sheetName val="ORIENT VESTA"/>
      <sheetName val="SDTR ALICE"/>
      <sheetName val="JR SUMMER"/>
      <sheetName val="NEFELI C"/>
      <sheetName val="AE JUPITER"/>
      <sheetName val="GENCO DEFENDER"/>
      <sheetName val="DESPINA D"/>
      <sheetName val="ILLAWARRA FORTUNE"/>
    </sheetNames>
    <sheetDataSet>
      <sheetData sheetId="0" refreshError="1"/>
      <sheetData sheetId="1" refreshError="1">
        <row r="115">
          <cell r="F115">
            <v>1.2743055555498966</v>
          </cell>
        </row>
      </sheetData>
      <sheetData sheetId="2" refreshError="1">
        <row r="137">
          <cell r="F137">
            <v>1.4618055555317067</v>
          </cell>
        </row>
      </sheetData>
      <sheetData sheetId="3" refreshError="1">
        <row r="149">
          <cell r="F149">
            <v>1.7743055555608105</v>
          </cell>
        </row>
      </sheetData>
      <sheetData sheetId="4" refreshError="1">
        <row r="127">
          <cell r="F127">
            <v>1.5381944444416149</v>
          </cell>
        </row>
      </sheetData>
      <sheetData sheetId="5" refreshError="1">
        <row r="50">
          <cell r="F50">
            <v>0.52430555557293701</v>
          </cell>
        </row>
      </sheetData>
      <sheetData sheetId="6" refreshError="1">
        <row r="113">
          <cell r="F113">
            <v>1.366319444430701</v>
          </cell>
        </row>
      </sheetData>
      <sheetData sheetId="7" refreshError="1">
        <row r="222">
          <cell r="F222">
            <v>3.1562499999587694</v>
          </cell>
        </row>
      </sheetData>
      <sheetData sheetId="8" refreshError="1">
        <row r="118">
          <cell r="F118">
            <v>1.3472222222189885</v>
          </cell>
        </row>
      </sheetData>
      <sheetData sheetId="9" refreshError="1">
        <row r="47">
          <cell r="F47">
            <v>0.35763888889414375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 2018"/>
      <sheetName val="Yokohama"/>
      <sheetName val="Tuo Fu 11"/>
      <sheetName val="Ocean Carrier"/>
      <sheetName val="Shao Shan 1"/>
      <sheetName val="Dewi Parwati"/>
      <sheetName val="Ying Shun"/>
      <sheetName val="Eastern Glamour"/>
      <sheetName val="Well Deep"/>
    </sheetNames>
    <sheetDataSet>
      <sheetData sheetId="0" refreshError="1"/>
      <sheetData sheetId="1">
        <row r="37">
          <cell r="F37">
            <v>0.53819444444525288</v>
          </cell>
        </row>
        <row r="43">
          <cell r="F43">
            <v>1.3194444444452529</v>
          </cell>
        </row>
      </sheetData>
      <sheetData sheetId="2">
        <row r="36">
          <cell r="F36">
            <v>0.4704861110985803</v>
          </cell>
        </row>
        <row r="42">
          <cell r="F42">
            <v>1.2395833333357587</v>
          </cell>
        </row>
      </sheetData>
      <sheetData sheetId="3">
        <row r="31">
          <cell r="F31">
            <v>0.24131944444161491</v>
          </cell>
        </row>
        <row r="37">
          <cell r="F37">
            <v>0.92708333333575865</v>
          </cell>
        </row>
      </sheetData>
      <sheetData sheetId="4">
        <row r="32">
          <cell r="F32">
            <v>0.265625</v>
          </cell>
        </row>
        <row r="38">
          <cell r="F38">
            <v>0.73958333332848269</v>
          </cell>
        </row>
      </sheetData>
      <sheetData sheetId="5">
        <row r="27">
          <cell r="F27">
            <v>0.28993055556566105</v>
          </cell>
        </row>
        <row r="33">
          <cell r="F33">
            <v>0.61458333333575865</v>
          </cell>
        </row>
      </sheetData>
      <sheetData sheetId="6">
        <row r="58">
          <cell r="F58">
            <v>1.6128472222153505</v>
          </cell>
        </row>
        <row r="64">
          <cell r="F64">
            <v>3.0555555555547471</v>
          </cell>
        </row>
      </sheetData>
      <sheetData sheetId="7">
        <row r="59">
          <cell r="F59">
            <v>3.5364583333066548</v>
          </cell>
        </row>
        <row r="65">
          <cell r="F65">
            <v>5.4375</v>
          </cell>
        </row>
      </sheetData>
      <sheetData sheetId="8">
        <row r="31">
          <cell r="F31">
            <v>0.78993055555110914</v>
          </cell>
        </row>
        <row r="35">
          <cell r="F35">
            <v>1.4548611111167702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8"/>
      <sheetName val="New Herald"/>
      <sheetName val="Dubai Pride"/>
      <sheetName val="Yue Dian 81"/>
      <sheetName val="MSXT Capella"/>
    </sheetNames>
    <sheetDataSet>
      <sheetData sheetId="0" refreshError="1"/>
      <sheetData sheetId="1">
        <row r="61">
          <cell r="F61">
            <v>2.7430555555256433</v>
          </cell>
        </row>
        <row r="67">
          <cell r="F67">
            <v>4.1458333333284827</v>
          </cell>
        </row>
      </sheetData>
      <sheetData sheetId="2">
        <row r="56">
          <cell r="F56">
            <v>3.2847222222007986</v>
          </cell>
        </row>
        <row r="62">
          <cell r="F62">
            <v>4.7048611111094942</v>
          </cell>
        </row>
      </sheetData>
      <sheetData sheetId="3">
        <row r="53">
          <cell r="F53">
            <v>3.0468750000109139</v>
          </cell>
        </row>
        <row r="59">
          <cell r="F59">
            <v>4.25</v>
          </cell>
        </row>
      </sheetData>
      <sheetData sheetId="4">
        <row r="53">
          <cell r="F53">
            <v>1.0347222222007986</v>
          </cell>
        </row>
        <row r="57">
          <cell r="F57">
            <v>2.7083333333357587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Andhika Paramesti"/>
      <sheetName val="Night Kiss"/>
    </sheetNames>
    <sheetDataSet>
      <sheetData sheetId="0"/>
      <sheetData sheetId="1">
        <row r="52">
          <cell r="F52">
            <v>1.2135416666715173</v>
          </cell>
        </row>
        <row r="58">
          <cell r="F58">
            <v>2.4791666666642413</v>
          </cell>
        </row>
      </sheetData>
      <sheetData sheetId="2">
        <row r="56">
          <cell r="F56">
            <v>0.9340277777700976</v>
          </cell>
        </row>
        <row r="62">
          <cell r="F62">
            <v>2.5138888888905058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8"/>
      <sheetName val="Andhika Paramesti"/>
      <sheetName val="Night Kiss"/>
      <sheetName val="Zheng Hao"/>
      <sheetName val="Chang Ming"/>
      <sheetName val="Captain Vangelis"/>
      <sheetName val="Yue Dian 9"/>
      <sheetName val="Jag Anand"/>
      <sheetName val="Darya Moti"/>
    </sheetNames>
    <sheetDataSet>
      <sheetData sheetId="0"/>
      <sheetData sheetId="1"/>
      <sheetData sheetId="2"/>
      <sheetData sheetId="3">
        <row r="36">
          <cell r="F36">
            <v>0.34375000001455192</v>
          </cell>
        </row>
        <row r="42">
          <cell r="F42">
            <v>0.95833333332848269</v>
          </cell>
        </row>
      </sheetData>
      <sheetData sheetId="4">
        <row r="37">
          <cell r="F37">
            <v>0.66840277779920143</v>
          </cell>
        </row>
        <row r="43">
          <cell r="F43">
            <v>1.4791666666715173</v>
          </cell>
        </row>
      </sheetData>
      <sheetData sheetId="5">
        <row r="40">
          <cell r="F40">
            <v>0.88715277778101154</v>
          </cell>
        </row>
        <row r="46">
          <cell r="F46">
            <v>1.9270833333357587</v>
          </cell>
        </row>
      </sheetData>
      <sheetData sheetId="6">
        <row r="62">
          <cell r="F62">
            <v>1.2013888888723159</v>
          </cell>
        </row>
        <row r="68">
          <cell r="F68">
            <v>2.5381944444452529</v>
          </cell>
        </row>
      </sheetData>
      <sheetData sheetId="7">
        <row r="43">
          <cell r="F43">
            <v>0.71875000001091394</v>
          </cell>
        </row>
        <row r="49">
          <cell r="F49">
            <v>1.8993055555547471</v>
          </cell>
        </row>
      </sheetData>
      <sheetData sheetId="8">
        <row r="58">
          <cell r="F58">
            <v>0.95312500001091394</v>
          </cell>
        </row>
        <row r="64">
          <cell r="F64">
            <v>2.5104166666715173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8"/>
      <sheetName val="Gloriever"/>
      <sheetName val="Taipower Prosperity VI"/>
      <sheetName val="Yue Dian 81"/>
      <sheetName val="Urja"/>
      <sheetName val="Nozomi"/>
    </sheetNames>
    <sheetDataSet>
      <sheetData sheetId="0"/>
      <sheetData sheetId="1">
        <row r="39">
          <cell r="F39">
            <v>0.4809027777700976</v>
          </cell>
        </row>
        <row r="43">
          <cell r="F43">
            <v>1.15625</v>
          </cell>
        </row>
      </sheetData>
      <sheetData sheetId="2">
        <row r="60">
          <cell r="F60">
            <v>2.2204861111276841</v>
          </cell>
        </row>
        <row r="64">
          <cell r="F64">
            <v>3.8888888888905058</v>
          </cell>
        </row>
      </sheetData>
      <sheetData sheetId="3">
        <row r="56">
          <cell r="F56">
            <v>2.2065972222007986</v>
          </cell>
        </row>
        <row r="60">
          <cell r="F60">
            <v>3.5069444444452529</v>
          </cell>
        </row>
      </sheetData>
      <sheetData sheetId="4">
        <row r="95">
          <cell r="F95">
            <v>5.1319444444161491</v>
          </cell>
        </row>
        <row r="99">
          <cell r="F99">
            <v>8.4479166666642413</v>
          </cell>
        </row>
      </sheetData>
      <sheetData sheetId="5">
        <row r="50">
          <cell r="F50">
            <v>0.82812499999636202</v>
          </cell>
        </row>
        <row r="54">
          <cell r="F54">
            <v>1.8159722222189885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8"/>
      <sheetName val="Taipower Prosperity VIII"/>
      <sheetName val="Sea Honesty"/>
      <sheetName val="JK Pioneer"/>
      <sheetName val="Taipower Prosperity I"/>
      <sheetName val="Zheng Hao"/>
      <sheetName val="Win Win"/>
      <sheetName val="Flag Lama"/>
    </sheetNames>
    <sheetDataSet>
      <sheetData sheetId="0"/>
      <sheetData sheetId="1">
        <row r="62">
          <cell r="F62">
            <v>3.093750000003638</v>
          </cell>
        </row>
        <row r="67">
          <cell r="F67">
            <v>4.9444444444452529</v>
          </cell>
        </row>
      </sheetData>
      <sheetData sheetId="2">
        <row r="34">
          <cell r="F34">
            <v>0.33333333332484472</v>
          </cell>
        </row>
        <row r="39">
          <cell r="F39">
            <v>1.2013888888905058</v>
          </cell>
        </row>
      </sheetData>
      <sheetData sheetId="3">
        <row r="50">
          <cell r="F50">
            <v>2.1840277777591837</v>
          </cell>
        </row>
        <row r="55">
          <cell r="F55">
            <v>3.7222222222262644</v>
          </cell>
        </row>
      </sheetData>
      <sheetData sheetId="4">
        <row r="50">
          <cell r="F50">
            <v>1.3263888889014197</v>
          </cell>
        </row>
        <row r="55">
          <cell r="F55">
            <v>3.0486111111167702</v>
          </cell>
        </row>
      </sheetData>
      <sheetData sheetId="5">
        <row r="39">
          <cell r="F39">
            <v>0.67013888889050577</v>
          </cell>
        </row>
        <row r="44">
          <cell r="F44">
            <v>1.53125</v>
          </cell>
        </row>
      </sheetData>
      <sheetData sheetId="6">
        <row r="56">
          <cell r="F56">
            <v>1.5416666666569654</v>
          </cell>
        </row>
        <row r="61">
          <cell r="F61">
            <v>3.7291666666642413</v>
          </cell>
        </row>
      </sheetData>
      <sheetData sheetId="7">
        <row r="53">
          <cell r="F53">
            <v>1.3072916666460515</v>
          </cell>
        </row>
        <row r="58">
          <cell r="F58">
            <v>3.0833333333357587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8"/>
      <sheetName val="JK Pioneer"/>
      <sheetName val="Evoikos Theo"/>
      <sheetName val="Zheng Jie"/>
      <sheetName val="Salt Lake City"/>
      <sheetName val="Arpeggio"/>
      <sheetName val="Pedhoulas Cherry"/>
      <sheetName val="Yue Dian 9"/>
      <sheetName val="Yangtze Xing Hua"/>
      <sheetName val="Mineral Hokkaido"/>
    </sheetNames>
    <sheetDataSet>
      <sheetData sheetId="0"/>
      <sheetData sheetId="1">
        <row r="60">
          <cell r="F60">
            <v>0.96180555554747116</v>
          </cell>
        </row>
        <row r="64">
          <cell r="F64">
            <v>2.3298611111094942</v>
          </cell>
        </row>
      </sheetData>
      <sheetData sheetId="2">
        <row r="55">
          <cell r="F55">
            <v>2.2916666666678793</v>
          </cell>
        </row>
        <row r="59">
          <cell r="F59">
            <v>3.6145833333357587</v>
          </cell>
        </row>
      </sheetData>
      <sheetData sheetId="3">
        <row r="56">
          <cell r="F56">
            <v>1.7100694444161491</v>
          </cell>
        </row>
        <row r="60">
          <cell r="F60">
            <v>3.0590277777810115</v>
          </cell>
        </row>
      </sheetData>
      <sheetData sheetId="4">
        <row r="57">
          <cell r="F57">
            <v>0.94097222223354038</v>
          </cell>
        </row>
        <row r="61">
          <cell r="F61">
            <v>2.71875</v>
          </cell>
        </row>
      </sheetData>
      <sheetData sheetId="5">
        <row r="36">
          <cell r="F36">
            <v>0.5659722222299024</v>
          </cell>
        </row>
        <row r="40">
          <cell r="F40">
            <v>1.2222222222189885</v>
          </cell>
        </row>
      </sheetData>
      <sheetData sheetId="6">
        <row r="31">
          <cell r="F31">
            <v>0.5815972222299024</v>
          </cell>
        </row>
        <row r="35">
          <cell r="F35">
            <v>1.0555555555547471</v>
          </cell>
        </row>
      </sheetData>
      <sheetData sheetId="7">
        <row r="59">
          <cell r="F59">
            <v>2.3958333333357587</v>
          </cell>
        </row>
        <row r="63">
          <cell r="F63">
            <v>3.6388888888905058</v>
          </cell>
        </row>
      </sheetData>
      <sheetData sheetId="8">
        <row r="64">
          <cell r="F64">
            <v>2.4982638888686779</v>
          </cell>
        </row>
        <row r="68">
          <cell r="F68">
            <v>3.9618055555547471</v>
          </cell>
        </row>
      </sheetData>
      <sheetData sheetId="9">
        <row r="54">
          <cell r="F54">
            <v>0.99479166667879326</v>
          </cell>
        </row>
        <row r="58">
          <cell r="F58">
            <v>2.1354166666642413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ne 2018"/>
      <sheetName val="Nearchos"/>
      <sheetName val="CS Harmony"/>
      <sheetName val="Yue Dian 81"/>
      <sheetName val="Wooyang Friend"/>
      <sheetName val="Yue Dian 82"/>
      <sheetName val="Well Deep"/>
      <sheetName val="Medi Genova"/>
      <sheetName val="Arpeggio"/>
      <sheetName val="Atlas B"/>
    </sheetNames>
    <sheetDataSet>
      <sheetData sheetId="0"/>
      <sheetData sheetId="1">
        <row r="75">
          <cell r="F75">
            <v>1.8315972222371784</v>
          </cell>
        </row>
        <row r="79">
          <cell r="F79">
            <v>3.1493055555547471</v>
          </cell>
        </row>
      </sheetData>
      <sheetData sheetId="2">
        <row r="38">
          <cell r="F38">
            <v>0.47916666668606922</v>
          </cell>
        </row>
        <row r="42">
          <cell r="F42">
            <v>1.3784722222189885</v>
          </cell>
        </row>
      </sheetData>
      <sheetData sheetId="3">
        <row r="56">
          <cell r="F56">
            <v>1.3680555555547471</v>
          </cell>
        </row>
        <row r="60">
          <cell r="F60">
            <v>2.6041666666642413</v>
          </cell>
        </row>
      </sheetData>
      <sheetData sheetId="4">
        <row r="50">
          <cell r="F50">
            <v>0.76562500000363798</v>
          </cell>
        </row>
        <row r="54">
          <cell r="F54">
            <v>1.8159722222189885</v>
          </cell>
        </row>
      </sheetData>
      <sheetData sheetId="5">
        <row r="53">
          <cell r="F53">
            <v>1.147569444430701</v>
          </cell>
        </row>
        <row r="57">
          <cell r="F57">
            <v>2.5208333333357587</v>
          </cell>
        </row>
      </sheetData>
      <sheetData sheetId="6">
        <row r="42">
          <cell r="F42">
            <v>0.59201388887595385</v>
          </cell>
        </row>
        <row r="46">
          <cell r="F46">
            <v>1.4444444444452529</v>
          </cell>
        </row>
      </sheetData>
      <sheetData sheetId="7">
        <row r="30">
          <cell r="F30">
            <v>0.19444444443797693</v>
          </cell>
        </row>
        <row r="34">
          <cell r="F34">
            <v>0.59722222222626442</v>
          </cell>
        </row>
      </sheetData>
      <sheetData sheetId="8">
        <row r="32">
          <cell r="F32">
            <v>0.2829861110985803</v>
          </cell>
        </row>
        <row r="36">
          <cell r="F36">
            <v>0.87847222222626442</v>
          </cell>
        </row>
      </sheetData>
      <sheetData sheetId="9">
        <row r="56">
          <cell r="F56">
            <v>2.196180555572937</v>
          </cell>
        </row>
        <row r="60">
          <cell r="F60">
            <v>3.5590277777737356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8"/>
      <sheetName val="Aliki"/>
      <sheetName val="Yue Dian 82"/>
      <sheetName val="Ocean Favour"/>
      <sheetName val="F STAR"/>
    </sheetNames>
    <sheetDataSet>
      <sheetData sheetId="0"/>
      <sheetData sheetId="1">
        <row r="63">
          <cell r="F63">
            <v>2.8315972222153505</v>
          </cell>
        </row>
        <row r="67">
          <cell r="F67">
            <v>4.4131944444452529</v>
          </cell>
        </row>
      </sheetData>
      <sheetData sheetId="2">
        <row r="56">
          <cell r="F56">
            <v>1.0590277777737356</v>
          </cell>
        </row>
        <row r="60">
          <cell r="F60">
            <v>2.3819444444452529</v>
          </cell>
        </row>
      </sheetData>
      <sheetData sheetId="3">
        <row r="60">
          <cell r="F60">
            <v>1.0590277777482697</v>
          </cell>
        </row>
        <row r="64">
          <cell r="F64">
            <v>2.375</v>
          </cell>
        </row>
      </sheetData>
      <sheetData sheetId="4">
        <row r="62">
          <cell r="F62">
            <v>1.0555555555511091</v>
          </cell>
        </row>
        <row r="66">
          <cell r="F66">
            <v>2.7604166666642413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ust 2018"/>
      <sheetName val="Rosco Plum"/>
      <sheetName val="Taipower Prosperity I"/>
      <sheetName val="Cemtex Innovation"/>
      <sheetName val="Sky Jade"/>
    </sheetNames>
    <sheetDataSet>
      <sheetData sheetId="0"/>
      <sheetData sheetId="1">
        <row r="58">
          <cell r="F58">
            <v>2.6284722222189885</v>
          </cell>
        </row>
        <row r="62">
          <cell r="F62">
            <v>4.0208333333357587</v>
          </cell>
        </row>
      </sheetData>
      <sheetData sheetId="2">
        <row r="32">
          <cell r="F32">
            <v>0.33333333332848269</v>
          </cell>
        </row>
        <row r="36">
          <cell r="F36">
            <v>1.1006944444452529</v>
          </cell>
        </row>
      </sheetData>
      <sheetData sheetId="3">
        <row r="40">
          <cell r="F40">
            <v>0.54861111110221827</v>
          </cell>
        </row>
        <row r="44">
          <cell r="F44">
            <v>1.5555555555547471</v>
          </cell>
        </row>
      </sheetData>
      <sheetData sheetId="4">
        <row r="55">
          <cell r="F55">
            <v>2.7274305555438332</v>
          </cell>
        </row>
        <row r="59">
          <cell r="F59">
            <v>4.0763888888905058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ember 2018"/>
      <sheetName val="Pan Flower"/>
      <sheetName val="Eastern River"/>
      <sheetName val="Renaissance"/>
      <sheetName val="Rosco Ginkgo"/>
      <sheetName val="Blessed Luck"/>
      <sheetName val="Tong Ying"/>
    </sheetNames>
    <sheetDataSet>
      <sheetData sheetId="0" refreshError="1"/>
      <sheetData sheetId="1">
        <row r="39">
          <cell r="F39">
            <v>0.51909722223717836</v>
          </cell>
        </row>
        <row r="43">
          <cell r="F43">
            <v>1.4895833333357587</v>
          </cell>
        </row>
      </sheetData>
      <sheetData sheetId="2">
        <row r="50">
          <cell r="F50">
            <v>1.0017361111167702</v>
          </cell>
        </row>
        <row r="54">
          <cell r="F54">
            <v>2.2916666666715173</v>
          </cell>
        </row>
      </sheetData>
      <sheetData sheetId="3">
        <row r="46">
          <cell r="F46">
            <v>0.63368055555838509</v>
          </cell>
        </row>
        <row r="50">
          <cell r="F50">
            <v>1.7222222222189885</v>
          </cell>
        </row>
      </sheetData>
      <sheetData sheetId="4">
        <row r="48">
          <cell r="F48">
            <v>2.0017361111240461</v>
          </cell>
        </row>
        <row r="52">
          <cell r="F52">
            <v>3.3263888888905058</v>
          </cell>
        </row>
      </sheetData>
      <sheetData sheetId="5">
        <row r="54">
          <cell r="F54">
            <v>1.2291666666715173</v>
          </cell>
        </row>
        <row r="58">
          <cell r="F58">
            <v>2.6006944444452529</v>
          </cell>
        </row>
      </sheetData>
      <sheetData sheetId="6">
        <row r="43">
          <cell r="F43">
            <v>0.68229166667151731</v>
          </cell>
        </row>
        <row r="47">
          <cell r="F47">
            <v>1.8576388888905058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October 2018"/>
      <sheetName val="Chang Ming 2"/>
      <sheetName val="Agios Nikolaos 1"/>
      <sheetName val="Rosco Olive"/>
      <sheetName val="Ocean Virgo"/>
      <sheetName val="Cape Brazilia"/>
      <sheetName val="Yue Dian 101"/>
      <sheetName val="Chang Ming 2b"/>
      <sheetName val="Wu Zhou 8"/>
      <sheetName val="Captain George"/>
      <sheetName val="Andhika Paramesti"/>
    </sheetNames>
    <sheetDataSet>
      <sheetData sheetId="0" refreshError="1"/>
      <sheetData sheetId="1">
        <row r="47">
          <cell r="F47">
            <v>0.72395833334303461</v>
          </cell>
        </row>
        <row r="51">
          <cell r="F51">
            <v>1.9965277777737356</v>
          </cell>
        </row>
      </sheetData>
      <sheetData sheetId="2">
        <row r="49">
          <cell r="F49">
            <v>0.78993055555474712</v>
          </cell>
        </row>
        <row r="53">
          <cell r="F53">
            <v>2.1736111111167702</v>
          </cell>
        </row>
      </sheetData>
      <sheetData sheetId="3">
        <row r="51">
          <cell r="F51">
            <v>0.89756944444525288</v>
          </cell>
        </row>
        <row r="55">
          <cell r="F55">
            <v>2.1215277777737356</v>
          </cell>
        </row>
      </sheetData>
      <sheetData sheetId="4">
        <row r="56">
          <cell r="F56">
            <v>2.5034722222189885</v>
          </cell>
        </row>
        <row r="60">
          <cell r="F60">
            <v>3.8472222222262644</v>
          </cell>
        </row>
      </sheetData>
      <sheetData sheetId="5">
        <row r="37">
          <cell r="F37">
            <v>0.65798611112040817</v>
          </cell>
        </row>
        <row r="41">
          <cell r="F41">
            <v>1.6770833333357587</v>
          </cell>
        </row>
      </sheetData>
      <sheetData sheetId="6">
        <row r="59">
          <cell r="F59">
            <v>1.1163194444598048</v>
          </cell>
        </row>
        <row r="63">
          <cell r="F63">
            <v>2.7222222222262644</v>
          </cell>
        </row>
      </sheetData>
      <sheetData sheetId="7">
        <row r="48">
          <cell r="F48">
            <v>0.66145833332605741</v>
          </cell>
        </row>
        <row r="52">
          <cell r="F52">
            <v>1.9791666666715173</v>
          </cell>
        </row>
      </sheetData>
      <sheetData sheetId="8">
        <row r="45">
          <cell r="F45">
            <v>1.0798611111070688</v>
          </cell>
        </row>
        <row r="49">
          <cell r="F49">
            <v>2.3611111111094942</v>
          </cell>
        </row>
      </sheetData>
      <sheetData sheetId="9">
        <row r="41">
          <cell r="F41">
            <v>0.4722222222202011</v>
          </cell>
        </row>
        <row r="45">
          <cell r="F45">
            <v>1.6527777777737356</v>
          </cell>
        </row>
      </sheetData>
      <sheetData sheetId="10">
        <row r="46">
          <cell r="F46">
            <v>1.6041666666836438</v>
          </cell>
        </row>
        <row r="50">
          <cell r="F50">
            <v>2.9097222222262644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ember 2018"/>
      <sheetName val="Chandra Kirana"/>
      <sheetName val="Yue Dian 6"/>
      <sheetName val="Hui Zhi"/>
      <sheetName val="Chang Sheng"/>
      <sheetName val="Genco Beauty"/>
      <sheetName val="Voge Challenger"/>
      <sheetName val="Cape Ioanna"/>
    </sheetNames>
    <sheetDataSet>
      <sheetData sheetId="0" refreshError="1"/>
      <sheetData sheetId="1">
        <row r="56">
          <cell r="F56">
            <v>1.4565972222480923</v>
          </cell>
        </row>
        <row r="60">
          <cell r="F60">
            <v>2.7569444444452529</v>
          </cell>
        </row>
      </sheetData>
      <sheetData sheetId="2"/>
      <sheetData sheetId="3">
        <row r="57">
          <cell r="F57">
            <v>2.5868055555547471</v>
          </cell>
        </row>
      </sheetData>
      <sheetData sheetId="4">
        <row r="55">
          <cell r="F55">
            <v>2.1527777777810115</v>
          </cell>
        </row>
      </sheetData>
      <sheetData sheetId="5">
        <row r="52">
          <cell r="F52">
            <v>2.6354166666715173</v>
          </cell>
        </row>
      </sheetData>
      <sheetData sheetId="6">
        <row r="56">
          <cell r="F56">
            <v>2.2569444444452529</v>
          </cell>
        </row>
      </sheetData>
      <sheetData sheetId="7">
        <row r="58">
          <cell r="F58">
            <v>3.2638888888905058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November 2018"/>
      <sheetName val="Chandra Kirana"/>
      <sheetName val="Yue Dian 6"/>
      <sheetName val="Hui Zhi"/>
      <sheetName val="Chang Sheng"/>
      <sheetName val="Genco Beauty"/>
      <sheetName val="Voge Challenger"/>
      <sheetName val="Cape Ioanna"/>
    </sheetNames>
    <sheetDataSet>
      <sheetData sheetId="0" refreshError="1"/>
      <sheetData sheetId="1" refreshError="1"/>
      <sheetData sheetId="2">
        <row r="54">
          <cell r="F54">
            <v>1.416666666661816</v>
          </cell>
        </row>
        <row r="58">
          <cell r="F58">
            <v>2.7222222222262644</v>
          </cell>
        </row>
      </sheetData>
      <sheetData sheetId="3">
        <row r="53">
          <cell r="F53">
            <v>1.2430555555486837</v>
          </cell>
        </row>
        <row r="57">
          <cell r="F57">
            <v>2.5868055555547471</v>
          </cell>
        </row>
      </sheetData>
      <sheetData sheetId="4">
        <row r="51">
          <cell r="F51">
            <v>0.72916666667636798</v>
          </cell>
        </row>
        <row r="55">
          <cell r="F55">
            <v>2.1527777777810115</v>
          </cell>
        </row>
      </sheetData>
      <sheetData sheetId="5">
        <row r="49">
          <cell r="F49">
            <v>1.4357638889135462</v>
          </cell>
        </row>
        <row r="53">
          <cell r="F53">
            <v>2.6354166666715173</v>
          </cell>
        </row>
      </sheetData>
      <sheetData sheetId="6">
        <row r="52">
          <cell r="F52">
            <v>0.74131944448648335</v>
          </cell>
        </row>
        <row r="56">
          <cell r="F56">
            <v>2.2569444444452529</v>
          </cell>
        </row>
      </sheetData>
      <sheetData sheetId="7">
        <row r="54">
          <cell r="F54">
            <v>1.4739583333248447</v>
          </cell>
        </row>
        <row r="58">
          <cell r="F58">
            <v>3.2638888888905058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ember 2018"/>
      <sheetName val="Great Dragon 9"/>
      <sheetName val="Genco Knight"/>
      <sheetName val="Evermerit"/>
      <sheetName val="Cape Istanbul"/>
      <sheetName val="Xing Le Hai"/>
      <sheetName val="Taipower Prosperity I"/>
      <sheetName val="Andhika Nareswari"/>
      <sheetName val="Odysseas L"/>
    </sheetNames>
    <sheetDataSet>
      <sheetData sheetId="0" refreshError="1"/>
      <sheetData sheetId="1">
        <row r="33">
          <cell r="F33">
            <v>0.57465277779192547</v>
          </cell>
        </row>
        <row r="37">
          <cell r="F37">
            <v>1.2916666666642413</v>
          </cell>
        </row>
      </sheetData>
      <sheetData sheetId="2">
        <row r="35">
          <cell r="F35">
            <v>0.39583333333212067</v>
          </cell>
        </row>
        <row r="39">
          <cell r="F39">
            <v>1.2604166666642413</v>
          </cell>
        </row>
      </sheetData>
      <sheetData sheetId="3">
        <row r="39">
          <cell r="F39">
            <v>0.57291666667879326</v>
          </cell>
        </row>
        <row r="43">
          <cell r="F43">
            <v>1.2743055555547471</v>
          </cell>
        </row>
      </sheetData>
      <sheetData sheetId="4">
        <row r="50">
          <cell r="F50">
            <v>0.97569444443797693</v>
          </cell>
        </row>
        <row r="54">
          <cell r="F54">
            <v>2.5416666666642413</v>
          </cell>
        </row>
      </sheetData>
      <sheetData sheetId="5">
        <row r="37">
          <cell r="F37">
            <v>0.53472222223354038</v>
          </cell>
        </row>
        <row r="41">
          <cell r="F41">
            <v>1.4791666666642413</v>
          </cell>
        </row>
      </sheetData>
      <sheetData sheetId="6">
        <row r="44">
          <cell r="F44">
            <v>0.73437500000363798</v>
          </cell>
        </row>
        <row r="48">
          <cell r="F48">
            <v>1.9618055555547471</v>
          </cell>
        </row>
      </sheetData>
      <sheetData sheetId="7">
        <row r="58">
          <cell r="F58">
            <v>2.1006944444343389</v>
          </cell>
        </row>
        <row r="62">
          <cell r="F62">
            <v>3.6597222222189885</v>
          </cell>
        </row>
      </sheetData>
      <sheetData sheetId="8">
        <row r="30">
          <cell r="F30">
            <v>0.28645833332848269</v>
          </cell>
        </row>
        <row r="34">
          <cell r="F34">
            <v>1.1458333333357587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UARY 2019"/>
      <sheetName val="DEWI PARWATI"/>
      <sheetName val="RUI NING 22"/>
      <sheetName val="AENEAS"/>
      <sheetName val="HUI ZHI"/>
      <sheetName val="GUANG XIN"/>
      <sheetName val="Flag Zannnis"/>
      <sheetName val="Leading Glory"/>
    </sheetNames>
    <sheetDataSet>
      <sheetData sheetId="0" refreshError="1"/>
      <sheetData sheetId="1" refreshError="1">
        <row r="61">
          <cell r="F61">
            <v>0.82291666669819585</v>
          </cell>
        </row>
        <row r="65">
          <cell r="F65">
            <v>2.2118055555620231</v>
          </cell>
        </row>
      </sheetData>
      <sheetData sheetId="2" refreshError="1">
        <row r="56">
          <cell r="F56">
            <v>1.800347222231115</v>
          </cell>
        </row>
        <row r="60">
          <cell r="F60">
            <v>3.1041666666715173</v>
          </cell>
        </row>
      </sheetData>
      <sheetData sheetId="3" refreshError="1">
        <row r="58">
          <cell r="F58">
            <v>1.8454861111107068</v>
          </cell>
        </row>
        <row r="62">
          <cell r="F62">
            <v>7.0208333333357587</v>
          </cell>
        </row>
      </sheetData>
      <sheetData sheetId="4" refreshError="1">
        <row r="48">
          <cell r="F48">
            <v>0.93923611111070693</v>
          </cell>
        </row>
        <row r="52">
          <cell r="F52">
            <v>1.9791666666715173</v>
          </cell>
        </row>
      </sheetData>
      <sheetData sheetId="5" refreshError="1">
        <row r="43">
          <cell r="F43">
            <v>0.73263888889171846</v>
          </cell>
        </row>
        <row r="47">
          <cell r="F47">
            <v>1.7048611111094942</v>
          </cell>
        </row>
      </sheetData>
      <sheetData sheetId="6" refreshError="1">
        <row r="54">
          <cell r="F54">
            <v>0.91493055553413194</v>
          </cell>
        </row>
        <row r="58">
          <cell r="F58">
            <v>6.0833333333357587</v>
          </cell>
        </row>
      </sheetData>
      <sheetData sheetId="7" refreshError="1">
        <row r="40">
          <cell r="F40">
            <v>0.50347222222747712</v>
          </cell>
        </row>
        <row r="44">
          <cell r="F44">
            <v>1.4201388888905058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 2018"/>
      <sheetName val="Kartini Samudra"/>
      <sheetName val="Navios Joy"/>
      <sheetName val="Chandra Kirana"/>
    </sheetNames>
    <sheetDataSet>
      <sheetData sheetId="0"/>
      <sheetData sheetId="1">
        <row r="62">
          <cell r="F62">
            <v>1.0920138889014197</v>
          </cell>
        </row>
        <row r="67">
          <cell r="F67">
            <v>2.6666666666715173</v>
          </cell>
        </row>
      </sheetData>
      <sheetData sheetId="2">
        <row r="78">
          <cell r="F78">
            <v>5.3402777777482697</v>
          </cell>
        </row>
        <row r="83">
          <cell r="F83">
            <v>8.125</v>
          </cell>
        </row>
      </sheetData>
      <sheetData sheetId="3">
        <row r="53">
          <cell r="F53">
            <v>1.000000000003638</v>
          </cell>
        </row>
        <row r="58">
          <cell r="F58">
            <v>2.34375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February 2019"/>
      <sheetName val="Aquamarie "/>
      <sheetName val="Reborn "/>
      <sheetName val="Kartini Samudra "/>
      <sheetName val="Shandong Hai Yao "/>
      <sheetName val="Adam 1 "/>
      <sheetName val="NSU Lodestar"/>
      <sheetName val="Clipper Viking"/>
      <sheetName val="AP Libertas"/>
      <sheetName val="Cape Kennerdy"/>
      <sheetName val="Tuo Fu 11"/>
    </sheetNames>
    <sheetDataSet>
      <sheetData sheetId="0" refreshError="1"/>
      <sheetData sheetId="1" refreshError="1">
        <row r="79">
          <cell r="F79">
            <v>1.180555555572937</v>
          </cell>
        </row>
      </sheetData>
      <sheetData sheetId="2" refreshError="1">
        <row r="41">
          <cell r="F41">
            <v>0.38715277776645962</v>
          </cell>
        </row>
      </sheetData>
      <sheetData sheetId="3" refreshError="1">
        <row r="130">
          <cell r="F130">
            <v>1.3281250000060634</v>
          </cell>
        </row>
      </sheetData>
      <sheetData sheetId="4" refreshError="1">
        <row r="72">
          <cell r="F72">
            <v>0.7065972222286897</v>
          </cell>
        </row>
      </sheetData>
      <sheetData sheetId="5" refreshError="1">
        <row r="125">
          <cell r="F125">
            <v>1.5052083333272701</v>
          </cell>
        </row>
      </sheetData>
      <sheetData sheetId="6" refreshError="1">
        <row r="107">
          <cell r="F107">
            <v>1.6232638888892932</v>
          </cell>
        </row>
      </sheetData>
      <sheetData sheetId="7" refreshError="1">
        <row r="130">
          <cell r="F130">
            <v>1.4670138888565514</v>
          </cell>
        </row>
      </sheetData>
      <sheetData sheetId="8" refreshError="1">
        <row r="82">
          <cell r="F82">
            <v>1.0190972222323278</v>
          </cell>
        </row>
      </sheetData>
      <sheetData sheetId="9" refreshError="1">
        <row r="100">
          <cell r="F100">
            <v>1.434027777772523</v>
          </cell>
        </row>
      </sheetData>
      <sheetData sheetId="10" refreshError="1">
        <row r="47">
          <cell r="F47">
            <v>0.44965277776645962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rch 2019"/>
      <sheetName val="Cape Elise"/>
      <sheetName val="Great Hope"/>
      <sheetName val="Lady Marite"/>
      <sheetName val="Pacific Energy"/>
      <sheetName val="Aquacarrier"/>
      <sheetName val="HC Sunshine"/>
    </sheetNames>
    <sheetDataSet>
      <sheetData sheetId="0" refreshError="1"/>
      <sheetData sheetId="1" refreshError="1">
        <row r="233">
          <cell r="F233">
            <v>3.593750000031529</v>
          </cell>
        </row>
      </sheetData>
      <sheetData sheetId="2" refreshError="1">
        <row r="113">
          <cell r="F113">
            <v>1.362847222203224</v>
          </cell>
        </row>
      </sheetData>
      <sheetData sheetId="3" refreshError="1">
        <row r="112">
          <cell r="F112">
            <v>1.434027777768885</v>
          </cell>
        </row>
      </sheetData>
      <sheetData sheetId="4" refreshError="1">
        <row r="101">
          <cell r="F101">
            <v>1.6354166666412009</v>
          </cell>
        </row>
      </sheetData>
      <sheetData sheetId="5" refreshError="1">
        <row r="108">
          <cell r="F108">
            <v>1.6892361111155576</v>
          </cell>
        </row>
      </sheetData>
      <sheetData sheetId="6" refreshError="1">
        <row r="102">
          <cell r="F102">
            <v>1.555555555572937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pril 2019"/>
      <sheetName val="Taipower Prosperity II"/>
      <sheetName val="China Energy"/>
      <sheetName val="DL Acacia"/>
      <sheetName val="Ocean Domina"/>
      <sheetName val="Pan Mutiara"/>
      <sheetName val="Gingo"/>
      <sheetName val="Cemtex Renaissance"/>
      <sheetName val="China Energy2"/>
    </sheetNames>
    <sheetDataSet>
      <sheetData sheetId="0" refreshError="1"/>
      <sheetData sheetId="1" refreshError="1">
        <row r="85">
          <cell r="F85">
            <v>1.6961805555547471</v>
          </cell>
        </row>
      </sheetData>
      <sheetData sheetId="2" refreshError="1">
        <row r="73">
          <cell r="F73">
            <v>1.1059027777737356</v>
          </cell>
        </row>
      </sheetData>
      <sheetData sheetId="3" refreshError="1">
        <row r="50">
          <cell r="F50">
            <v>0.95312500000727596</v>
          </cell>
        </row>
      </sheetData>
      <sheetData sheetId="4" refreshError="1">
        <row r="75">
          <cell r="F75">
            <v>1.2534722222323278</v>
          </cell>
        </row>
      </sheetData>
      <sheetData sheetId="5" refreshError="1">
        <row r="61">
          <cell r="F61">
            <v>0.79513888887959183</v>
          </cell>
        </row>
      </sheetData>
      <sheetData sheetId="6" refreshError="1">
        <row r="72">
          <cell r="F72">
            <v>1.6970486110937297</v>
          </cell>
        </row>
      </sheetData>
      <sheetData sheetId="7" refreshError="1">
        <row r="103">
          <cell r="F103">
            <v>1.8940972222323278</v>
          </cell>
        </row>
      </sheetData>
      <sheetData sheetId="8" refreshError="1">
        <row r="108">
          <cell r="F108">
            <v>1.9079861111301095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PEACE ARK"/>
      <sheetName val="EVERSHINE"/>
    </sheetNames>
    <sheetDataSet>
      <sheetData sheetId="0" refreshError="1"/>
      <sheetData sheetId="1" refreshError="1">
        <row r="87">
          <cell r="F87">
            <v>1.7725694444440403</v>
          </cell>
        </row>
      </sheetData>
      <sheetData sheetId="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MAY 2019"/>
      <sheetName val="PEACE ARK"/>
      <sheetName val="EVERSHINE"/>
      <sheetName val="FORTUNE UNION"/>
      <sheetName val="PACIFIC ENERGY"/>
      <sheetName val="LEADING GLORY"/>
    </sheetNames>
    <sheetDataSet>
      <sheetData sheetId="0" refreshError="1"/>
      <sheetData sheetId="1" refreshError="1"/>
      <sheetData sheetId="2" refreshError="1">
        <row r="42">
          <cell r="F42">
            <v>0.88715277779192547</v>
          </cell>
        </row>
      </sheetData>
      <sheetData sheetId="3" refreshError="1">
        <row r="93">
          <cell r="F93">
            <v>1.769097222199586</v>
          </cell>
        </row>
      </sheetData>
      <sheetData sheetId="4" refreshError="1">
        <row r="62">
          <cell r="F62">
            <v>1.0868055555571725</v>
          </cell>
        </row>
      </sheetData>
      <sheetData sheetId="5" refreshError="1">
        <row r="56">
          <cell r="F56">
            <v>1.1701388888723159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ULY 2019"/>
      <sheetName val="TAIPOWER PROSPERITY V"/>
    </sheetNames>
    <sheetDataSet>
      <sheetData sheetId="0" refreshError="1"/>
      <sheetData sheetId="1" refreshError="1">
        <row r="132">
          <cell r="F132">
            <v>1.7881944444549542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AUGUST 2019"/>
      <sheetName val="ORIENT LOONG"/>
      <sheetName val="YUE DIAN 2"/>
      <sheetName val="ASIAN MAJESTY"/>
      <sheetName val="MEISTER"/>
      <sheetName val="WU ZHOU"/>
    </sheetNames>
    <sheetDataSet>
      <sheetData sheetId="0" refreshError="1"/>
      <sheetData sheetId="1" refreshError="1">
        <row r="62">
          <cell r="F62">
            <v>0.68229166668485652</v>
          </cell>
        </row>
      </sheetData>
      <sheetData sheetId="2" refreshError="1">
        <row r="66">
          <cell r="F66">
            <v>0.74131944443312625</v>
          </cell>
        </row>
      </sheetData>
      <sheetData sheetId="3" refreshError="1">
        <row r="76">
          <cell r="F76">
            <v>1.0243055555353446</v>
          </cell>
        </row>
      </sheetData>
      <sheetData sheetId="4" refreshError="1">
        <row r="90">
          <cell r="F90">
            <v>1.2291666666703047</v>
          </cell>
        </row>
      </sheetData>
      <sheetData sheetId="5" refreshError="1">
        <row r="81">
          <cell r="F81">
            <v>0.95833333334909787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Sept 2019"/>
      <sheetName val="YUN MI FENG"/>
      <sheetName val="ALPHA AFOVOS"/>
      <sheetName val="ANDHIKA NARESWARI"/>
      <sheetName val="JIN ZHU HAI"/>
    </sheetNames>
    <sheetDataSet>
      <sheetData sheetId="0" refreshError="1"/>
      <sheetData sheetId="1" refreshError="1">
        <row r="58">
          <cell r="F58">
            <v>0.6996527777688849</v>
          </cell>
        </row>
      </sheetData>
      <sheetData sheetId="2" refreshError="1">
        <row r="111">
          <cell r="F111">
            <v>1.3611111111119196</v>
          </cell>
        </row>
      </sheetData>
      <sheetData sheetId="3" refreshError="1">
        <row r="108">
          <cell r="F108">
            <v>1.2881944444476783</v>
          </cell>
        </row>
      </sheetData>
      <sheetData sheetId="4" refreshError="1">
        <row r="66">
          <cell r="F66">
            <v>0.84201388887110318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Dec 2019"/>
      <sheetName val="CAPE FLAMENGO"/>
      <sheetName val="BERGE AORAKI"/>
    </sheetNames>
    <sheetDataSet>
      <sheetData sheetId="0" refreshError="1"/>
      <sheetData sheetId="1" refreshError="1">
        <row r="190">
          <cell r="F190">
            <v>4.3069444444578648</v>
          </cell>
        </row>
      </sheetData>
      <sheetData sheetId="2" refreshError="1">
        <row r="477">
          <cell r="F477">
            <v>6.3083333333403671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Jan 2020"/>
      <sheetName val="BERGE SHONG SHAN"/>
      <sheetName val="BERGE APO"/>
      <sheetName val="WANG WAY"/>
      <sheetName val="EHIME QUEEN"/>
      <sheetName val="Sheet2"/>
    </sheetNames>
    <sheetDataSet>
      <sheetData sheetId="0" refreshError="1"/>
      <sheetData sheetId="1" refreshError="1">
        <row r="224">
          <cell r="I224">
            <v>4.3624999999956344</v>
          </cell>
        </row>
      </sheetData>
      <sheetData sheetId="2" refreshError="1">
        <row r="182">
          <cell r="I182">
            <v>4.7638888888868678</v>
          </cell>
        </row>
      </sheetData>
      <sheetData sheetId="3" refreshError="1">
        <row r="229">
          <cell r="I229">
            <v>4.8229166666751553</v>
          </cell>
        </row>
      </sheetData>
      <sheetData sheetId="4" refreshError="1">
        <row r="130">
          <cell r="I130">
            <v>2.9124999999839929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949B-3EFC-4437-AEC7-90BC9FDEDE32}">
  <sheetPr>
    <tabColor rgb="FFC00000"/>
    <pageSetUpPr fitToPage="1"/>
  </sheetPr>
  <dimension ref="A1:AC365"/>
  <sheetViews>
    <sheetView zoomScale="70" zoomScaleNormal="70" workbookViewId="0">
      <pane ySplit="1" topLeftCell="A238" activePane="bottomLeft" state="frozen"/>
      <selection pane="bottomLeft" activeCell="P247" sqref="P247"/>
    </sheetView>
  </sheetViews>
  <sheetFormatPr defaultRowHeight="14.4" x14ac:dyDescent="0.3"/>
  <cols>
    <col min="1" max="1" width="17.109375" style="688" customWidth="1"/>
    <col min="2" max="2" width="16" style="688" bestFit="1" customWidth="1"/>
    <col min="3" max="3" width="16" hidden="1" customWidth="1"/>
    <col min="4" max="4" width="14" hidden="1" customWidth="1"/>
    <col min="5" max="5" width="26.109375" customWidth="1"/>
    <col min="6" max="6" width="8.109375" customWidth="1"/>
    <col min="7" max="7" width="11.5546875" style="1" customWidth="1"/>
    <col min="8" max="8" width="10.88671875" style="1" customWidth="1"/>
    <col min="9" max="9" width="8.88671875" style="1" customWidth="1"/>
    <col min="10" max="10" width="9.44140625" style="1" customWidth="1"/>
    <col min="11" max="11" width="11.88671875" style="1" customWidth="1"/>
    <col min="12" max="13" width="9.5546875" style="1" customWidth="1"/>
    <col min="14" max="14" width="9.88671875" style="1" customWidth="1"/>
    <col min="15" max="15" width="11.109375" style="1" customWidth="1"/>
    <col min="16" max="16" width="8.33203125" style="1" customWidth="1"/>
    <col min="17" max="17" width="10.44140625" style="1" customWidth="1"/>
    <col min="18" max="20" width="11.33203125" style="1" customWidth="1"/>
    <col min="21" max="21" width="11.33203125" style="1" hidden="1" customWidth="1"/>
    <col min="22" max="22" width="9.6640625" style="1" customWidth="1"/>
    <col min="23" max="23" width="10.109375" customWidth="1"/>
    <col min="24" max="24" width="14.44140625" customWidth="1"/>
    <col min="25" max="25" width="16.33203125" style="3" bestFit="1" customWidth="1"/>
    <col min="26" max="26" width="20.44140625" style="3" customWidth="1"/>
    <col min="27" max="27" width="11.88671875" style="3" customWidth="1"/>
    <col min="28" max="29" width="11.6640625" style="3" customWidth="1"/>
    <col min="257" max="257" width="17.109375" customWidth="1"/>
    <col min="258" max="258" width="16" bestFit="1" customWidth="1"/>
    <col min="259" max="260" width="0" hidden="1" customWidth="1"/>
    <col min="261" max="261" width="23.109375" bestFit="1" customWidth="1"/>
    <col min="262" max="262" width="8.109375" customWidth="1"/>
    <col min="263" max="263" width="11.5546875" customWidth="1"/>
    <col min="264" max="264" width="10.88671875" customWidth="1"/>
    <col min="265" max="265" width="8.88671875" customWidth="1"/>
    <col min="266" max="266" width="9.44140625" customWidth="1"/>
    <col min="267" max="267" width="11.88671875" customWidth="1"/>
    <col min="268" max="269" width="9.5546875" customWidth="1"/>
    <col min="270" max="270" width="9.88671875" customWidth="1"/>
    <col min="271" max="271" width="11.109375" customWidth="1"/>
    <col min="272" max="272" width="8.33203125" customWidth="1"/>
    <col min="273" max="273" width="8.109375" customWidth="1"/>
    <col min="274" max="276" width="11.33203125" customWidth="1"/>
    <col min="277" max="277" width="0" hidden="1" customWidth="1"/>
    <col min="278" max="278" width="9.6640625" customWidth="1"/>
    <col min="279" max="279" width="10.109375" customWidth="1"/>
    <col min="280" max="280" width="14.44140625" customWidth="1"/>
    <col min="281" max="281" width="16.33203125" bestFit="1" customWidth="1"/>
    <col min="282" max="282" width="16.33203125" customWidth="1"/>
    <col min="283" max="283" width="11.88671875" customWidth="1"/>
    <col min="284" max="285" width="11.6640625" customWidth="1"/>
    <col min="513" max="513" width="17.109375" customWidth="1"/>
    <col min="514" max="514" width="16" bestFit="1" customWidth="1"/>
    <col min="515" max="516" width="0" hidden="1" customWidth="1"/>
    <col min="517" max="517" width="23.109375" bestFit="1" customWidth="1"/>
    <col min="518" max="518" width="8.109375" customWidth="1"/>
    <col min="519" max="519" width="11.5546875" customWidth="1"/>
    <col min="520" max="520" width="10.88671875" customWidth="1"/>
    <col min="521" max="521" width="8.88671875" customWidth="1"/>
    <col min="522" max="522" width="9.44140625" customWidth="1"/>
    <col min="523" max="523" width="11.88671875" customWidth="1"/>
    <col min="524" max="525" width="9.5546875" customWidth="1"/>
    <col min="526" max="526" width="9.88671875" customWidth="1"/>
    <col min="527" max="527" width="11.109375" customWidth="1"/>
    <col min="528" max="528" width="8.33203125" customWidth="1"/>
    <col min="529" max="529" width="8.109375" customWidth="1"/>
    <col min="530" max="532" width="11.33203125" customWidth="1"/>
    <col min="533" max="533" width="0" hidden="1" customWidth="1"/>
    <col min="534" max="534" width="9.6640625" customWidth="1"/>
    <col min="535" max="535" width="10.109375" customWidth="1"/>
    <col min="536" max="536" width="14.44140625" customWidth="1"/>
    <col min="537" max="537" width="16.33203125" bestFit="1" customWidth="1"/>
    <col min="538" max="538" width="16.33203125" customWidth="1"/>
    <col min="539" max="539" width="11.88671875" customWidth="1"/>
    <col min="540" max="541" width="11.6640625" customWidth="1"/>
    <col min="769" max="769" width="17.109375" customWidth="1"/>
    <col min="770" max="770" width="16" bestFit="1" customWidth="1"/>
    <col min="771" max="772" width="0" hidden="1" customWidth="1"/>
    <col min="773" max="773" width="23.109375" bestFit="1" customWidth="1"/>
    <col min="774" max="774" width="8.109375" customWidth="1"/>
    <col min="775" max="775" width="11.5546875" customWidth="1"/>
    <col min="776" max="776" width="10.88671875" customWidth="1"/>
    <col min="777" max="777" width="8.88671875" customWidth="1"/>
    <col min="778" max="778" width="9.44140625" customWidth="1"/>
    <col min="779" max="779" width="11.88671875" customWidth="1"/>
    <col min="780" max="781" width="9.5546875" customWidth="1"/>
    <col min="782" max="782" width="9.88671875" customWidth="1"/>
    <col min="783" max="783" width="11.109375" customWidth="1"/>
    <col min="784" max="784" width="8.33203125" customWidth="1"/>
    <col min="785" max="785" width="8.109375" customWidth="1"/>
    <col min="786" max="788" width="11.33203125" customWidth="1"/>
    <col min="789" max="789" width="0" hidden="1" customWidth="1"/>
    <col min="790" max="790" width="9.6640625" customWidth="1"/>
    <col min="791" max="791" width="10.109375" customWidth="1"/>
    <col min="792" max="792" width="14.44140625" customWidth="1"/>
    <col min="793" max="793" width="16.33203125" bestFit="1" customWidth="1"/>
    <col min="794" max="794" width="16.33203125" customWidth="1"/>
    <col min="795" max="795" width="11.88671875" customWidth="1"/>
    <col min="796" max="797" width="11.6640625" customWidth="1"/>
    <col min="1025" max="1025" width="17.109375" customWidth="1"/>
    <col min="1026" max="1026" width="16" bestFit="1" customWidth="1"/>
    <col min="1027" max="1028" width="0" hidden="1" customWidth="1"/>
    <col min="1029" max="1029" width="23.109375" bestFit="1" customWidth="1"/>
    <col min="1030" max="1030" width="8.109375" customWidth="1"/>
    <col min="1031" max="1031" width="11.5546875" customWidth="1"/>
    <col min="1032" max="1032" width="10.88671875" customWidth="1"/>
    <col min="1033" max="1033" width="8.88671875" customWidth="1"/>
    <col min="1034" max="1034" width="9.44140625" customWidth="1"/>
    <col min="1035" max="1035" width="11.88671875" customWidth="1"/>
    <col min="1036" max="1037" width="9.5546875" customWidth="1"/>
    <col min="1038" max="1038" width="9.88671875" customWidth="1"/>
    <col min="1039" max="1039" width="11.109375" customWidth="1"/>
    <col min="1040" max="1040" width="8.33203125" customWidth="1"/>
    <col min="1041" max="1041" width="8.109375" customWidth="1"/>
    <col min="1042" max="1044" width="11.33203125" customWidth="1"/>
    <col min="1045" max="1045" width="0" hidden="1" customWidth="1"/>
    <col min="1046" max="1046" width="9.6640625" customWidth="1"/>
    <col min="1047" max="1047" width="10.109375" customWidth="1"/>
    <col min="1048" max="1048" width="14.44140625" customWidth="1"/>
    <col min="1049" max="1049" width="16.33203125" bestFit="1" customWidth="1"/>
    <col min="1050" max="1050" width="16.33203125" customWidth="1"/>
    <col min="1051" max="1051" width="11.88671875" customWidth="1"/>
    <col min="1052" max="1053" width="11.6640625" customWidth="1"/>
    <col min="1281" max="1281" width="17.109375" customWidth="1"/>
    <col min="1282" max="1282" width="16" bestFit="1" customWidth="1"/>
    <col min="1283" max="1284" width="0" hidden="1" customWidth="1"/>
    <col min="1285" max="1285" width="23.109375" bestFit="1" customWidth="1"/>
    <col min="1286" max="1286" width="8.109375" customWidth="1"/>
    <col min="1287" max="1287" width="11.5546875" customWidth="1"/>
    <col min="1288" max="1288" width="10.88671875" customWidth="1"/>
    <col min="1289" max="1289" width="8.88671875" customWidth="1"/>
    <col min="1290" max="1290" width="9.44140625" customWidth="1"/>
    <col min="1291" max="1291" width="11.88671875" customWidth="1"/>
    <col min="1292" max="1293" width="9.5546875" customWidth="1"/>
    <col min="1294" max="1294" width="9.88671875" customWidth="1"/>
    <col min="1295" max="1295" width="11.109375" customWidth="1"/>
    <col min="1296" max="1296" width="8.33203125" customWidth="1"/>
    <col min="1297" max="1297" width="8.109375" customWidth="1"/>
    <col min="1298" max="1300" width="11.33203125" customWidth="1"/>
    <col min="1301" max="1301" width="0" hidden="1" customWidth="1"/>
    <col min="1302" max="1302" width="9.6640625" customWidth="1"/>
    <col min="1303" max="1303" width="10.109375" customWidth="1"/>
    <col min="1304" max="1304" width="14.44140625" customWidth="1"/>
    <col min="1305" max="1305" width="16.33203125" bestFit="1" customWidth="1"/>
    <col min="1306" max="1306" width="16.33203125" customWidth="1"/>
    <col min="1307" max="1307" width="11.88671875" customWidth="1"/>
    <col min="1308" max="1309" width="11.6640625" customWidth="1"/>
    <col min="1537" max="1537" width="17.109375" customWidth="1"/>
    <col min="1538" max="1538" width="16" bestFit="1" customWidth="1"/>
    <col min="1539" max="1540" width="0" hidden="1" customWidth="1"/>
    <col min="1541" max="1541" width="23.109375" bestFit="1" customWidth="1"/>
    <col min="1542" max="1542" width="8.109375" customWidth="1"/>
    <col min="1543" max="1543" width="11.5546875" customWidth="1"/>
    <col min="1544" max="1544" width="10.88671875" customWidth="1"/>
    <col min="1545" max="1545" width="8.88671875" customWidth="1"/>
    <col min="1546" max="1546" width="9.44140625" customWidth="1"/>
    <col min="1547" max="1547" width="11.88671875" customWidth="1"/>
    <col min="1548" max="1549" width="9.5546875" customWidth="1"/>
    <col min="1550" max="1550" width="9.88671875" customWidth="1"/>
    <col min="1551" max="1551" width="11.109375" customWidth="1"/>
    <col min="1552" max="1552" width="8.33203125" customWidth="1"/>
    <col min="1553" max="1553" width="8.109375" customWidth="1"/>
    <col min="1554" max="1556" width="11.33203125" customWidth="1"/>
    <col min="1557" max="1557" width="0" hidden="1" customWidth="1"/>
    <col min="1558" max="1558" width="9.6640625" customWidth="1"/>
    <col min="1559" max="1559" width="10.109375" customWidth="1"/>
    <col min="1560" max="1560" width="14.44140625" customWidth="1"/>
    <col min="1561" max="1561" width="16.33203125" bestFit="1" customWidth="1"/>
    <col min="1562" max="1562" width="16.33203125" customWidth="1"/>
    <col min="1563" max="1563" width="11.88671875" customWidth="1"/>
    <col min="1564" max="1565" width="11.6640625" customWidth="1"/>
    <col min="1793" max="1793" width="17.109375" customWidth="1"/>
    <col min="1794" max="1794" width="16" bestFit="1" customWidth="1"/>
    <col min="1795" max="1796" width="0" hidden="1" customWidth="1"/>
    <col min="1797" max="1797" width="23.109375" bestFit="1" customWidth="1"/>
    <col min="1798" max="1798" width="8.109375" customWidth="1"/>
    <col min="1799" max="1799" width="11.5546875" customWidth="1"/>
    <col min="1800" max="1800" width="10.88671875" customWidth="1"/>
    <col min="1801" max="1801" width="8.88671875" customWidth="1"/>
    <col min="1802" max="1802" width="9.44140625" customWidth="1"/>
    <col min="1803" max="1803" width="11.88671875" customWidth="1"/>
    <col min="1804" max="1805" width="9.5546875" customWidth="1"/>
    <col min="1806" max="1806" width="9.88671875" customWidth="1"/>
    <col min="1807" max="1807" width="11.109375" customWidth="1"/>
    <col min="1808" max="1808" width="8.33203125" customWidth="1"/>
    <col min="1809" max="1809" width="8.109375" customWidth="1"/>
    <col min="1810" max="1812" width="11.33203125" customWidth="1"/>
    <col min="1813" max="1813" width="0" hidden="1" customWidth="1"/>
    <col min="1814" max="1814" width="9.6640625" customWidth="1"/>
    <col min="1815" max="1815" width="10.109375" customWidth="1"/>
    <col min="1816" max="1816" width="14.44140625" customWidth="1"/>
    <col min="1817" max="1817" width="16.33203125" bestFit="1" customWidth="1"/>
    <col min="1818" max="1818" width="16.33203125" customWidth="1"/>
    <col min="1819" max="1819" width="11.88671875" customWidth="1"/>
    <col min="1820" max="1821" width="11.6640625" customWidth="1"/>
    <col min="2049" max="2049" width="17.109375" customWidth="1"/>
    <col min="2050" max="2050" width="16" bestFit="1" customWidth="1"/>
    <col min="2051" max="2052" width="0" hidden="1" customWidth="1"/>
    <col min="2053" max="2053" width="23.109375" bestFit="1" customWidth="1"/>
    <col min="2054" max="2054" width="8.109375" customWidth="1"/>
    <col min="2055" max="2055" width="11.5546875" customWidth="1"/>
    <col min="2056" max="2056" width="10.88671875" customWidth="1"/>
    <col min="2057" max="2057" width="8.88671875" customWidth="1"/>
    <col min="2058" max="2058" width="9.44140625" customWidth="1"/>
    <col min="2059" max="2059" width="11.88671875" customWidth="1"/>
    <col min="2060" max="2061" width="9.5546875" customWidth="1"/>
    <col min="2062" max="2062" width="9.88671875" customWidth="1"/>
    <col min="2063" max="2063" width="11.109375" customWidth="1"/>
    <col min="2064" max="2064" width="8.33203125" customWidth="1"/>
    <col min="2065" max="2065" width="8.109375" customWidth="1"/>
    <col min="2066" max="2068" width="11.33203125" customWidth="1"/>
    <col min="2069" max="2069" width="0" hidden="1" customWidth="1"/>
    <col min="2070" max="2070" width="9.6640625" customWidth="1"/>
    <col min="2071" max="2071" width="10.109375" customWidth="1"/>
    <col min="2072" max="2072" width="14.44140625" customWidth="1"/>
    <col min="2073" max="2073" width="16.33203125" bestFit="1" customWidth="1"/>
    <col min="2074" max="2074" width="16.33203125" customWidth="1"/>
    <col min="2075" max="2075" width="11.88671875" customWidth="1"/>
    <col min="2076" max="2077" width="11.6640625" customWidth="1"/>
    <col min="2305" max="2305" width="17.109375" customWidth="1"/>
    <col min="2306" max="2306" width="16" bestFit="1" customWidth="1"/>
    <col min="2307" max="2308" width="0" hidden="1" customWidth="1"/>
    <col min="2309" max="2309" width="23.109375" bestFit="1" customWidth="1"/>
    <col min="2310" max="2310" width="8.109375" customWidth="1"/>
    <col min="2311" max="2311" width="11.5546875" customWidth="1"/>
    <col min="2312" max="2312" width="10.88671875" customWidth="1"/>
    <col min="2313" max="2313" width="8.88671875" customWidth="1"/>
    <col min="2314" max="2314" width="9.44140625" customWidth="1"/>
    <col min="2315" max="2315" width="11.88671875" customWidth="1"/>
    <col min="2316" max="2317" width="9.5546875" customWidth="1"/>
    <col min="2318" max="2318" width="9.88671875" customWidth="1"/>
    <col min="2319" max="2319" width="11.109375" customWidth="1"/>
    <col min="2320" max="2320" width="8.33203125" customWidth="1"/>
    <col min="2321" max="2321" width="8.109375" customWidth="1"/>
    <col min="2322" max="2324" width="11.33203125" customWidth="1"/>
    <col min="2325" max="2325" width="0" hidden="1" customWidth="1"/>
    <col min="2326" max="2326" width="9.6640625" customWidth="1"/>
    <col min="2327" max="2327" width="10.109375" customWidth="1"/>
    <col min="2328" max="2328" width="14.44140625" customWidth="1"/>
    <col min="2329" max="2329" width="16.33203125" bestFit="1" customWidth="1"/>
    <col min="2330" max="2330" width="16.33203125" customWidth="1"/>
    <col min="2331" max="2331" width="11.88671875" customWidth="1"/>
    <col min="2332" max="2333" width="11.6640625" customWidth="1"/>
    <col min="2561" max="2561" width="17.109375" customWidth="1"/>
    <col min="2562" max="2562" width="16" bestFit="1" customWidth="1"/>
    <col min="2563" max="2564" width="0" hidden="1" customWidth="1"/>
    <col min="2565" max="2565" width="23.109375" bestFit="1" customWidth="1"/>
    <col min="2566" max="2566" width="8.109375" customWidth="1"/>
    <col min="2567" max="2567" width="11.5546875" customWidth="1"/>
    <col min="2568" max="2568" width="10.88671875" customWidth="1"/>
    <col min="2569" max="2569" width="8.88671875" customWidth="1"/>
    <col min="2570" max="2570" width="9.44140625" customWidth="1"/>
    <col min="2571" max="2571" width="11.88671875" customWidth="1"/>
    <col min="2572" max="2573" width="9.5546875" customWidth="1"/>
    <col min="2574" max="2574" width="9.88671875" customWidth="1"/>
    <col min="2575" max="2575" width="11.109375" customWidth="1"/>
    <col min="2576" max="2576" width="8.33203125" customWidth="1"/>
    <col min="2577" max="2577" width="8.109375" customWidth="1"/>
    <col min="2578" max="2580" width="11.33203125" customWidth="1"/>
    <col min="2581" max="2581" width="0" hidden="1" customWidth="1"/>
    <col min="2582" max="2582" width="9.6640625" customWidth="1"/>
    <col min="2583" max="2583" width="10.109375" customWidth="1"/>
    <col min="2584" max="2584" width="14.44140625" customWidth="1"/>
    <col min="2585" max="2585" width="16.33203125" bestFit="1" customWidth="1"/>
    <col min="2586" max="2586" width="16.33203125" customWidth="1"/>
    <col min="2587" max="2587" width="11.88671875" customWidth="1"/>
    <col min="2588" max="2589" width="11.6640625" customWidth="1"/>
    <col min="2817" max="2817" width="17.109375" customWidth="1"/>
    <col min="2818" max="2818" width="16" bestFit="1" customWidth="1"/>
    <col min="2819" max="2820" width="0" hidden="1" customWidth="1"/>
    <col min="2821" max="2821" width="23.109375" bestFit="1" customWidth="1"/>
    <col min="2822" max="2822" width="8.109375" customWidth="1"/>
    <col min="2823" max="2823" width="11.5546875" customWidth="1"/>
    <col min="2824" max="2824" width="10.88671875" customWidth="1"/>
    <col min="2825" max="2825" width="8.88671875" customWidth="1"/>
    <col min="2826" max="2826" width="9.44140625" customWidth="1"/>
    <col min="2827" max="2827" width="11.88671875" customWidth="1"/>
    <col min="2828" max="2829" width="9.5546875" customWidth="1"/>
    <col min="2830" max="2830" width="9.88671875" customWidth="1"/>
    <col min="2831" max="2831" width="11.109375" customWidth="1"/>
    <col min="2832" max="2832" width="8.33203125" customWidth="1"/>
    <col min="2833" max="2833" width="8.109375" customWidth="1"/>
    <col min="2834" max="2836" width="11.33203125" customWidth="1"/>
    <col min="2837" max="2837" width="0" hidden="1" customWidth="1"/>
    <col min="2838" max="2838" width="9.6640625" customWidth="1"/>
    <col min="2839" max="2839" width="10.109375" customWidth="1"/>
    <col min="2840" max="2840" width="14.44140625" customWidth="1"/>
    <col min="2841" max="2841" width="16.33203125" bestFit="1" customWidth="1"/>
    <col min="2842" max="2842" width="16.33203125" customWidth="1"/>
    <col min="2843" max="2843" width="11.88671875" customWidth="1"/>
    <col min="2844" max="2845" width="11.6640625" customWidth="1"/>
    <col min="3073" max="3073" width="17.109375" customWidth="1"/>
    <col min="3074" max="3074" width="16" bestFit="1" customWidth="1"/>
    <col min="3075" max="3076" width="0" hidden="1" customWidth="1"/>
    <col min="3077" max="3077" width="23.109375" bestFit="1" customWidth="1"/>
    <col min="3078" max="3078" width="8.109375" customWidth="1"/>
    <col min="3079" max="3079" width="11.5546875" customWidth="1"/>
    <col min="3080" max="3080" width="10.88671875" customWidth="1"/>
    <col min="3081" max="3081" width="8.88671875" customWidth="1"/>
    <col min="3082" max="3082" width="9.44140625" customWidth="1"/>
    <col min="3083" max="3083" width="11.88671875" customWidth="1"/>
    <col min="3084" max="3085" width="9.5546875" customWidth="1"/>
    <col min="3086" max="3086" width="9.88671875" customWidth="1"/>
    <col min="3087" max="3087" width="11.109375" customWidth="1"/>
    <col min="3088" max="3088" width="8.33203125" customWidth="1"/>
    <col min="3089" max="3089" width="8.109375" customWidth="1"/>
    <col min="3090" max="3092" width="11.33203125" customWidth="1"/>
    <col min="3093" max="3093" width="0" hidden="1" customWidth="1"/>
    <col min="3094" max="3094" width="9.6640625" customWidth="1"/>
    <col min="3095" max="3095" width="10.109375" customWidth="1"/>
    <col min="3096" max="3096" width="14.44140625" customWidth="1"/>
    <col min="3097" max="3097" width="16.33203125" bestFit="1" customWidth="1"/>
    <col min="3098" max="3098" width="16.33203125" customWidth="1"/>
    <col min="3099" max="3099" width="11.88671875" customWidth="1"/>
    <col min="3100" max="3101" width="11.6640625" customWidth="1"/>
    <col min="3329" max="3329" width="17.109375" customWidth="1"/>
    <col min="3330" max="3330" width="16" bestFit="1" customWidth="1"/>
    <col min="3331" max="3332" width="0" hidden="1" customWidth="1"/>
    <col min="3333" max="3333" width="23.109375" bestFit="1" customWidth="1"/>
    <col min="3334" max="3334" width="8.109375" customWidth="1"/>
    <col min="3335" max="3335" width="11.5546875" customWidth="1"/>
    <col min="3336" max="3336" width="10.88671875" customWidth="1"/>
    <col min="3337" max="3337" width="8.88671875" customWidth="1"/>
    <col min="3338" max="3338" width="9.44140625" customWidth="1"/>
    <col min="3339" max="3339" width="11.88671875" customWidth="1"/>
    <col min="3340" max="3341" width="9.5546875" customWidth="1"/>
    <col min="3342" max="3342" width="9.88671875" customWidth="1"/>
    <col min="3343" max="3343" width="11.109375" customWidth="1"/>
    <col min="3344" max="3344" width="8.33203125" customWidth="1"/>
    <col min="3345" max="3345" width="8.109375" customWidth="1"/>
    <col min="3346" max="3348" width="11.33203125" customWidth="1"/>
    <col min="3349" max="3349" width="0" hidden="1" customWidth="1"/>
    <col min="3350" max="3350" width="9.6640625" customWidth="1"/>
    <col min="3351" max="3351" width="10.109375" customWidth="1"/>
    <col min="3352" max="3352" width="14.44140625" customWidth="1"/>
    <col min="3353" max="3353" width="16.33203125" bestFit="1" customWidth="1"/>
    <col min="3354" max="3354" width="16.33203125" customWidth="1"/>
    <col min="3355" max="3355" width="11.88671875" customWidth="1"/>
    <col min="3356" max="3357" width="11.6640625" customWidth="1"/>
    <col min="3585" max="3585" width="17.109375" customWidth="1"/>
    <col min="3586" max="3586" width="16" bestFit="1" customWidth="1"/>
    <col min="3587" max="3588" width="0" hidden="1" customWidth="1"/>
    <col min="3589" max="3589" width="23.109375" bestFit="1" customWidth="1"/>
    <col min="3590" max="3590" width="8.109375" customWidth="1"/>
    <col min="3591" max="3591" width="11.5546875" customWidth="1"/>
    <col min="3592" max="3592" width="10.88671875" customWidth="1"/>
    <col min="3593" max="3593" width="8.88671875" customWidth="1"/>
    <col min="3594" max="3594" width="9.44140625" customWidth="1"/>
    <col min="3595" max="3595" width="11.88671875" customWidth="1"/>
    <col min="3596" max="3597" width="9.5546875" customWidth="1"/>
    <col min="3598" max="3598" width="9.88671875" customWidth="1"/>
    <col min="3599" max="3599" width="11.109375" customWidth="1"/>
    <col min="3600" max="3600" width="8.33203125" customWidth="1"/>
    <col min="3601" max="3601" width="8.109375" customWidth="1"/>
    <col min="3602" max="3604" width="11.33203125" customWidth="1"/>
    <col min="3605" max="3605" width="0" hidden="1" customWidth="1"/>
    <col min="3606" max="3606" width="9.6640625" customWidth="1"/>
    <col min="3607" max="3607" width="10.109375" customWidth="1"/>
    <col min="3608" max="3608" width="14.44140625" customWidth="1"/>
    <col min="3609" max="3609" width="16.33203125" bestFit="1" customWidth="1"/>
    <col min="3610" max="3610" width="16.33203125" customWidth="1"/>
    <col min="3611" max="3611" width="11.88671875" customWidth="1"/>
    <col min="3612" max="3613" width="11.6640625" customWidth="1"/>
    <col min="3841" max="3841" width="17.109375" customWidth="1"/>
    <col min="3842" max="3842" width="16" bestFit="1" customWidth="1"/>
    <col min="3843" max="3844" width="0" hidden="1" customWidth="1"/>
    <col min="3845" max="3845" width="23.109375" bestFit="1" customWidth="1"/>
    <col min="3846" max="3846" width="8.109375" customWidth="1"/>
    <col min="3847" max="3847" width="11.5546875" customWidth="1"/>
    <col min="3848" max="3848" width="10.88671875" customWidth="1"/>
    <col min="3849" max="3849" width="8.88671875" customWidth="1"/>
    <col min="3850" max="3850" width="9.44140625" customWidth="1"/>
    <col min="3851" max="3851" width="11.88671875" customWidth="1"/>
    <col min="3852" max="3853" width="9.5546875" customWidth="1"/>
    <col min="3854" max="3854" width="9.88671875" customWidth="1"/>
    <col min="3855" max="3855" width="11.109375" customWidth="1"/>
    <col min="3856" max="3856" width="8.33203125" customWidth="1"/>
    <col min="3857" max="3857" width="8.109375" customWidth="1"/>
    <col min="3858" max="3860" width="11.33203125" customWidth="1"/>
    <col min="3861" max="3861" width="0" hidden="1" customWidth="1"/>
    <col min="3862" max="3862" width="9.6640625" customWidth="1"/>
    <col min="3863" max="3863" width="10.109375" customWidth="1"/>
    <col min="3864" max="3864" width="14.44140625" customWidth="1"/>
    <col min="3865" max="3865" width="16.33203125" bestFit="1" customWidth="1"/>
    <col min="3866" max="3866" width="16.33203125" customWidth="1"/>
    <col min="3867" max="3867" width="11.88671875" customWidth="1"/>
    <col min="3868" max="3869" width="11.6640625" customWidth="1"/>
    <col min="4097" max="4097" width="17.109375" customWidth="1"/>
    <col min="4098" max="4098" width="16" bestFit="1" customWidth="1"/>
    <col min="4099" max="4100" width="0" hidden="1" customWidth="1"/>
    <col min="4101" max="4101" width="23.109375" bestFit="1" customWidth="1"/>
    <col min="4102" max="4102" width="8.109375" customWidth="1"/>
    <col min="4103" max="4103" width="11.5546875" customWidth="1"/>
    <col min="4104" max="4104" width="10.88671875" customWidth="1"/>
    <col min="4105" max="4105" width="8.88671875" customWidth="1"/>
    <col min="4106" max="4106" width="9.44140625" customWidth="1"/>
    <col min="4107" max="4107" width="11.88671875" customWidth="1"/>
    <col min="4108" max="4109" width="9.5546875" customWidth="1"/>
    <col min="4110" max="4110" width="9.88671875" customWidth="1"/>
    <col min="4111" max="4111" width="11.109375" customWidth="1"/>
    <col min="4112" max="4112" width="8.33203125" customWidth="1"/>
    <col min="4113" max="4113" width="8.109375" customWidth="1"/>
    <col min="4114" max="4116" width="11.33203125" customWidth="1"/>
    <col min="4117" max="4117" width="0" hidden="1" customWidth="1"/>
    <col min="4118" max="4118" width="9.6640625" customWidth="1"/>
    <col min="4119" max="4119" width="10.109375" customWidth="1"/>
    <col min="4120" max="4120" width="14.44140625" customWidth="1"/>
    <col min="4121" max="4121" width="16.33203125" bestFit="1" customWidth="1"/>
    <col min="4122" max="4122" width="16.33203125" customWidth="1"/>
    <col min="4123" max="4123" width="11.88671875" customWidth="1"/>
    <col min="4124" max="4125" width="11.6640625" customWidth="1"/>
    <col min="4353" max="4353" width="17.109375" customWidth="1"/>
    <col min="4354" max="4354" width="16" bestFit="1" customWidth="1"/>
    <col min="4355" max="4356" width="0" hidden="1" customWidth="1"/>
    <col min="4357" max="4357" width="23.109375" bestFit="1" customWidth="1"/>
    <col min="4358" max="4358" width="8.109375" customWidth="1"/>
    <col min="4359" max="4359" width="11.5546875" customWidth="1"/>
    <col min="4360" max="4360" width="10.88671875" customWidth="1"/>
    <col min="4361" max="4361" width="8.88671875" customWidth="1"/>
    <col min="4362" max="4362" width="9.44140625" customWidth="1"/>
    <col min="4363" max="4363" width="11.88671875" customWidth="1"/>
    <col min="4364" max="4365" width="9.5546875" customWidth="1"/>
    <col min="4366" max="4366" width="9.88671875" customWidth="1"/>
    <col min="4367" max="4367" width="11.109375" customWidth="1"/>
    <col min="4368" max="4368" width="8.33203125" customWidth="1"/>
    <col min="4369" max="4369" width="8.109375" customWidth="1"/>
    <col min="4370" max="4372" width="11.33203125" customWidth="1"/>
    <col min="4373" max="4373" width="0" hidden="1" customWidth="1"/>
    <col min="4374" max="4374" width="9.6640625" customWidth="1"/>
    <col min="4375" max="4375" width="10.109375" customWidth="1"/>
    <col min="4376" max="4376" width="14.44140625" customWidth="1"/>
    <col min="4377" max="4377" width="16.33203125" bestFit="1" customWidth="1"/>
    <col min="4378" max="4378" width="16.33203125" customWidth="1"/>
    <col min="4379" max="4379" width="11.88671875" customWidth="1"/>
    <col min="4380" max="4381" width="11.6640625" customWidth="1"/>
    <col min="4609" max="4609" width="17.109375" customWidth="1"/>
    <col min="4610" max="4610" width="16" bestFit="1" customWidth="1"/>
    <col min="4611" max="4612" width="0" hidden="1" customWidth="1"/>
    <col min="4613" max="4613" width="23.109375" bestFit="1" customWidth="1"/>
    <col min="4614" max="4614" width="8.109375" customWidth="1"/>
    <col min="4615" max="4615" width="11.5546875" customWidth="1"/>
    <col min="4616" max="4616" width="10.88671875" customWidth="1"/>
    <col min="4617" max="4617" width="8.88671875" customWidth="1"/>
    <col min="4618" max="4618" width="9.44140625" customWidth="1"/>
    <col min="4619" max="4619" width="11.88671875" customWidth="1"/>
    <col min="4620" max="4621" width="9.5546875" customWidth="1"/>
    <col min="4622" max="4622" width="9.88671875" customWidth="1"/>
    <col min="4623" max="4623" width="11.109375" customWidth="1"/>
    <col min="4624" max="4624" width="8.33203125" customWidth="1"/>
    <col min="4625" max="4625" width="8.109375" customWidth="1"/>
    <col min="4626" max="4628" width="11.33203125" customWidth="1"/>
    <col min="4629" max="4629" width="0" hidden="1" customWidth="1"/>
    <col min="4630" max="4630" width="9.6640625" customWidth="1"/>
    <col min="4631" max="4631" width="10.109375" customWidth="1"/>
    <col min="4632" max="4632" width="14.44140625" customWidth="1"/>
    <col min="4633" max="4633" width="16.33203125" bestFit="1" customWidth="1"/>
    <col min="4634" max="4634" width="16.33203125" customWidth="1"/>
    <col min="4635" max="4635" width="11.88671875" customWidth="1"/>
    <col min="4636" max="4637" width="11.6640625" customWidth="1"/>
    <col min="4865" max="4865" width="17.109375" customWidth="1"/>
    <col min="4866" max="4866" width="16" bestFit="1" customWidth="1"/>
    <col min="4867" max="4868" width="0" hidden="1" customWidth="1"/>
    <col min="4869" max="4869" width="23.109375" bestFit="1" customWidth="1"/>
    <col min="4870" max="4870" width="8.109375" customWidth="1"/>
    <col min="4871" max="4871" width="11.5546875" customWidth="1"/>
    <col min="4872" max="4872" width="10.88671875" customWidth="1"/>
    <col min="4873" max="4873" width="8.88671875" customWidth="1"/>
    <col min="4874" max="4874" width="9.44140625" customWidth="1"/>
    <col min="4875" max="4875" width="11.88671875" customWidth="1"/>
    <col min="4876" max="4877" width="9.5546875" customWidth="1"/>
    <col min="4878" max="4878" width="9.88671875" customWidth="1"/>
    <col min="4879" max="4879" width="11.109375" customWidth="1"/>
    <col min="4880" max="4880" width="8.33203125" customWidth="1"/>
    <col min="4881" max="4881" width="8.109375" customWidth="1"/>
    <col min="4882" max="4884" width="11.33203125" customWidth="1"/>
    <col min="4885" max="4885" width="0" hidden="1" customWidth="1"/>
    <col min="4886" max="4886" width="9.6640625" customWidth="1"/>
    <col min="4887" max="4887" width="10.109375" customWidth="1"/>
    <col min="4888" max="4888" width="14.44140625" customWidth="1"/>
    <col min="4889" max="4889" width="16.33203125" bestFit="1" customWidth="1"/>
    <col min="4890" max="4890" width="16.33203125" customWidth="1"/>
    <col min="4891" max="4891" width="11.88671875" customWidth="1"/>
    <col min="4892" max="4893" width="11.6640625" customWidth="1"/>
    <col min="5121" max="5121" width="17.109375" customWidth="1"/>
    <col min="5122" max="5122" width="16" bestFit="1" customWidth="1"/>
    <col min="5123" max="5124" width="0" hidden="1" customWidth="1"/>
    <col min="5125" max="5125" width="23.109375" bestFit="1" customWidth="1"/>
    <col min="5126" max="5126" width="8.109375" customWidth="1"/>
    <col min="5127" max="5127" width="11.5546875" customWidth="1"/>
    <col min="5128" max="5128" width="10.88671875" customWidth="1"/>
    <col min="5129" max="5129" width="8.88671875" customWidth="1"/>
    <col min="5130" max="5130" width="9.44140625" customWidth="1"/>
    <col min="5131" max="5131" width="11.88671875" customWidth="1"/>
    <col min="5132" max="5133" width="9.5546875" customWidth="1"/>
    <col min="5134" max="5134" width="9.88671875" customWidth="1"/>
    <col min="5135" max="5135" width="11.109375" customWidth="1"/>
    <col min="5136" max="5136" width="8.33203125" customWidth="1"/>
    <col min="5137" max="5137" width="8.109375" customWidth="1"/>
    <col min="5138" max="5140" width="11.33203125" customWidth="1"/>
    <col min="5141" max="5141" width="0" hidden="1" customWidth="1"/>
    <col min="5142" max="5142" width="9.6640625" customWidth="1"/>
    <col min="5143" max="5143" width="10.109375" customWidth="1"/>
    <col min="5144" max="5144" width="14.44140625" customWidth="1"/>
    <col min="5145" max="5145" width="16.33203125" bestFit="1" customWidth="1"/>
    <col min="5146" max="5146" width="16.33203125" customWidth="1"/>
    <col min="5147" max="5147" width="11.88671875" customWidth="1"/>
    <col min="5148" max="5149" width="11.6640625" customWidth="1"/>
    <col min="5377" max="5377" width="17.109375" customWidth="1"/>
    <col min="5378" max="5378" width="16" bestFit="1" customWidth="1"/>
    <col min="5379" max="5380" width="0" hidden="1" customWidth="1"/>
    <col min="5381" max="5381" width="23.109375" bestFit="1" customWidth="1"/>
    <col min="5382" max="5382" width="8.109375" customWidth="1"/>
    <col min="5383" max="5383" width="11.5546875" customWidth="1"/>
    <col min="5384" max="5384" width="10.88671875" customWidth="1"/>
    <col min="5385" max="5385" width="8.88671875" customWidth="1"/>
    <col min="5386" max="5386" width="9.44140625" customWidth="1"/>
    <col min="5387" max="5387" width="11.88671875" customWidth="1"/>
    <col min="5388" max="5389" width="9.5546875" customWidth="1"/>
    <col min="5390" max="5390" width="9.88671875" customWidth="1"/>
    <col min="5391" max="5391" width="11.109375" customWidth="1"/>
    <col min="5392" max="5392" width="8.33203125" customWidth="1"/>
    <col min="5393" max="5393" width="8.109375" customWidth="1"/>
    <col min="5394" max="5396" width="11.33203125" customWidth="1"/>
    <col min="5397" max="5397" width="0" hidden="1" customWidth="1"/>
    <col min="5398" max="5398" width="9.6640625" customWidth="1"/>
    <col min="5399" max="5399" width="10.109375" customWidth="1"/>
    <col min="5400" max="5400" width="14.44140625" customWidth="1"/>
    <col min="5401" max="5401" width="16.33203125" bestFit="1" customWidth="1"/>
    <col min="5402" max="5402" width="16.33203125" customWidth="1"/>
    <col min="5403" max="5403" width="11.88671875" customWidth="1"/>
    <col min="5404" max="5405" width="11.6640625" customWidth="1"/>
    <col min="5633" max="5633" width="17.109375" customWidth="1"/>
    <col min="5634" max="5634" width="16" bestFit="1" customWidth="1"/>
    <col min="5635" max="5636" width="0" hidden="1" customWidth="1"/>
    <col min="5637" max="5637" width="23.109375" bestFit="1" customWidth="1"/>
    <col min="5638" max="5638" width="8.109375" customWidth="1"/>
    <col min="5639" max="5639" width="11.5546875" customWidth="1"/>
    <col min="5640" max="5640" width="10.88671875" customWidth="1"/>
    <col min="5641" max="5641" width="8.88671875" customWidth="1"/>
    <col min="5642" max="5642" width="9.44140625" customWidth="1"/>
    <col min="5643" max="5643" width="11.88671875" customWidth="1"/>
    <col min="5644" max="5645" width="9.5546875" customWidth="1"/>
    <col min="5646" max="5646" width="9.88671875" customWidth="1"/>
    <col min="5647" max="5647" width="11.109375" customWidth="1"/>
    <col min="5648" max="5648" width="8.33203125" customWidth="1"/>
    <col min="5649" max="5649" width="8.109375" customWidth="1"/>
    <col min="5650" max="5652" width="11.33203125" customWidth="1"/>
    <col min="5653" max="5653" width="0" hidden="1" customWidth="1"/>
    <col min="5654" max="5654" width="9.6640625" customWidth="1"/>
    <col min="5655" max="5655" width="10.109375" customWidth="1"/>
    <col min="5656" max="5656" width="14.44140625" customWidth="1"/>
    <col min="5657" max="5657" width="16.33203125" bestFit="1" customWidth="1"/>
    <col min="5658" max="5658" width="16.33203125" customWidth="1"/>
    <col min="5659" max="5659" width="11.88671875" customWidth="1"/>
    <col min="5660" max="5661" width="11.6640625" customWidth="1"/>
    <col min="5889" max="5889" width="17.109375" customWidth="1"/>
    <col min="5890" max="5890" width="16" bestFit="1" customWidth="1"/>
    <col min="5891" max="5892" width="0" hidden="1" customWidth="1"/>
    <col min="5893" max="5893" width="23.109375" bestFit="1" customWidth="1"/>
    <col min="5894" max="5894" width="8.109375" customWidth="1"/>
    <col min="5895" max="5895" width="11.5546875" customWidth="1"/>
    <col min="5896" max="5896" width="10.88671875" customWidth="1"/>
    <col min="5897" max="5897" width="8.88671875" customWidth="1"/>
    <col min="5898" max="5898" width="9.44140625" customWidth="1"/>
    <col min="5899" max="5899" width="11.88671875" customWidth="1"/>
    <col min="5900" max="5901" width="9.5546875" customWidth="1"/>
    <col min="5902" max="5902" width="9.88671875" customWidth="1"/>
    <col min="5903" max="5903" width="11.109375" customWidth="1"/>
    <col min="5904" max="5904" width="8.33203125" customWidth="1"/>
    <col min="5905" max="5905" width="8.109375" customWidth="1"/>
    <col min="5906" max="5908" width="11.33203125" customWidth="1"/>
    <col min="5909" max="5909" width="0" hidden="1" customWidth="1"/>
    <col min="5910" max="5910" width="9.6640625" customWidth="1"/>
    <col min="5911" max="5911" width="10.109375" customWidth="1"/>
    <col min="5912" max="5912" width="14.44140625" customWidth="1"/>
    <col min="5913" max="5913" width="16.33203125" bestFit="1" customWidth="1"/>
    <col min="5914" max="5914" width="16.33203125" customWidth="1"/>
    <col min="5915" max="5915" width="11.88671875" customWidth="1"/>
    <col min="5916" max="5917" width="11.6640625" customWidth="1"/>
    <col min="6145" max="6145" width="17.109375" customWidth="1"/>
    <col min="6146" max="6146" width="16" bestFit="1" customWidth="1"/>
    <col min="6147" max="6148" width="0" hidden="1" customWidth="1"/>
    <col min="6149" max="6149" width="23.109375" bestFit="1" customWidth="1"/>
    <col min="6150" max="6150" width="8.109375" customWidth="1"/>
    <col min="6151" max="6151" width="11.5546875" customWidth="1"/>
    <col min="6152" max="6152" width="10.88671875" customWidth="1"/>
    <col min="6153" max="6153" width="8.88671875" customWidth="1"/>
    <col min="6154" max="6154" width="9.44140625" customWidth="1"/>
    <col min="6155" max="6155" width="11.88671875" customWidth="1"/>
    <col min="6156" max="6157" width="9.5546875" customWidth="1"/>
    <col min="6158" max="6158" width="9.88671875" customWidth="1"/>
    <col min="6159" max="6159" width="11.109375" customWidth="1"/>
    <col min="6160" max="6160" width="8.33203125" customWidth="1"/>
    <col min="6161" max="6161" width="8.109375" customWidth="1"/>
    <col min="6162" max="6164" width="11.33203125" customWidth="1"/>
    <col min="6165" max="6165" width="0" hidden="1" customWidth="1"/>
    <col min="6166" max="6166" width="9.6640625" customWidth="1"/>
    <col min="6167" max="6167" width="10.109375" customWidth="1"/>
    <col min="6168" max="6168" width="14.44140625" customWidth="1"/>
    <col min="6169" max="6169" width="16.33203125" bestFit="1" customWidth="1"/>
    <col min="6170" max="6170" width="16.33203125" customWidth="1"/>
    <col min="6171" max="6171" width="11.88671875" customWidth="1"/>
    <col min="6172" max="6173" width="11.6640625" customWidth="1"/>
    <col min="6401" max="6401" width="17.109375" customWidth="1"/>
    <col min="6402" max="6402" width="16" bestFit="1" customWidth="1"/>
    <col min="6403" max="6404" width="0" hidden="1" customWidth="1"/>
    <col min="6405" max="6405" width="23.109375" bestFit="1" customWidth="1"/>
    <col min="6406" max="6406" width="8.109375" customWidth="1"/>
    <col min="6407" max="6407" width="11.5546875" customWidth="1"/>
    <col min="6408" max="6408" width="10.88671875" customWidth="1"/>
    <col min="6409" max="6409" width="8.88671875" customWidth="1"/>
    <col min="6410" max="6410" width="9.44140625" customWidth="1"/>
    <col min="6411" max="6411" width="11.88671875" customWidth="1"/>
    <col min="6412" max="6413" width="9.5546875" customWidth="1"/>
    <col min="6414" max="6414" width="9.88671875" customWidth="1"/>
    <col min="6415" max="6415" width="11.109375" customWidth="1"/>
    <col min="6416" max="6416" width="8.33203125" customWidth="1"/>
    <col min="6417" max="6417" width="8.109375" customWidth="1"/>
    <col min="6418" max="6420" width="11.33203125" customWidth="1"/>
    <col min="6421" max="6421" width="0" hidden="1" customWidth="1"/>
    <col min="6422" max="6422" width="9.6640625" customWidth="1"/>
    <col min="6423" max="6423" width="10.109375" customWidth="1"/>
    <col min="6424" max="6424" width="14.44140625" customWidth="1"/>
    <col min="6425" max="6425" width="16.33203125" bestFit="1" customWidth="1"/>
    <col min="6426" max="6426" width="16.33203125" customWidth="1"/>
    <col min="6427" max="6427" width="11.88671875" customWidth="1"/>
    <col min="6428" max="6429" width="11.6640625" customWidth="1"/>
    <col min="6657" max="6657" width="17.109375" customWidth="1"/>
    <col min="6658" max="6658" width="16" bestFit="1" customWidth="1"/>
    <col min="6659" max="6660" width="0" hidden="1" customWidth="1"/>
    <col min="6661" max="6661" width="23.109375" bestFit="1" customWidth="1"/>
    <col min="6662" max="6662" width="8.109375" customWidth="1"/>
    <col min="6663" max="6663" width="11.5546875" customWidth="1"/>
    <col min="6664" max="6664" width="10.88671875" customWidth="1"/>
    <col min="6665" max="6665" width="8.88671875" customWidth="1"/>
    <col min="6666" max="6666" width="9.44140625" customWidth="1"/>
    <col min="6667" max="6667" width="11.88671875" customWidth="1"/>
    <col min="6668" max="6669" width="9.5546875" customWidth="1"/>
    <col min="6670" max="6670" width="9.88671875" customWidth="1"/>
    <col min="6671" max="6671" width="11.109375" customWidth="1"/>
    <col min="6672" max="6672" width="8.33203125" customWidth="1"/>
    <col min="6673" max="6673" width="8.109375" customWidth="1"/>
    <col min="6674" max="6676" width="11.33203125" customWidth="1"/>
    <col min="6677" max="6677" width="0" hidden="1" customWidth="1"/>
    <col min="6678" max="6678" width="9.6640625" customWidth="1"/>
    <col min="6679" max="6679" width="10.109375" customWidth="1"/>
    <col min="6680" max="6680" width="14.44140625" customWidth="1"/>
    <col min="6681" max="6681" width="16.33203125" bestFit="1" customWidth="1"/>
    <col min="6682" max="6682" width="16.33203125" customWidth="1"/>
    <col min="6683" max="6683" width="11.88671875" customWidth="1"/>
    <col min="6684" max="6685" width="11.6640625" customWidth="1"/>
    <col min="6913" max="6913" width="17.109375" customWidth="1"/>
    <col min="6914" max="6914" width="16" bestFit="1" customWidth="1"/>
    <col min="6915" max="6916" width="0" hidden="1" customWidth="1"/>
    <col min="6917" max="6917" width="23.109375" bestFit="1" customWidth="1"/>
    <col min="6918" max="6918" width="8.109375" customWidth="1"/>
    <col min="6919" max="6919" width="11.5546875" customWidth="1"/>
    <col min="6920" max="6920" width="10.88671875" customWidth="1"/>
    <col min="6921" max="6921" width="8.88671875" customWidth="1"/>
    <col min="6922" max="6922" width="9.44140625" customWidth="1"/>
    <col min="6923" max="6923" width="11.88671875" customWidth="1"/>
    <col min="6924" max="6925" width="9.5546875" customWidth="1"/>
    <col min="6926" max="6926" width="9.88671875" customWidth="1"/>
    <col min="6927" max="6927" width="11.109375" customWidth="1"/>
    <col min="6928" max="6928" width="8.33203125" customWidth="1"/>
    <col min="6929" max="6929" width="8.109375" customWidth="1"/>
    <col min="6930" max="6932" width="11.33203125" customWidth="1"/>
    <col min="6933" max="6933" width="0" hidden="1" customWidth="1"/>
    <col min="6934" max="6934" width="9.6640625" customWidth="1"/>
    <col min="6935" max="6935" width="10.109375" customWidth="1"/>
    <col min="6936" max="6936" width="14.44140625" customWidth="1"/>
    <col min="6937" max="6937" width="16.33203125" bestFit="1" customWidth="1"/>
    <col min="6938" max="6938" width="16.33203125" customWidth="1"/>
    <col min="6939" max="6939" width="11.88671875" customWidth="1"/>
    <col min="6940" max="6941" width="11.6640625" customWidth="1"/>
    <col min="7169" max="7169" width="17.109375" customWidth="1"/>
    <col min="7170" max="7170" width="16" bestFit="1" customWidth="1"/>
    <col min="7171" max="7172" width="0" hidden="1" customWidth="1"/>
    <col min="7173" max="7173" width="23.109375" bestFit="1" customWidth="1"/>
    <col min="7174" max="7174" width="8.109375" customWidth="1"/>
    <col min="7175" max="7175" width="11.5546875" customWidth="1"/>
    <col min="7176" max="7176" width="10.88671875" customWidth="1"/>
    <col min="7177" max="7177" width="8.88671875" customWidth="1"/>
    <col min="7178" max="7178" width="9.44140625" customWidth="1"/>
    <col min="7179" max="7179" width="11.88671875" customWidth="1"/>
    <col min="7180" max="7181" width="9.5546875" customWidth="1"/>
    <col min="7182" max="7182" width="9.88671875" customWidth="1"/>
    <col min="7183" max="7183" width="11.109375" customWidth="1"/>
    <col min="7184" max="7184" width="8.33203125" customWidth="1"/>
    <col min="7185" max="7185" width="8.109375" customWidth="1"/>
    <col min="7186" max="7188" width="11.33203125" customWidth="1"/>
    <col min="7189" max="7189" width="0" hidden="1" customWidth="1"/>
    <col min="7190" max="7190" width="9.6640625" customWidth="1"/>
    <col min="7191" max="7191" width="10.109375" customWidth="1"/>
    <col min="7192" max="7192" width="14.44140625" customWidth="1"/>
    <col min="7193" max="7193" width="16.33203125" bestFit="1" customWidth="1"/>
    <col min="7194" max="7194" width="16.33203125" customWidth="1"/>
    <col min="7195" max="7195" width="11.88671875" customWidth="1"/>
    <col min="7196" max="7197" width="11.6640625" customWidth="1"/>
    <col min="7425" max="7425" width="17.109375" customWidth="1"/>
    <col min="7426" max="7426" width="16" bestFit="1" customWidth="1"/>
    <col min="7427" max="7428" width="0" hidden="1" customWidth="1"/>
    <col min="7429" max="7429" width="23.109375" bestFit="1" customWidth="1"/>
    <col min="7430" max="7430" width="8.109375" customWidth="1"/>
    <col min="7431" max="7431" width="11.5546875" customWidth="1"/>
    <col min="7432" max="7432" width="10.88671875" customWidth="1"/>
    <col min="7433" max="7433" width="8.88671875" customWidth="1"/>
    <col min="7434" max="7434" width="9.44140625" customWidth="1"/>
    <col min="7435" max="7435" width="11.88671875" customWidth="1"/>
    <col min="7436" max="7437" width="9.5546875" customWidth="1"/>
    <col min="7438" max="7438" width="9.88671875" customWidth="1"/>
    <col min="7439" max="7439" width="11.109375" customWidth="1"/>
    <col min="7440" max="7440" width="8.33203125" customWidth="1"/>
    <col min="7441" max="7441" width="8.109375" customWidth="1"/>
    <col min="7442" max="7444" width="11.33203125" customWidth="1"/>
    <col min="7445" max="7445" width="0" hidden="1" customWidth="1"/>
    <col min="7446" max="7446" width="9.6640625" customWidth="1"/>
    <col min="7447" max="7447" width="10.109375" customWidth="1"/>
    <col min="7448" max="7448" width="14.44140625" customWidth="1"/>
    <col min="7449" max="7449" width="16.33203125" bestFit="1" customWidth="1"/>
    <col min="7450" max="7450" width="16.33203125" customWidth="1"/>
    <col min="7451" max="7451" width="11.88671875" customWidth="1"/>
    <col min="7452" max="7453" width="11.6640625" customWidth="1"/>
    <col min="7681" max="7681" width="17.109375" customWidth="1"/>
    <col min="7682" max="7682" width="16" bestFit="1" customWidth="1"/>
    <col min="7683" max="7684" width="0" hidden="1" customWidth="1"/>
    <col min="7685" max="7685" width="23.109375" bestFit="1" customWidth="1"/>
    <col min="7686" max="7686" width="8.109375" customWidth="1"/>
    <col min="7687" max="7687" width="11.5546875" customWidth="1"/>
    <col min="7688" max="7688" width="10.88671875" customWidth="1"/>
    <col min="7689" max="7689" width="8.88671875" customWidth="1"/>
    <col min="7690" max="7690" width="9.44140625" customWidth="1"/>
    <col min="7691" max="7691" width="11.88671875" customWidth="1"/>
    <col min="7692" max="7693" width="9.5546875" customWidth="1"/>
    <col min="7694" max="7694" width="9.88671875" customWidth="1"/>
    <col min="7695" max="7695" width="11.109375" customWidth="1"/>
    <col min="7696" max="7696" width="8.33203125" customWidth="1"/>
    <col min="7697" max="7697" width="8.109375" customWidth="1"/>
    <col min="7698" max="7700" width="11.33203125" customWidth="1"/>
    <col min="7701" max="7701" width="0" hidden="1" customWidth="1"/>
    <col min="7702" max="7702" width="9.6640625" customWidth="1"/>
    <col min="7703" max="7703" width="10.109375" customWidth="1"/>
    <col min="7704" max="7704" width="14.44140625" customWidth="1"/>
    <col min="7705" max="7705" width="16.33203125" bestFit="1" customWidth="1"/>
    <col min="7706" max="7706" width="16.33203125" customWidth="1"/>
    <col min="7707" max="7707" width="11.88671875" customWidth="1"/>
    <col min="7708" max="7709" width="11.6640625" customWidth="1"/>
    <col min="7937" max="7937" width="17.109375" customWidth="1"/>
    <col min="7938" max="7938" width="16" bestFit="1" customWidth="1"/>
    <col min="7939" max="7940" width="0" hidden="1" customWidth="1"/>
    <col min="7941" max="7941" width="23.109375" bestFit="1" customWidth="1"/>
    <col min="7942" max="7942" width="8.109375" customWidth="1"/>
    <col min="7943" max="7943" width="11.5546875" customWidth="1"/>
    <col min="7944" max="7944" width="10.88671875" customWidth="1"/>
    <col min="7945" max="7945" width="8.88671875" customWidth="1"/>
    <col min="7946" max="7946" width="9.44140625" customWidth="1"/>
    <col min="7947" max="7947" width="11.88671875" customWidth="1"/>
    <col min="7948" max="7949" width="9.5546875" customWidth="1"/>
    <col min="7950" max="7950" width="9.88671875" customWidth="1"/>
    <col min="7951" max="7951" width="11.109375" customWidth="1"/>
    <col min="7952" max="7952" width="8.33203125" customWidth="1"/>
    <col min="7953" max="7953" width="8.109375" customWidth="1"/>
    <col min="7954" max="7956" width="11.33203125" customWidth="1"/>
    <col min="7957" max="7957" width="0" hidden="1" customWidth="1"/>
    <col min="7958" max="7958" width="9.6640625" customWidth="1"/>
    <col min="7959" max="7959" width="10.109375" customWidth="1"/>
    <col min="7960" max="7960" width="14.44140625" customWidth="1"/>
    <col min="7961" max="7961" width="16.33203125" bestFit="1" customWidth="1"/>
    <col min="7962" max="7962" width="16.33203125" customWidth="1"/>
    <col min="7963" max="7963" width="11.88671875" customWidth="1"/>
    <col min="7964" max="7965" width="11.6640625" customWidth="1"/>
    <col min="8193" max="8193" width="17.109375" customWidth="1"/>
    <col min="8194" max="8194" width="16" bestFit="1" customWidth="1"/>
    <col min="8195" max="8196" width="0" hidden="1" customWidth="1"/>
    <col min="8197" max="8197" width="23.109375" bestFit="1" customWidth="1"/>
    <col min="8198" max="8198" width="8.109375" customWidth="1"/>
    <col min="8199" max="8199" width="11.5546875" customWidth="1"/>
    <col min="8200" max="8200" width="10.88671875" customWidth="1"/>
    <col min="8201" max="8201" width="8.88671875" customWidth="1"/>
    <col min="8202" max="8202" width="9.44140625" customWidth="1"/>
    <col min="8203" max="8203" width="11.88671875" customWidth="1"/>
    <col min="8204" max="8205" width="9.5546875" customWidth="1"/>
    <col min="8206" max="8206" width="9.88671875" customWidth="1"/>
    <col min="8207" max="8207" width="11.109375" customWidth="1"/>
    <col min="8208" max="8208" width="8.33203125" customWidth="1"/>
    <col min="8209" max="8209" width="8.109375" customWidth="1"/>
    <col min="8210" max="8212" width="11.33203125" customWidth="1"/>
    <col min="8213" max="8213" width="0" hidden="1" customWidth="1"/>
    <col min="8214" max="8214" width="9.6640625" customWidth="1"/>
    <col min="8215" max="8215" width="10.109375" customWidth="1"/>
    <col min="8216" max="8216" width="14.44140625" customWidth="1"/>
    <col min="8217" max="8217" width="16.33203125" bestFit="1" customWidth="1"/>
    <col min="8218" max="8218" width="16.33203125" customWidth="1"/>
    <col min="8219" max="8219" width="11.88671875" customWidth="1"/>
    <col min="8220" max="8221" width="11.6640625" customWidth="1"/>
    <col min="8449" max="8449" width="17.109375" customWidth="1"/>
    <col min="8450" max="8450" width="16" bestFit="1" customWidth="1"/>
    <col min="8451" max="8452" width="0" hidden="1" customWidth="1"/>
    <col min="8453" max="8453" width="23.109375" bestFit="1" customWidth="1"/>
    <col min="8454" max="8454" width="8.109375" customWidth="1"/>
    <col min="8455" max="8455" width="11.5546875" customWidth="1"/>
    <col min="8456" max="8456" width="10.88671875" customWidth="1"/>
    <col min="8457" max="8457" width="8.88671875" customWidth="1"/>
    <col min="8458" max="8458" width="9.44140625" customWidth="1"/>
    <col min="8459" max="8459" width="11.88671875" customWidth="1"/>
    <col min="8460" max="8461" width="9.5546875" customWidth="1"/>
    <col min="8462" max="8462" width="9.88671875" customWidth="1"/>
    <col min="8463" max="8463" width="11.109375" customWidth="1"/>
    <col min="8464" max="8464" width="8.33203125" customWidth="1"/>
    <col min="8465" max="8465" width="8.109375" customWidth="1"/>
    <col min="8466" max="8468" width="11.33203125" customWidth="1"/>
    <col min="8469" max="8469" width="0" hidden="1" customWidth="1"/>
    <col min="8470" max="8470" width="9.6640625" customWidth="1"/>
    <col min="8471" max="8471" width="10.109375" customWidth="1"/>
    <col min="8472" max="8472" width="14.44140625" customWidth="1"/>
    <col min="8473" max="8473" width="16.33203125" bestFit="1" customWidth="1"/>
    <col min="8474" max="8474" width="16.33203125" customWidth="1"/>
    <col min="8475" max="8475" width="11.88671875" customWidth="1"/>
    <col min="8476" max="8477" width="11.6640625" customWidth="1"/>
    <col min="8705" max="8705" width="17.109375" customWidth="1"/>
    <col min="8706" max="8706" width="16" bestFit="1" customWidth="1"/>
    <col min="8707" max="8708" width="0" hidden="1" customWidth="1"/>
    <col min="8709" max="8709" width="23.109375" bestFit="1" customWidth="1"/>
    <col min="8710" max="8710" width="8.109375" customWidth="1"/>
    <col min="8711" max="8711" width="11.5546875" customWidth="1"/>
    <col min="8712" max="8712" width="10.88671875" customWidth="1"/>
    <col min="8713" max="8713" width="8.88671875" customWidth="1"/>
    <col min="8714" max="8714" width="9.44140625" customWidth="1"/>
    <col min="8715" max="8715" width="11.88671875" customWidth="1"/>
    <col min="8716" max="8717" width="9.5546875" customWidth="1"/>
    <col min="8718" max="8718" width="9.88671875" customWidth="1"/>
    <col min="8719" max="8719" width="11.109375" customWidth="1"/>
    <col min="8720" max="8720" width="8.33203125" customWidth="1"/>
    <col min="8721" max="8721" width="8.109375" customWidth="1"/>
    <col min="8722" max="8724" width="11.33203125" customWidth="1"/>
    <col min="8725" max="8725" width="0" hidden="1" customWidth="1"/>
    <col min="8726" max="8726" width="9.6640625" customWidth="1"/>
    <col min="8727" max="8727" width="10.109375" customWidth="1"/>
    <col min="8728" max="8728" width="14.44140625" customWidth="1"/>
    <col min="8729" max="8729" width="16.33203125" bestFit="1" customWidth="1"/>
    <col min="8730" max="8730" width="16.33203125" customWidth="1"/>
    <col min="8731" max="8731" width="11.88671875" customWidth="1"/>
    <col min="8732" max="8733" width="11.6640625" customWidth="1"/>
    <col min="8961" max="8961" width="17.109375" customWidth="1"/>
    <col min="8962" max="8962" width="16" bestFit="1" customWidth="1"/>
    <col min="8963" max="8964" width="0" hidden="1" customWidth="1"/>
    <col min="8965" max="8965" width="23.109375" bestFit="1" customWidth="1"/>
    <col min="8966" max="8966" width="8.109375" customWidth="1"/>
    <col min="8967" max="8967" width="11.5546875" customWidth="1"/>
    <col min="8968" max="8968" width="10.88671875" customWidth="1"/>
    <col min="8969" max="8969" width="8.88671875" customWidth="1"/>
    <col min="8970" max="8970" width="9.44140625" customWidth="1"/>
    <col min="8971" max="8971" width="11.88671875" customWidth="1"/>
    <col min="8972" max="8973" width="9.5546875" customWidth="1"/>
    <col min="8974" max="8974" width="9.88671875" customWidth="1"/>
    <col min="8975" max="8975" width="11.109375" customWidth="1"/>
    <col min="8976" max="8976" width="8.33203125" customWidth="1"/>
    <col min="8977" max="8977" width="8.109375" customWidth="1"/>
    <col min="8978" max="8980" width="11.33203125" customWidth="1"/>
    <col min="8981" max="8981" width="0" hidden="1" customWidth="1"/>
    <col min="8982" max="8982" width="9.6640625" customWidth="1"/>
    <col min="8983" max="8983" width="10.109375" customWidth="1"/>
    <col min="8984" max="8984" width="14.44140625" customWidth="1"/>
    <col min="8985" max="8985" width="16.33203125" bestFit="1" customWidth="1"/>
    <col min="8986" max="8986" width="16.33203125" customWidth="1"/>
    <col min="8987" max="8987" width="11.88671875" customWidth="1"/>
    <col min="8988" max="8989" width="11.6640625" customWidth="1"/>
    <col min="9217" max="9217" width="17.109375" customWidth="1"/>
    <col min="9218" max="9218" width="16" bestFit="1" customWidth="1"/>
    <col min="9219" max="9220" width="0" hidden="1" customWidth="1"/>
    <col min="9221" max="9221" width="23.109375" bestFit="1" customWidth="1"/>
    <col min="9222" max="9222" width="8.109375" customWidth="1"/>
    <col min="9223" max="9223" width="11.5546875" customWidth="1"/>
    <col min="9224" max="9224" width="10.88671875" customWidth="1"/>
    <col min="9225" max="9225" width="8.88671875" customWidth="1"/>
    <col min="9226" max="9226" width="9.44140625" customWidth="1"/>
    <col min="9227" max="9227" width="11.88671875" customWidth="1"/>
    <col min="9228" max="9229" width="9.5546875" customWidth="1"/>
    <col min="9230" max="9230" width="9.88671875" customWidth="1"/>
    <col min="9231" max="9231" width="11.109375" customWidth="1"/>
    <col min="9232" max="9232" width="8.33203125" customWidth="1"/>
    <col min="9233" max="9233" width="8.109375" customWidth="1"/>
    <col min="9234" max="9236" width="11.33203125" customWidth="1"/>
    <col min="9237" max="9237" width="0" hidden="1" customWidth="1"/>
    <col min="9238" max="9238" width="9.6640625" customWidth="1"/>
    <col min="9239" max="9239" width="10.109375" customWidth="1"/>
    <col min="9240" max="9240" width="14.44140625" customWidth="1"/>
    <col min="9241" max="9241" width="16.33203125" bestFit="1" customWidth="1"/>
    <col min="9242" max="9242" width="16.33203125" customWidth="1"/>
    <col min="9243" max="9243" width="11.88671875" customWidth="1"/>
    <col min="9244" max="9245" width="11.6640625" customWidth="1"/>
    <col min="9473" max="9473" width="17.109375" customWidth="1"/>
    <col min="9474" max="9474" width="16" bestFit="1" customWidth="1"/>
    <col min="9475" max="9476" width="0" hidden="1" customWidth="1"/>
    <col min="9477" max="9477" width="23.109375" bestFit="1" customWidth="1"/>
    <col min="9478" max="9478" width="8.109375" customWidth="1"/>
    <col min="9479" max="9479" width="11.5546875" customWidth="1"/>
    <col min="9480" max="9480" width="10.88671875" customWidth="1"/>
    <col min="9481" max="9481" width="8.88671875" customWidth="1"/>
    <col min="9482" max="9482" width="9.44140625" customWidth="1"/>
    <col min="9483" max="9483" width="11.88671875" customWidth="1"/>
    <col min="9484" max="9485" width="9.5546875" customWidth="1"/>
    <col min="9486" max="9486" width="9.88671875" customWidth="1"/>
    <col min="9487" max="9487" width="11.109375" customWidth="1"/>
    <col min="9488" max="9488" width="8.33203125" customWidth="1"/>
    <col min="9489" max="9489" width="8.109375" customWidth="1"/>
    <col min="9490" max="9492" width="11.33203125" customWidth="1"/>
    <col min="9493" max="9493" width="0" hidden="1" customWidth="1"/>
    <col min="9494" max="9494" width="9.6640625" customWidth="1"/>
    <col min="9495" max="9495" width="10.109375" customWidth="1"/>
    <col min="9496" max="9496" width="14.44140625" customWidth="1"/>
    <col min="9497" max="9497" width="16.33203125" bestFit="1" customWidth="1"/>
    <col min="9498" max="9498" width="16.33203125" customWidth="1"/>
    <col min="9499" max="9499" width="11.88671875" customWidth="1"/>
    <col min="9500" max="9501" width="11.6640625" customWidth="1"/>
    <col min="9729" max="9729" width="17.109375" customWidth="1"/>
    <col min="9730" max="9730" width="16" bestFit="1" customWidth="1"/>
    <col min="9731" max="9732" width="0" hidden="1" customWidth="1"/>
    <col min="9733" max="9733" width="23.109375" bestFit="1" customWidth="1"/>
    <col min="9734" max="9734" width="8.109375" customWidth="1"/>
    <col min="9735" max="9735" width="11.5546875" customWidth="1"/>
    <col min="9736" max="9736" width="10.88671875" customWidth="1"/>
    <col min="9737" max="9737" width="8.88671875" customWidth="1"/>
    <col min="9738" max="9738" width="9.44140625" customWidth="1"/>
    <col min="9739" max="9739" width="11.88671875" customWidth="1"/>
    <col min="9740" max="9741" width="9.5546875" customWidth="1"/>
    <col min="9742" max="9742" width="9.88671875" customWidth="1"/>
    <col min="9743" max="9743" width="11.109375" customWidth="1"/>
    <col min="9744" max="9744" width="8.33203125" customWidth="1"/>
    <col min="9745" max="9745" width="8.109375" customWidth="1"/>
    <col min="9746" max="9748" width="11.33203125" customWidth="1"/>
    <col min="9749" max="9749" width="0" hidden="1" customWidth="1"/>
    <col min="9750" max="9750" width="9.6640625" customWidth="1"/>
    <col min="9751" max="9751" width="10.109375" customWidth="1"/>
    <col min="9752" max="9752" width="14.44140625" customWidth="1"/>
    <col min="9753" max="9753" width="16.33203125" bestFit="1" customWidth="1"/>
    <col min="9754" max="9754" width="16.33203125" customWidth="1"/>
    <col min="9755" max="9755" width="11.88671875" customWidth="1"/>
    <col min="9756" max="9757" width="11.6640625" customWidth="1"/>
    <col min="9985" max="9985" width="17.109375" customWidth="1"/>
    <col min="9986" max="9986" width="16" bestFit="1" customWidth="1"/>
    <col min="9987" max="9988" width="0" hidden="1" customWidth="1"/>
    <col min="9989" max="9989" width="23.109375" bestFit="1" customWidth="1"/>
    <col min="9990" max="9990" width="8.109375" customWidth="1"/>
    <col min="9991" max="9991" width="11.5546875" customWidth="1"/>
    <col min="9992" max="9992" width="10.88671875" customWidth="1"/>
    <col min="9993" max="9993" width="8.88671875" customWidth="1"/>
    <col min="9994" max="9994" width="9.44140625" customWidth="1"/>
    <col min="9995" max="9995" width="11.88671875" customWidth="1"/>
    <col min="9996" max="9997" width="9.5546875" customWidth="1"/>
    <col min="9998" max="9998" width="9.88671875" customWidth="1"/>
    <col min="9999" max="9999" width="11.109375" customWidth="1"/>
    <col min="10000" max="10000" width="8.33203125" customWidth="1"/>
    <col min="10001" max="10001" width="8.109375" customWidth="1"/>
    <col min="10002" max="10004" width="11.33203125" customWidth="1"/>
    <col min="10005" max="10005" width="0" hidden="1" customWidth="1"/>
    <col min="10006" max="10006" width="9.6640625" customWidth="1"/>
    <col min="10007" max="10007" width="10.109375" customWidth="1"/>
    <col min="10008" max="10008" width="14.44140625" customWidth="1"/>
    <col min="10009" max="10009" width="16.33203125" bestFit="1" customWidth="1"/>
    <col min="10010" max="10010" width="16.33203125" customWidth="1"/>
    <col min="10011" max="10011" width="11.88671875" customWidth="1"/>
    <col min="10012" max="10013" width="11.6640625" customWidth="1"/>
    <col min="10241" max="10241" width="17.109375" customWidth="1"/>
    <col min="10242" max="10242" width="16" bestFit="1" customWidth="1"/>
    <col min="10243" max="10244" width="0" hidden="1" customWidth="1"/>
    <col min="10245" max="10245" width="23.109375" bestFit="1" customWidth="1"/>
    <col min="10246" max="10246" width="8.109375" customWidth="1"/>
    <col min="10247" max="10247" width="11.5546875" customWidth="1"/>
    <col min="10248" max="10248" width="10.88671875" customWidth="1"/>
    <col min="10249" max="10249" width="8.88671875" customWidth="1"/>
    <col min="10250" max="10250" width="9.44140625" customWidth="1"/>
    <col min="10251" max="10251" width="11.88671875" customWidth="1"/>
    <col min="10252" max="10253" width="9.5546875" customWidth="1"/>
    <col min="10254" max="10254" width="9.88671875" customWidth="1"/>
    <col min="10255" max="10255" width="11.109375" customWidth="1"/>
    <col min="10256" max="10256" width="8.33203125" customWidth="1"/>
    <col min="10257" max="10257" width="8.109375" customWidth="1"/>
    <col min="10258" max="10260" width="11.33203125" customWidth="1"/>
    <col min="10261" max="10261" width="0" hidden="1" customWidth="1"/>
    <col min="10262" max="10262" width="9.6640625" customWidth="1"/>
    <col min="10263" max="10263" width="10.109375" customWidth="1"/>
    <col min="10264" max="10264" width="14.44140625" customWidth="1"/>
    <col min="10265" max="10265" width="16.33203125" bestFit="1" customWidth="1"/>
    <col min="10266" max="10266" width="16.33203125" customWidth="1"/>
    <col min="10267" max="10267" width="11.88671875" customWidth="1"/>
    <col min="10268" max="10269" width="11.6640625" customWidth="1"/>
    <col min="10497" max="10497" width="17.109375" customWidth="1"/>
    <col min="10498" max="10498" width="16" bestFit="1" customWidth="1"/>
    <col min="10499" max="10500" width="0" hidden="1" customWidth="1"/>
    <col min="10501" max="10501" width="23.109375" bestFit="1" customWidth="1"/>
    <col min="10502" max="10502" width="8.109375" customWidth="1"/>
    <col min="10503" max="10503" width="11.5546875" customWidth="1"/>
    <col min="10504" max="10504" width="10.88671875" customWidth="1"/>
    <col min="10505" max="10505" width="8.88671875" customWidth="1"/>
    <col min="10506" max="10506" width="9.44140625" customWidth="1"/>
    <col min="10507" max="10507" width="11.88671875" customWidth="1"/>
    <col min="10508" max="10509" width="9.5546875" customWidth="1"/>
    <col min="10510" max="10510" width="9.88671875" customWidth="1"/>
    <col min="10511" max="10511" width="11.109375" customWidth="1"/>
    <col min="10512" max="10512" width="8.33203125" customWidth="1"/>
    <col min="10513" max="10513" width="8.109375" customWidth="1"/>
    <col min="10514" max="10516" width="11.33203125" customWidth="1"/>
    <col min="10517" max="10517" width="0" hidden="1" customWidth="1"/>
    <col min="10518" max="10518" width="9.6640625" customWidth="1"/>
    <col min="10519" max="10519" width="10.109375" customWidth="1"/>
    <col min="10520" max="10520" width="14.44140625" customWidth="1"/>
    <col min="10521" max="10521" width="16.33203125" bestFit="1" customWidth="1"/>
    <col min="10522" max="10522" width="16.33203125" customWidth="1"/>
    <col min="10523" max="10523" width="11.88671875" customWidth="1"/>
    <col min="10524" max="10525" width="11.6640625" customWidth="1"/>
    <col min="10753" max="10753" width="17.109375" customWidth="1"/>
    <col min="10754" max="10754" width="16" bestFit="1" customWidth="1"/>
    <col min="10755" max="10756" width="0" hidden="1" customWidth="1"/>
    <col min="10757" max="10757" width="23.109375" bestFit="1" customWidth="1"/>
    <col min="10758" max="10758" width="8.109375" customWidth="1"/>
    <col min="10759" max="10759" width="11.5546875" customWidth="1"/>
    <col min="10760" max="10760" width="10.88671875" customWidth="1"/>
    <col min="10761" max="10761" width="8.88671875" customWidth="1"/>
    <col min="10762" max="10762" width="9.44140625" customWidth="1"/>
    <col min="10763" max="10763" width="11.88671875" customWidth="1"/>
    <col min="10764" max="10765" width="9.5546875" customWidth="1"/>
    <col min="10766" max="10766" width="9.88671875" customWidth="1"/>
    <col min="10767" max="10767" width="11.109375" customWidth="1"/>
    <col min="10768" max="10768" width="8.33203125" customWidth="1"/>
    <col min="10769" max="10769" width="8.109375" customWidth="1"/>
    <col min="10770" max="10772" width="11.33203125" customWidth="1"/>
    <col min="10773" max="10773" width="0" hidden="1" customWidth="1"/>
    <col min="10774" max="10774" width="9.6640625" customWidth="1"/>
    <col min="10775" max="10775" width="10.109375" customWidth="1"/>
    <col min="10776" max="10776" width="14.44140625" customWidth="1"/>
    <col min="10777" max="10777" width="16.33203125" bestFit="1" customWidth="1"/>
    <col min="10778" max="10778" width="16.33203125" customWidth="1"/>
    <col min="10779" max="10779" width="11.88671875" customWidth="1"/>
    <col min="10780" max="10781" width="11.6640625" customWidth="1"/>
    <col min="11009" max="11009" width="17.109375" customWidth="1"/>
    <col min="11010" max="11010" width="16" bestFit="1" customWidth="1"/>
    <col min="11011" max="11012" width="0" hidden="1" customWidth="1"/>
    <col min="11013" max="11013" width="23.109375" bestFit="1" customWidth="1"/>
    <col min="11014" max="11014" width="8.109375" customWidth="1"/>
    <col min="11015" max="11015" width="11.5546875" customWidth="1"/>
    <col min="11016" max="11016" width="10.88671875" customWidth="1"/>
    <col min="11017" max="11017" width="8.88671875" customWidth="1"/>
    <col min="11018" max="11018" width="9.44140625" customWidth="1"/>
    <col min="11019" max="11019" width="11.88671875" customWidth="1"/>
    <col min="11020" max="11021" width="9.5546875" customWidth="1"/>
    <col min="11022" max="11022" width="9.88671875" customWidth="1"/>
    <col min="11023" max="11023" width="11.109375" customWidth="1"/>
    <col min="11024" max="11024" width="8.33203125" customWidth="1"/>
    <col min="11025" max="11025" width="8.109375" customWidth="1"/>
    <col min="11026" max="11028" width="11.33203125" customWidth="1"/>
    <col min="11029" max="11029" width="0" hidden="1" customWidth="1"/>
    <col min="11030" max="11030" width="9.6640625" customWidth="1"/>
    <col min="11031" max="11031" width="10.109375" customWidth="1"/>
    <col min="11032" max="11032" width="14.44140625" customWidth="1"/>
    <col min="11033" max="11033" width="16.33203125" bestFit="1" customWidth="1"/>
    <col min="11034" max="11034" width="16.33203125" customWidth="1"/>
    <col min="11035" max="11035" width="11.88671875" customWidth="1"/>
    <col min="11036" max="11037" width="11.6640625" customWidth="1"/>
    <col min="11265" max="11265" width="17.109375" customWidth="1"/>
    <col min="11266" max="11266" width="16" bestFit="1" customWidth="1"/>
    <col min="11267" max="11268" width="0" hidden="1" customWidth="1"/>
    <col min="11269" max="11269" width="23.109375" bestFit="1" customWidth="1"/>
    <col min="11270" max="11270" width="8.109375" customWidth="1"/>
    <col min="11271" max="11271" width="11.5546875" customWidth="1"/>
    <col min="11272" max="11272" width="10.88671875" customWidth="1"/>
    <col min="11273" max="11273" width="8.88671875" customWidth="1"/>
    <col min="11274" max="11274" width="9.44140625" customWidth="1"/>
    <col min="11275" max="11275" width="11.88671875" customWidth="1"/>
    <col min="11276" max="11277" width="9.5546875" customWidth="1"/>
    <col min="11278" max="11278" width="9.88671875" customWidth="1"/>
    <col min="11279" max="11279" width="11.109375" customWidth="1"/>
    <col min="11280" max="11280" width="8.33203125" customWidth="1"/>
    <col min="11281" max="11281" width="8.109375" customWidth="1"/>
    <col min="11282" max="11284" width="11.33203125" customWidth="1"/>
    <col min="11285" max="11285" width="0" hidden="1" customWidth="1"/>
    <col min="11286" max="11286" width="9.6640625" customWidth="1"/>
    <col min="11287" max="11287" width="10.109375" customWidth="1"/>
    <col min="11288" max="11288" width="14.44140625" customWidth="1"/>
    <col min="11289" max="11289" width="16.33203125" bestFit="1" customWidth="1"/>
    <col min="11290" max="11290" width="16.33203125" customWidth="1"/>
    <col min="11291" max="11291" width="11.88671875" customWidth="1"/>
    <col min="11292" max="11293" width="11.6640625" customWidth="1"/>
    <col min="11521" max="11521" width="17.109375" customWidth="1"/>
    <col min="11522" max="11522" width="16" bestFit="1" customWidth="1"/>
    <col min="11523" max="11524" width="0" hidden="1" customWidth="1"/>
    <col min="11525" max="11525" width="23.109375" bestFit="1" customWidth="1"/>
    <col min="11526" max="11526" width="8.109375" customWidth="1"/>
    <col min="11527" max="11527" width="11.5546875" customWidth="1"/>
    <col min="11528" max="11528" width="10.88671875" customWidth="1"/>
    <col min="11529" max="11529" width="8.88671875" customWidth="1"/>
    <col min="11530" max="11530" width="9.44140625" customWidth="1"/>
    <col min="11531" max="11531" width="11.88671875" customWidth="1"/>
    <col min="11532" max="11533" width="9.5546875" customWidth="1"/>
    <col min="11534" max="11534" width="9.88671875" customWidth="1"/>
    <col min="11535" max="11535" width="11.109375" customWidth="1"/>
    <col min="11536" max="11536" width="8.33203125" customWidth="1"/>
    <col min="11537" max="11537" width="8.109375" customWidth="1"/>
    <col min="11538" max="11540" width="11.33203125" customWidth="1"/>
    <col min="11541" max="11541" width="0" hidden="1" customWidth="1"/>
    <col min="11542" max="11542" width="9.6640625" customWidth="1"/>
    <col min="11543" max="11543" width="10.109375" customWidth="1"/>
    <col min="11544" max="11544" width="14.44140625" customWidth="1"/>
    <col min="11545" max="11545" width="16.33203125" bestFit="1" customWidth="1"/>
    <col min="11546" max="11546" width="16.33203125" customWidth="1"/>
    <col min="11547" max="11547" width="11.88671875" customWidth="1"/>
    <col min="11548" max="11549" width="11.6640625" customWidth="1"/>
    <col min="11777" max="11777" width="17.109375" customWidth="1"/>
    <col min="11778" max="11778" width="16" bestFit="1" customWidth="1"/>
    <col min="11779" max="11780" width="0" hidden="1" customWidth="1"/>
    <col min="11781" max="11781" width="23.109375" bestFit="1" customWidth="1"/>
    <col min="11782" max="11782" width="8.109375" customWidth="1"/>
    <col min="11783" max="11783" width="11.5546875" customWidth="1"/>
    <col min="11784" max="11784" width="10.88671875" customWidth="1"/>
    <col min="11785" max="11785" width="8.88671875" customWidth="1"/>
    <col min="11786" max="11786" width="9.44140625" customWidth="1"/>
    <col min="11787" max="11787" width="11.88671875" customWidth="1"/>
    <col min="11788" max="11789" width="9.5546875" customWidth="1"/>
    <col min="11790" max="11790" width="9.88671875" customWidth="1"/>
    <col min="11791" max="11791" width="11.109375" customWidth="1"/>
    <col min="11792" max="11792" width="8.33203125" customWidth="1"/>
    <col min="11793" max="11793" width="8.109375" customWidth="1"/>
    <col min="11794" max="11796" width="11.33203125" customWidth="1"/>
    <col min="11797" max="11797" width="0" hidden="1" customWidth="1"/>
    <col min="11798" max="11798" width="9.6640625" customWidth="1"/>
    <col min="11799" max="11799" width="10.109375" customWidth="1"/>
    <col min="11800" max="11800" width="14.44140625" customWidth="1"/>
    <col min="11801" max="11801" width="16.33203125" bestFit="1" customWidth="1"/>
    <col min="11802" max="11802" width="16.33203125" customWidth="1"/>
    <col min="11803" max="11803" width="11.88671875" customWidth="1"/>
    <col min="11804" max="11805" width="11.6640625" customWidth="1"/>
    <col min="12033" max="12033" width="17.109375" customWidth="1"/>
    <col min="12034" max="12034" width="16" bestFit="1" customWidth="1"/>
    <col min="12035" max="12036" width="0" hidden="1" customWidth="1"/>
    <col min="12037" max="12037" width="23.109375" bestFit="1" customWidth="1"/>
    <col min="12038" max="12038" width="8.109375" customWidth="1"/>
    <col min="12039" max="12039" width="11.5546875" customWidth="1"/>
    <col min="12040" max="12040" width="10.88671875" customWidth="1"/>
    <col min="12041" max="12041" width="8.88671875" customWidth="1"/>
    <col min="12042" max="12042" width="9.44140625" customWidth="1"/>
    <col min="12043" max="12043" width="11.88671875" customWidth="1"/>
    <col min="12044" max="12045" width="9.5546875" customWidth="1"/>
    <col min="12046" max="12046" width="9.88671875" customWidth="1"/>
    <col min="12047" max="12047" width="11.109375" customWidth="1"/>
    <col min="12048" max="12048" width="8.33203125" customWidth="1"/>
    <col min="12049" max="12049" width="8.109375" customWidth="1"/>
    <col min="12050" max="12052" width="11.33203125" customWidth="1"/>
    <col min="12053" max="12053" width="0" hidden="1" customWidth="1"/>
    <col min="12054" max="12054" width="9.6640625" customWidth="1"/>
    <col min="12055" max="12055" width="10.109375" customWidth="1"/>
    <col min="12056" max="12056" width="14.44140625" customWidth="1"/>
    <col min="12057" max="12057" width="16.33203125" bestFit="1" customWidth="1"/>
    <col min="12058" max="12058" width="16.33203125" customWidth="1"/>
    <col min="12059" max="12059" width="11.88671875" customWidth="1"/>
    <col min="12060" max="12061" width="11.6640625" customWidth="1"/>
    <col min="12289" max="12289" width="17.109375" customWidth="1"/>
    <col min="12290" max="12290" width="16" bestFit="1" customWidth="1"/>
    <col min="12291" max="12292" width="0" hidden="1" customWidth="1"/>
    <col min="12293" max="12293" width="23.109375" bestFit="1" customWidth="1"/>
    <col min="12294" max="12294" width="8.109375" customWidth="1"/>
    <col min="12295" max="12295" width="11.5546875" customWidth="1"/>
    <col min="12296" max="12296" width="10.88671875" customWidth="1"/>
    <col min="12297" max="12297" width="8.88671875" customWidth="1"/>
    <col min="12298" max="12298" width="9.44140625" customWidth="1"/>
    <col min="12299" max="12299" width="11.88671875" customWidth="1"/>
    <col min="12300" max="12301" width="9.5546875" customWidth="1"/>
    <col min="12302" max="12302" width="9.88671875" customWidth="1"/>
    <col min="12303" max="12303" width="11.109375" customWidth="1"/>
    <col min="12304" max="12304" width="8.33203125" customWidth="1"/>
    <col min="12305" max="12305" width="8.109375" customWidth="1"/>
    <col min="12306" max="12308" width="11.33203125" customWidth="1"/>
    <col min="12309" max="12309" width="0" hidden="1" customWidth="1"/>
    <col min="12310" max="12310" width="9.6640625" customWidth="1"/>
    <col min="12311" max="12311" width="10.109375" customWidth="1"/>
    <col min="12312" max="12312" width="14.44140625" customWidth="1"/>
    <col min="12313" max="12313" width="16.33203125" bestFit="1" customWidth="1"/>
    <col min="12314" max="12314" width="16.33203125" customWidth="1"/>
    <col min="12315" max="12315" width="11.88671875" customWidth="1"/>
    <col min="12316" max="12317" width="11.6640625" customWidth="1"/>
    <col min="12545" max="12545" width="17.109375" customWidth="1"/>
    <col min="12546" max="12546" width="16" bestFit="1" customWidth="1"/>
    <col min="12547" max="12548" width="0" hidden="1" customWidth="1"/>
    <col min="12549" max="12549" width="23.109375" bestFit="1" customWidth="1"/>
    <col min="12550" max="12550" width="8.109375" customWidth="1"/>
    <col min="12551" max="12551" width="11.5546875" customWidth="1"/>
    <col min="12552" max="12552" width="10.88671875" customWidth="1"/>
    <col min="12553" max="12553" width="8.88671875" customWidth="1"/>
    <col min="12554" max="12554" width="9.44140625" customWidth="1"/>
    <col min="12555" max="12555" width="11.88671875" customWidth="1"/>
    <col min="12556" max="12557" width="9.5546875" customWidth="1"/>
    <col min="12558" max="12558" width="9.88671875" customWidth="1"/>
    <col min="12559" max="12559" width="11.109375" customWidth="1"/>
    <col min="12560" max="12560" width="8.33203125" customWidth="1"/>
    <col min="12561" max="12561" width="8.109375" customWidth="1"/>
    <col min="12562" max="12564" width="11.33203125" customWidth="1"/>
    <col min="12565" max="12565" width="0" hidden="1" customWidth="1"/>
    <col min="12566" max="12566" width="9.6640625" customWidth="1"/>
    <col min="12567" max="12567" width="10.109375" customWidth="1"/>
    <col min="12568" max="12568" width="14.44140625" customWidth="1"/>
    <col min="12569" max="12569" width="16.33203125" bestFit="1" customWidth="1"/>
    <col min="12570" max="12570" width="16.33203125" customWidth="1"/>
    <col min="12571" max="12571" width="11.88671875" customWidth="1"/>
    <col min="12572" max="12573" width="11.6640625" customWidth="1"/>
    <col min="12801" max="12801" width="17.109375" customWidth="1"/>
    <col min="12802" max="12802" width="16" bestFit="1" customWidth="1"/>
    <col min="12803" max="12804" width="0" hidden="1" customWidth="1"/>
    <col min="12805" max="12805" width="23.109375" bestFit="1" customWidth="1"/>
    <col min="12806" max="12806" width="8.109375" customWidth="1"/>
    <col min="12807" max="12807" width="11.5546875" customWidth="1"/>
    <col min="12808" max="12808" width="10.88671875" customWidth="1"/>
    <col min="12809" max="12809" width="8.88671875" customWidth="1"/>
    <col min="12810" max="12810" width="9.44140625" customWidth="1"/>
    <col min="12811" max="12811" width="11.88671875" customWidth="1"/>
    <col min="12812" max="12813" width="9.5546875" customWidth="1"/>
    <col min="12814" max="12814" width="9.88671875" customWidth="1"/>
    <col min="12815" max="12815" width="11.109375" customWidth="1"/>
    <col min="12816" max="12816" width="8.33203125" customWidth="1"/>
    <col min="12817" max="12817" width="8.109375" customWidth="1"/>
    <col min="12818" max="12820" width="11.33203125" customWidth="1"/>
    <col min="12821" max="12821" width="0" hidden="1" customWidth="1"/>
    <col min="12822" max="12822" width="9.6640625" customWidth="1"/>
    <col min="12823" max="12823" width="10.109375" customWidth="1"/>
    <col min="12824" max="12824" width="14.44140625" customWidth="1"/>
    <col min="12825" max="12825" width="16.33203125" bestFit="1" customWidth="1"/>
    <col min="12826" max="12826" width="16.33203125" customWidth="1"/>
    <col min="12827" max="12827" width="11.88671875" customWidth="1"/>
    <col min="12828" max="12829" width="11.6640625" customWidth="1"/>
    <col min="13057" max="13057" width="17.109375" customWidth="1"/>
    <col min="13058" max="13058" width="16" bestFit="1" customWidth="1"/>
    <col min="13059" max="13060" width="0" hidden="1" customWidth="1"/>
    <col min="13061" max="13061" width="23.109375" bestFit="1" customWidth="1"/>
    <col min="13062" max="13062" width="8.109375" customWidth="1"/>
    <col min="13063" max="13063" width="11.5546875" customWidth="1"/>
    <col min="13064" max="13064" width="10.88671875" customWidth="1"/>
    <col min="13065" max="13065" width="8.88671875" customWidth="1"/>
    <col min="13066" max="13066" width="9.44140625" customWidth="1"/>
    <col min="13067" max="13067" width="11.88671875" customWidth="1"/>
    <col min="13068" max="13069" width="9.5546875" customWidth="1"/>
    <col min="13070" max="13070" width="9.88671875" customWidth="1"/>
    <col min="13071" max="13071" width="11.109375" customWidth="1"/>
    <col min="13072" max="13072" width="8.33203125" customWidth="1"/>
    <col min="13073" max="13073" width="8.109375" customWidth="1"/>
    <col min="13074" max="13076" width="11.33203125" customWidth="1"/>
    <col min="13077" max="13077" width="0" hidden="1" customWidth="1"/>
    <col min="13078" max="13078" width="9.6640625" customWidth="1"/>
    <col min="13079" max="13079" width="10.109375" customWidth="1"/>
    <col min="13080" max="13080" width="14.44140625" customWidth="1"/>
    <col min="13081" max="13081" width="16.33203125" bestFit="1" customWidth="1"/>
    <col min="13082" max="13082" width="16.33203125" customWidth="1"/>
    <col min="13083" max="13083" width="11.88671875" customWidth="1"/>
    <col min="13084" max="13085" width="11.6640625" customWidth="1"/>
    <col min="13313" max="13313" width="17.109375" customWidth="1"/>
    <col min="13314" max="13314" width="16" bestFit="1" customWidth="1"/>
    <col min="13315" max="13316" width="0" hidden="1" customWidth="1"/>
    <col min="13317" max="13317" width="23.109375" bestFit="1" customWidth="1"/>
    <col min="13318" max="13318" width="8.109375" customWidth="1"/>
    <col min="13319" max="13319" width="11.5546875" customWidth="1"/>
    <col min="13320" max="13320" width="10.88671875" customWidth="1"/>
    <col min="13321" max="13321" width="8.88671875" customWidth="1"/>
    <col min="13322" max="13322" width="9.44140625" customWidth="1"/>
    <col min="13323" max="13323" width="11.88671875" customWidth="1"/>
    <col min="13324" max="13325" width="9.5546875" customWidth="1"/>
    <col min="13326" max="13326" width="9.88671875" customWidth="1"/>
    <col min="13327" max="13327" width="11.109375" customWidth="1"/>
    <col min="13328" max="13328" width="8.33203125" customWidth="1"/>
    <col min="13329" max="13329" width="8.109375" customWidth="1"/>
    <col min="13330" max="13332" width="11.33203125" customWidth="1"/>
    <col min="13333" max="13333" width="0" hidden="1" customWidth="1"/>
    <col min="13334" max="13334" width="9.6640625" customWidth="1"/>
    <col min="13335" max="13335" width="10.109375" customWidth="1"/>
    <col min="13336" max="13336" width="14.44140625" customWidth="1"/>
    <col min="13337" max="13337" width="16.33203125" bestFit="1" customWidth="1"/>
    <col min="13338" max="13338" width="16.33203125" customWidth="1"/>
    <col min="13339" max="13339" width="11.88671875" customWidth="1"/>
    <col min="13340" max="13341" width="11.6640625" customWidth="1"/>
    <col min="13569" max="13569" width="17.109375" customWidth="1"/>
    <col min="13570" max="13570" width="16" bestFit="1" customWidth="1"/>
    <col min="13571" max="13572" width="0" hidden="1" customWidth="1"/>
    <col min="13573" max="13573" width="23.109375" bestFit="1" customWidth="1"/>
    <col min="13574" max="13574" width="8.109375" customWidth="1"/>
    <col min="13575" max="13575" width="11.5546875" customWidth="1"/>
    <col min="13576" max="13576" width="10.88671875" customWidth="1"/>
    <col min="13577" max="13577" width="8.88671875" customWidth="1"/>
    <col min="13578" max="13578" width="9.44140625" customWidth="1"/>
    <col min="13579" max="13579" width="11.88671875" customWidth="1"/>
    <col min="13580" max="13581" width="9.5546875" customWidth="1"/>
    <col min="13582" max="13582" width="9.88671875" customWidth="1"/>
    <col min="13583" max="13583" width="11.109375" customWidth="1"/>
    <col min="13584" max="13584" width="8.33203125" customWidth="1"/>
    <col min="13585" max="13585" width="8.109375" customWidth="1"/>
    <col min="13586" max="13588" width="11.33203125" customWidth="1"/>
    <col min="13589" max="13589" width="0" hidden="1" customWidth="1"/>
    <col min="13590" max="13590" width="9.6640625" customWidth="1"/>
    <col min="13591" max="13591" width="10.109375" customWidth="1"/>
    <col min="13592" max="13592" width="14.44140625" customWidth="1"/>
    <col min="13593" max="13593" width="16.33203125" bestFit="1" customWidth="1"/>
    <col min="13594" max="13594" width="16.33203125" customWidth="1"/>
    <col min="13595" max="13595" width="11.88671875" customWidth="1"/>
    <col min="13596" max="13597" width="11.6640625" customWidth="1"/>
    <col min="13825" max="13825" width="17.109375" customWidth="1"/>
    <col min="13826" max="13826" width="16" bestFit="1" customWidth="1"/>
    <col min="13827" max="13828" width="0" hidden="1" customWidth="1"/>
    <col min="13829" max="13829" width="23.109375" bestFit="1" customWidth="1"/>
    <col min="13830" max="13830" width="8.109375" customWidth="1"/>
    <col min="13831" max="13831" width="11.5546875" customWidth="1"/>
    <col min="13832" max="13832" width="10.88671875" customWidth="1"/>
    <col min="13833" max="13833" width="8.88671875" customWidth="1"/>
    <col min="13834" max="13834" width="9.44140625" customWidth="1"/>
    <col min="13835" max="13835" width="11.88671875" customWidth="1"/>
    <col min="13836" max="13837" width="9.5546875" customWidth="1"/>
    <col min="13838" max="13838" width="9.88671875" customWidth="1"/>
    <col min="13839" max="13839" width="11.109375" customWidth="1"/>
    <col min="13840" max="13840" width="8.33203125" customWidth="1"/>
    <col min="13841" max="13841" width="8.109375" customWidth="1"/>
    <col min="13842" max="13844" width="11.33203125" customWidth="1"/>
    <col min="13845" max="13845" width="0" hidden="1" customWidth="1"/>
    <col min="13846" max="13846" width="9.6640625" customWidth="1"/>
    <col min="13847" max="13847" width="10.109375" customWidth="1"/>
    <col min="13848" max="13848" width="14.44140625" customWidth="1"/>
    <col min="13849" max="13849" width="16.33203125" bestFit="1" customWidth="1"/>
    <col min="13850" max="13850" width="16.33203125" customWidth="1"/>
    <col min="13851" max="13851" width="11.88671875" customWidth="1"/>
    <col min="13852" max="13853" width="11.6640625" customWidth="1"/>
    <col min="14081" max="14081" width="17.109375" customWidth="1"/>
    <col min="14082" max="14082" width="16" bestFit="1" customWidth="1"/>
    <col min="14083" max="14084" width="0" hidden="1" customWidth="1"/>
    <col min="14085" max="14085" width="23.109375" bestFit="1" customWidth="1"/>
    <col min="14086" max="14086" width="8.109375" customWidth="1"/>
    <col min="14087" max="14087" width="11.5546875" customWidth="1"/>
    <col min="14088" max="14088" width="10.88671875" customWidth="1"/>
    <col min="14089" max="14089" width="8.88671875" customWidth="1"/>
    <col min="14090" max="14090" width="9.44140625" customWidth="1"/>
    <col min="14091" max="14091" width="11.88671875" customWidth="1"/>
    <col min="14092" max="14093" width="9.5546875" customWidth="1"/>
    <col min="14094" max="14094" width="9.88671875" customWidth="1"/>
    <col min="14095" max="14095" width="11.109375" customWidth="1"/>
    <col min="14096" max="14096" width="8.33203125" customWidth="1"/>
    <col min="14097" max="14097" width="8.109375" customWidth="1"/>
    <col min="14098" max="14100" width="11.33203125" customWidth="1"/>
    <col min="14101" max="14101" width="0" hidden="1" customWidth="1"/>
    <col min="14102" max="14102" width="9.6640625" customWidth="1"/>
    <col min="14103" max="14103" width="10.109375" customWidth="1"/>
    <col min="14104" max="14104" width="14.44140625" customWidth="1"/>
    <col min="14105" max="14105" width="16.33203125" bestFit="1" customWidth="1"/>
    <col min="14106" max="14106" width="16.33203125" customWidth="1"/>
    <col min="14107" max="14107" width="11.88671875" customWidth="1"/>
    <col min="14108" max="14109" width="11.6640625" customWidth="1"/>
    <col min="14337" max="14337" width="17.109375" customWidth="1"/>
    <col min="14338" max="14338" width="16" bestFit="1" customWidth="1"/>
    <col min="14339" max="14340" width="0" hidden="1" customWidth="1"/>
    <col min="14341" max="14341" width="23.109375" bestFit="1" customWidth="1"/>
    <col min="14342" max="14342" width="8.109375" customWidth="1"/>
    <col min="14343" max="14343" width="11.5546875" customWidth="1"/>
    <col min="14344" max="14344" width="10.88671875" customWidth="1"/>
    <col min="14345" max="14345" width="8.88671875" customWidth="1"/>
    <col min="14346" max="14346" width="9.44140625" customWidth="1"/>
    <col min="14347" max="14347" width="11.88671875" customWidth="1"/>
    <col min="14348" max="14349" width="9.5546875" customWidth="1"/>
    <col min="14350" max="14350" width="9.88671875" customWidth="1"/>
    <col min="14351" max="14351" width="11.109375" customWidth="1"/>
    <col min="14352" max="14352" width="8.33203125" customWidth="1"/>
    <col min="14353" max="14353" width="8.109375" customWidth="1"/>
    <col min="14354" max="14356" width="11.33203125" customWidth="1"/>
    <col min="14357" max="14357" width="0" hidden="1" customWidth="1"/>
    <col min="14358" max="14358" width="9.6640625" customWidth="1"/>
    <col min="14359" max="14359" width="10.109375" customWidth="1"/>
    <col min="14360" max="14360" width="14.44140625" customWidth="1"/>
    <col min="14361" max="14361" width="16.33203125" bestFit="1" customWidth="1"/>
    <col min="14362" max="14362" width="16.33203125" customWidth="1"/>
    <col min="14363" max="14363" width="11.88671875" customWidth="1"/>
    <col min="14364" max="14365" width="11.6640625" customWidth="1"/>
    <col min="14593" max="14593" width="17.109375" customWidth="1"/>
    <col min="14594" max="14594" width="16" bestFit="1" customWidth="1"/>
    <col min="14595" max="14596" width="0" hidden="1" customWidth="1"/>
    <col min="14597" max="14597" width="23.109375" bestFit="1" customWidth="1"/>
    <col min="14598" max="14598" width="8.109375" customWidth="1"/>
    <col min="14599" max="14599" width="11.5546875" customWidth="1"/>
    <col min="14600" max="14600" width="10.88671875" customWidth="1"/>
    <col min="14601" max="14601" width="8.88671875" customWidth="1"/>
    <col min="14602" max="14602" width="9.44140625" customWidth="1"/>
    <col min="14603" max="14603" width="11.88671875" customWidth="1"/>
    <col min="14604" max="14605" width="9.5546875" customWidth="1"/>
    <col min="14606" max="14606" width="9.88671875" customWidth="1"/>
    <col min="14607" max="14607" width="11.109375" customWidth="1"/>
    <col min="14608" max="14608" width="8.33203125" customWidth="1"/>
    <col min="14609" max="14609" width="8.109375" customWidth="1"/>
    <col min="14610" max="14612" width="11.33203125" customWidth="1"/>
    <col min="14613" max="14613" width="0" hidden="1" customWidth="1"/>
    <col min="14614" max="14614" width="9.6640625" customWidth="1"/>
    <col min="14615" max="14615" width="10.109375" customWidth="1"/>
    <col min="14616" max="14616" width="14.44140625" customWidth="1"/>
    <col min="14617" max="14617" width="16.33203125" bestFit="1" customWidth="1"/>
    <col min="14618" max="14618" width="16.33203125" customWidth="1"/>
    <col min="14619" max="14619" width="11.88671875" customWidth="1"/>
    <col min="14620" max="14621" width="11.6640625" customWidth="1"/>
    <col min="14849" max="14849" width="17.109375" customWidth="1"/>
    <col min="14850" max="14850" width="16" bestFit="1" customWidth="1"/>
    <col min="14851" max="14852" width="0" hidden="1" customWidth="1"/>
    <col min="14853" max="14853" width="23.109375" bestFit="1" customWidth="1"/>
    <col min="14854" max="14854" width="8.109375" customWidth="1"/>
    <col min="14855" max="14855" width="11.5546875" customWidth="1"/>
    <col min="14856" max="14856" width="10.88671875" customWidth="1"/>
    <col min="14857" max="14857" width="8.88671875" customWidth="1"/>
    <col min="14858" max="14858" width="9.44140625" customWidth="1"/>
    <col min="14859" max="14859" width="11.88671875" customWidth="1"/>
    <col min="14860" max="14861" width="9.5546875" customWidth="1"/>
    <col min="14862" max="14862" width="9.88671875" customWidth="1"/>
    <col min="14863" max="14863" width="11.109375" customWidth="1"/>
    <col min="14864" max="14864" width="8.33203125" customWidth="1"/>
    <col min="14865" max="14865" width="8.109375" customWidth="1"/>
    <col min="14866" max="14868" width="11.33203125" customWidth="1"/>
    <col min="14869" max="14869" width="0" hidden="1" customWidth="1"/>
    <col min="14870" max="14870" width="9.6640625" customWidth="1"/>
    <col min="14871" max="14871" width="10.109375" customWidth="1"/>
    <col min="14872" max="14872" width="14.44140625" customWidth="1"/>
    <col min="14873" max="14873" width="16.33203125" bestFit="1" customWidth="1"/>
    <col min="14874" max="14874" width="16.33203125" customWidth="1"/>
    <col min="14875" max="14875" width="11.88671875" customWidth="1"/>
    <col min="14876" max="14877" width="11.6640625" customWidth="1"/>
    <col min="15105" max="15105" width="17.109375" customWidth="1"/>
    <col min="15106" max="15106" width="16" bestFit="1" customWidth="1"/>
    <col min="15107" max="15108" width="0" hidden="1" customWidth="1"/>
    <col min="15109" max="15109" width="23.109375" bestFit="1" customWidth="1"/>
    <col min="15110" max="15110" width="8.109375" customWidth="1"/>
    <col min="15111" max="15111" width="11.5546875" customWidth="1"/>
    <col min="15112" max="15112" width="10.88671875" customWidth="1"/>
    <col min="15113" max="15113" width="8.88671875" customWidth="1"/>
    <col min="15114" max="15114" width="9.44140625" customWidth="1"/>
    <col min="15115" max="15115" width="11.88671875" customWidth="1"/>
    <col min="15116" max="15117" width="9.5546875" customWidth="1"/>
    <col min="15118" max="15118" width="9.88671875" customWidth="1"/>
    <col min="15119" max="15119" width="11.109375" customWidth="1"/>
    <col min="15120" max="15120" width="8.33203125" customWidth="1"/>
    <col min="15121" max="15121" width="8.109375" customWidth="1"/>
    <col min="15122" max="15124" width="11.33203125" customWidth="1"/>
    <col min="15125" max="15125" width="0" hidden="1" customWidth="1"/>
    <col min="15126" max="15126" width="9.6640625" customWidth="1"/>
    <col min="15127" max="15127" width="10.109375" customWidth="1"/>
    <col min="15128" max="15128" width="14.44140625" customWidth="1"/>
    <col min="15129" max="15129" width="16.33203125" bestFit="1" customWidth="1"/>
    <col min="15130" max="15130" width="16.33203125" customWidth="1"/>
    <col min="15131" max="15131" width="11.88671875" customWidth="1"/>
    <col min="15132" max="15133" width="11.6640625" customWidth="1"/>
    <col min="15361" max="15361" width="17.109375" customWidth="1"/>
    <col min="15362" max="15362" width="16" bestFit="1" customWidth="1"/>
    <col min="15363" max="15364" width="0" hidden="1" customWidth="1"/>
    <col min="15365" max="15365" width="23.109375" bestFit="1" customWidth="1"/>
    <col min="15366" max="15366" width="8.109375" customWidth="1"/>
    <col min="15367" max="15367" width="11.5546875" customWidth="1"/>
    <col min="15368" max="15368" width="10.88671875" customWidth="1"/>
    <col min="15369" max="15369" width="8.88671875" customWidth="1"/>
    <col min="15370" max="15370" width="9.44140625" customWidth="1"/>
    <col min="15371" max="15371" width="11.88671875" customWidth="1"/>
    <col min="15372" max="15373" width="9.5546875" customWidth="1"/>
    <col min="15374" max="15374" width="9.88671875" customWidth="1"/>
    <col min="15375" max="15375" width="11.109375" customWidth="1"/>
    <col min="15376" max="15376" width="8.33203125" customWidth="1"/>
    <col min="15377" max="15377" width="8.109375" customWidth="1"/>
    <col min="15378" max="15380" width="11.33203125" customWidth="1"/>
    <col min="15381" max="15381" width="0" hidden="1" customWidth="1"/>
    <col min="15382" max="15382" width="9.6640625" customWidth="1"/>
    <col min="15383" max="15383" width="10.109375" customWidth="1"/>
    <col min="15384" max="15384" width="14.44140625" customWidth="1"/>
    <col min="15385" max="15385" width="16.33203125" bestFit="1" customWidth="1"/>
    <col min="15386" max="15386" width="16.33203125" customWidth="1"/>
    <col min="15387" max="15387" width="11.88671875" customWidth="1"/>
    <col min="15388" max="15389" width="11.6640625" customWidth="1"/>
    <col min="15617" max="15617" width="17.109375" customWidth="1"/>
    <col min="15618" max="15618" width="16" bestFit="1" customWidth="1"/>
    <col min="15619" max="15620" width="0" hidden="1" customWidth="1"/>
    <col min="15621" max="15621" width="23.109375" bestFit="1" customWidth="1"/>
    <col min="15622" max="15622" width="8.109375" customWidth="1"/>
    <col min="15623" max="15623" width="11.5546875" customWidth="1"/>
    <col min="15624" max="15624" width="10.88671875" customWidth="1"/>
    <col min="15625" max="15625" width="8.88671875" customWidth="1"/>
    <col min="15626" max="15626" width="9.44140625" customWidth="1"/>
    <col min="15627" max="15627" width="11.88671875" customWidth="1"/>
    <col min="15628" max="15629" width="9.5546875" customWidth="1"/>
    <col min="15630" max="15630" width="9.88671875" customWidth="1"/>
    <col min="15631" max="15631" width="11.109375" customWidth="1"/>
    <col min="15632" max="15632" width="8.33203125" customWidth="1"/>
    <col min="15633" max="15633" width="8.109375" customWidth="1"/>
    <col min="15634" max="15636" width="11.33203125" customWidth="1"/>
    <col min="15637" max="15637" width="0" hidden="1" customWidth="1"/>
    <col min="15638" max="15638" width="9.6640625" customWidth="1"/>
    <col min="15639" max="15639" width="10.109375" customWidth="1"/>
    <col min="15640" max="15640" width="14.44140625" customWidth="1"/>
    <col min="15641" max="15641" width="16.33203125" bestFit="1" customWidth="1"/>
    <col min="15642" max="15642" width="16.33203125" customWidth="1"/>
    <col min="15643" max="15643" width="11.88671875" customWidth="1"/>
    <col min="15644" max="15645" width="11.6640625" customWidth="1"/>
    <col min="15873" max="15873" width="17.109375" customWidth="1"/>
    <col min="15874" max="15874" width="16" bestFit="1" customWidth="1"/>
    <col min="15875" max="15876" width="0" hidden="1" customWidth="1"/>
    <col min="15877" max="15877" width="23.109375" bestFit="1" customWidth="1"/>
    <col min="15878" max="15878" width="8.109375" customWidth="1"/>
    <col min="15879" max="15879" width="11.5546875" customWidth="1"/>
    <col min="15880" max="15880" width="10.88671875" customWidth="1"/>
    <col min="15881" max="15881" width="8.88671875" customWidth="1"/>
    <col min="15882" max="15882" width="9.44140625" customWidth="1"/>
    <col min="15883" max="15883" width="11.88671875" customWidth="1"/>
    <col min="15884" max="15885" width="9.5546875" customWidth="1"/>
    <col min="15886" max="15886" width="9.88671875" customWidth="1"/>
    <col min="15887" max="15887" width="11.109375" customWidth="1"/>
    <col min="15888" max="15888" width="8.33203125" customWidth="1"/>
    <col min="15889" max="15889" width="8.109375" customWidth="1"/>
    <col min="15890" max="15892" width="11.33203125" customWidth="1"/>
    <col min="15893" max="15893" width="0" hidden="1" customWidth="1"/>
    <col min="15894" max="15894" width="9.6640625" customWidth="1"/>
    <col min="15895" max="15895" width="10.109375" customWidth="1"/>
    <col min="15896" max="15896" width="14.44140625" customWidth="1"/>
    <col min="15897" max="15897" width="16.33203125" bestFit="1" customWidth="1"/>
    <col min="15898" max="15898" width="16.33203125" customWidth="1"/>
    <col min="15899" max="15899" width="11.88671875" customWidth="1"/>
    <col min="15900" max="15901" width="11.6640625" customWidth="1"/>
    <col min="16129" max="16129" width="17.109375" customWidth="1"/>
    <col min="16130" max="16130" width="16" bestFit="1" customWidth="1"/>
    <col min="16131" max="16132" width="0" hidden="1" customWidth="1"/>
    <col min="16133" max="16133" width="23.109375" bestFit="1" customWidth="1"/>
    <col min="16134" max="16134" width="8.109375" customWidth="1"/>
    <col min="16135" max="16135" width="11.5546875" customWidth="1"/>
    <col min="16136" max="16136" width="10.88671875" customWidth="1"/>
    <col min="16137" max="16137" width="8.88671875" customWidth="1"/>
    <col min="16138" max="16138" width="9.44140625" customWidth="1"/>
    <col min="16139" max="16139" width="11.88671875" customWidth="1"/>
    <col min="16140" max="16141" width="9.5546875" customWidth="1"/>
    <col min="16142" max="16142" width="9.88671875" customWidth="1"/>
    <col min="16143" max="16143" width="11.109375" customWidth="1"/>
    <col min="16144" max="16144" width="8.33203125" customWidth="1"/>
    <col min="16145" max="16145" width="8.109375" customWidth="1"/>
    <col min="16146" max="16148" width="11.33203125" customWidth="1"/>
    <col min="16149" max="16149" width="0" hidden="1" customWidth="1"/>
    <col min="16150" max="16150" width="9.6640625" customWidth="1"/>
    <col min="16151" max="16151" width="10.109375" customWidth="1"/>
    <col min="16152" max="16152" width="14.44140625" customWidth="1"/>
    <col min="16153" max="16153" width="16.33203125" bestFit="1" customWidth="1"/>
    <col min="16154" max="16154" width="16.33203125" customWidth="1"/>
    <col min="16155" max="16155" width="11.88671875" customWidth="1"/>
    <col min="16156" max="16157" width="11.6640625" customWidth="1"/>
  </cols>
  <sheetData>
    <row r="1" spans="1:29" s="12" customFormat="1" ht="42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11" t="s">
        <v>28</v>
      </c>
    </row>
    <row r="2" spans="1:29" s="24" customFormat="1" ht="12.9" customHeight="1" x14ac:dyDescent="0.3">
      <c r="A2" s="439">
        <v>43137.555555555555</v>
      </c>
      <c r="B2" s="439">
        <v>43141.461805555555</v>
      </c>
      <c r="C2" s="23"/>
      <c r="D2" s="14">
        <v>2000000026</v>
      </c>
      <c r="E2" s="24" t="s">
        <v>31</v>
      </c>
      <c r="F2" s="25" t="s">
        <v>32</v>
      </c>
      <c r="G2" s="26">
        <v>68601</v>
      </c>
      <c r="H2" s="26" t="s">
        <v>33</v>
      </c>
      <c r="I2" s="26">
        <v>68600</v>
      </c>
      <c r="J2" s="26">
        <f>G2-I2</f>
        <v>1</v>
      </c>
      <c r="K2" s="27">
        <f>[3]Agnes!$F$62</f>
        <v>3.90625</v>
      </c>
      <c r="L2" s="27">
        <f>[3]Agnes!$F$62-[3]Agnes!$F$57</f>
        <v>1.4114583333466726</v>
      </c>
      <c r="M2" s="28">
        <f t="shared" ref="M2:M11" si="0">G2/K2</f>
        <v>17561.856</v>
      </c>
      <c r="N2" s="28">
        <f t="shared" ref="N2:N11" si="1">G2/L2</f>
        <v>48602.922508765761</v>
      </c>
      <c r="O2" s="28">
        <v>27000</v>
      </c>
      <c r="P2" s="29">
        <v>192.73</v>
      </c>
      <c r="Q2" s="29">
        <v>179.25</v>
      </c>
      <c r="R2" s="29">
        <f>P2-Q2</f>
        <v>13.47999999999999</v>
      </c>
      <c r="S2" s="30">
        <f t="shared" ref="S2:S11" si="2">R2/8.7*10000/G2</f>
        <v>0.22586045208616795</v>
      </c>
      <c r="T2" s="30">
        <f t="shared" ref="T2:T11" si="3">R2/8.5*10000/G2</f>
        <v>0.23117481566466599</v>
      </c>
      <c r="U2" s="30"/>
      <c r="V2" s="31"/>
      <c r="W2" s="32"/>
      <c r="X2" s="33">
        <v>1.95</v>
      </c>
      <c r="Y2" s="33">
        <f>G2*X2</f>
        <v>133771.94999999998</v>
      </c>
      <c r="Z2" s="33"/>
      <c r="AA2" s="33"/>
      <c r="AB2" s="34">
        <v>11293.19444431105</v>
      </c>
      <c r="AC2" s="33">
        <f>G2*-0.02</f>
        <v>-1372.02</v>
      </c>
    </row>
    <row r="3" spans="1:29" s="24" customFormat="1" ht="12.75" customHeight="1" x14ac:dyDescent="0.3">
      <c r="A3" s="439">
        <v>43142.614583333336</v>
      </c>
      <c r="B3" s="439">
        <v>43145.576388888891</v>
      </c>
      <c r="C3" s="23"/>
      <c r="D3" s="14">
        <v>2000000027</v>
      </c>
      <c r="E3" s="35" t="s">
        <v>34</v>
      </c>
      <c r="F3" s="36" t="s">
        <v>32</v>
      </c>
      <c r="G3" s="37">
        <v>71500</v>
      </c>
      <c r="H3" s="37" t="s">
        <v>33</v>
      </c>
      <c r="I3" s="37">
        <v>71500</v>
      </c>
      <c r="J3" s="26">
        <f>G3-I3</f>
        <v>0</v>
      </c>
      <c r="K3" s="27">
        <f>'[3]Chrysanthi S'!$F$58</f>
        <v>2.9618055555547471</v>
      </c>
      <c r="L3" s="27">
        <f>'[3]Chrysanthi S'!$F$58-'[3]Chrysanthi S'!$F$53</f>
        <v>1.3645833333139308</v>
      </c>
      <c r="M3" s="28">
        <f t="shared" si="0"/>
        <v>24140.679953113271</v>
      </c>
      <c r="N3" s="28">
        <f t="shared" si="1"/>
        <v>52396.946565630511</v>
      </c>
      <c r="O3" s="28">
        <v>27000</v>
      </c>
      <c r="P3" s="29">
        <v>177.88</v>
      </c>
      <c r="Q3" s="29">
        <v>165.01</v>
      </c>
      <c r="R3" s="29">
        <f>P3-Q3</f>
        <v>12.870000000000005</v>
      </c>
      <c r="S3" s="30">
        <f t="shared" si="2"/>
        <v>0.20689655172413801</v>
      </c>
      <c r="T3" s="30">
        <f t="shared" si="3"/>
        <v>0.21176470588235299</v>
      </c>
      <c r="U3" s="30"/>
      <c r="V3" s="31"/>
      <c r="W3" s="32"/>
      <c r="X3" s="33">
        <v>1.95</v>
      </c>
      <c r="Y3" s="33">
        <f>G3*X3</f>
        <v>139425</v>
      </c>
      <c r="Z3" s="33"/>
      <c r="AA3" s="33"/>
      <c r="AB3" s="38">
        <v>12835.648148342176</v>
      </c>
      <c r="AC3" s="33">
        <f>G3*-0.02</f>
        <v>-1430</v>
      </c>
    </row>
    <row r="4" spans="1:29" s="24" customFormat="1" ht="12.75" customHeight="1" x14ac:dyDescent="0.3">
      <c r="A4" s="439">
        <v>43156.5625</v>
      </c>
      <c r="B4" s="439">
        <v>43158.916666666664</v>
      </c>
      <c r="C4" s="23"/>
      <c r="D4" s="14">
        <v>2000000028</v>
      </c>
      <c r="E4" s="35" t="s">
        <v>35</v>
      </c>
      <c r="F4" s="36" t="s">
        <v>32</v>
      </c>
      <c r="G4" s="37">
        <v>66000</v>
      </c>
      <c r="H4" s="37" t="s">
        <v>36</v>
      </c>
      <c r="I4" s="37">
        <v>66000</v>
      </c>
      <c r="J4" s="26">
        <f>G4-I4</f>
        <v>0</v>
      </c>
      <c r="K4" s="27">
        <f>'[3]Andhika Nareswari'!$F$57</f>
        <v>2.3541666666642413</v>
      </c>
      <c r="L4" s="27">
        <f>'[3]Andhika Nareswari'!$F$57-'[3]Andhika Nareswari'!$F$52</f>
        <v>1.3194444444452529</v>
      </c>
      <c r="M4" s="28">
        <f t="shared" si="0"/>
        <v>28035.398230117378</v>
      </c>
      <c r="N4" s="28">
        <f t="shared" si="1"/>
        <v>50021.0526315483</v>
      </c>
      <c r="O4" s="28">
        <v>27000</v>
      </c>
      <c r="P4" s="29">
        <v>135.18</v>
      </c>
      <c r="Q4" s="29">
        <v>124.35</v>
      </c>
      <c r="R4" s="29">
        <f>P4-Q4</f>
        <v>10.830000000000013</v>
      </c>
      <c r="S4" s="30">
        <f t="shared" si="2"/>
        <v>0.18861024033437848</v>
      </c>
      <c r="T4" s="30">
        <f t="shared" si="3"/>
        <v>0.19304812834224619</v>
      </c>
      <c r="U4" s="30"/>
      <c r="V4" s="31"/>
      <c r="W4" s="32"/>
      <c r="X4" s="33">
        <v>1.95</v>
      </c>
      <c r="Y4" s="33">
        <f>G4*X4</f>
        <v>128700</v>
      </c>
      <c r="Z4" s="33"/>
      <c r="AA4" s="33"/>
      <c r="AB4" s="38">
        <v>11249.999999991918</v>
      </c>
      <c r="AC4" s="33">
        <f>G4*-0.02</f>
        <v>-1320</v>
      </c>
    </row>
    <row r="5" spans="1:29" s="24" customFormat="1" ht="12.9" customHeight="1" x14ac:dyDescent="0.3">
      <c r="A5" s="439">
        <v>43160.875</v>
      </c>
      <c r="B5" s="439">
        <v>43163.625</v>
      </c>
      <c r="C5" s="23"/>
      <c r="D5" s="14">
        <v>2000000041</v>
      </c>
      <c r="E5" s="35" t="s">
        <v>38</v>
      </c>
      <c r="F5" s="25" t="s">
        <v>39</v>
      </c>
      <c r="G5" s="37">
        <v>86103</v>
      </c>
      <c r="H5" s="37" t="s">
        <v>40</v>
      </c>
      <c r="I5" s="37">
        <v>86100</v>
      </c>
      <c r="J5" s="26">
        <f>G5-I5</f>
        <v>3</v>
      </c>
      <c r="K5" s="27">
        <f>'[4]Taipower Prosperity I'!$F$55</f>
        <v>2.75</v>
      </c>
      <c r="L5" s="27">
        <f>'[4]Taipower Prosperity I'!$F$55-'[4]Taipower Prosperity I'!$F$50</f>
        <v>1.8454861111131322</v>
      </c>
      <c r="M5" s="28">
        <f t="shared" si="0"/>
        <v>31310.18181818182</v>
      </c>
      <c r="N5" s="28">
        <f t="shared" si="1"/>
        <v>46655.999999948901</v>
      </c>
      <c r="O5" s="28">
        <v>27000</v>
      </c>
      <c r="P5" s="29">
        <v>122.01</v>
      </c>
      <c r="Q5" s="29">
        <v>109</v>
      </c>
      <c r="R5" s="29">
        <f>P5-Q5</f>
        <v>13.010000000000005</v>
      </c>
      <c r="S5" s="30">
        <f t="shared" si="2"/>
        <v>0.17367598095891845</v>
      </c>
      <c r="T5" s="30">
        <f t="shared" si="3"/>
        <v>0.17776247462854003</v>
      </c>
      <c r="U5" s="30"/>
      <c r="V5" s="29"/>
      <c r="W5" s="42"/>
      <c r="X5" s="33">
        <v>1.95</v>
      </c>
      <c r="Y5" s="33">
        <f>G5*X5</f>
        <v>167900.85</v>
      </c>
      <c r="Z5" s="33"/>
      <c r="AA5" s="33"/>
      <c r="AB5" s="38">
        <v>13435.138888868678</v>
      </c>
      <c r="AC5" s="33">
        <f>G5*-0.02</f>
        <v>-1722.06</v>
      </c>
    </row>
    <row r="6" spans="1:29" s="24" customFormat="1" ht="12.75" customHeight="1" x14ac:dyDescent="0.3">
      <c r="A6" s="439">
        <v>43167.576388888891</v>
      </c>
      <c r="B6" s="439">
        <v>43171.4375</v>
      </c>
      <c r="C6" s="23"/>
      <c r="D6" s="14">
        <v>2000000042</v>
      </c>
      <c r="E6" s="35" t="s">
        <v>41</v>
      </c>
      <c r="F6" s="36" t="s">
        <v>39</v>
      </c>
      <c r="G6" s="37">
        <v>86702</v>
      </c>
      <c r="H6" s="37" t="s">
        <v>40</v>
      </c>
      <c r="I6" s="37">
        <v>86700</v>
      </c>
      <c r="J6" s="26">
        <f>G6-I6</f>
        <v>2</v>
      </c>
      <c r="K6" s="27">
        <f>'[5]Taipower Prosperity II'!$F$58</f>
        <v>3.8611111111094942</v>
      </c>
      <c r="L6" s="27">
        <f>'[5]Taipower Prosperity II'!$F$58-'[5]Taipower Prosperity II'!$F$53</f>
        <v>1.6579861111167702</v>
      </c>
      <c r="M6" s="28">
        <f t="shared" si="0"/>
        <v>22455.194244613718</v>
      </c>
      <c r="N6" s="28">
        <f t="shared" si="1"/>
        <v>52293.562303486433</v>
      </c>
      <c r="O6" s="28">
        <v>27000</v>
      </c>
      <c r="P6" s="29">
        <v>103.53</v>
      </c>
      <c r="Q6" s="29">
        <v>88.4</v>
      </c>
      <c r="R6" s="29">
        <f>P6-Q6</f>
        <v>15.129999999999995</v>
      </c>
      <c r="S6" s="30">
        <f t="shared" si="2"/>
        <v>0.20058135449817935</v>
      </c>
      <c r="T6" s="30">
        <f t="shared" si="3"/>
        <v>0.2053009157804894</v>
      </c>
      <c r="U6" s="30"/>
      <c r="V6" s="29"/>
      <c r="W6" s="32"/>
      <c r="X6" s="33">
        <v>1.95</v>
      </c>
      <c r="Y6" s="33">
        <f>G6*X6</f>
        <v>169068.9</v>
      </c>
      <c r="Z6" s="33"/>
      <c r="AA6" s="33"/>
      <c r="AB6" s="38">
        <v>15531.990740684152</v>
      </c>
      <c r="AC6" s="33">
        <f>G6*-0.02</f>
        <v>-1734.04</v>
      </c>
    </row>
    <row r="7" spans="1:29" s="35" customFormat="1" ht="12.75" customHeight="1" x14ac:dyDescent="0.3">
      <c r="A7" s="439">
        <v>43228.006944444445</v>
      </c>
      <c r="B7" s="439">
        <v>43228.708333333336</v>
      </c>
      <c r="C7" s="23"/>
      <c r="D7" s="14">
        <v>2000000089</v>
      </c>
      <c r="E7" s="44" t="s">
        <v>44</v>
      </c>
      <c r="F7" s="45" t="s">
        <v>39</v>
      </c>
      <c r="G7" s="37">
        <v>23886</v>
      </c>
      <c r="H7" s="37" t="s">
        <v>40</v>
      </c>
      <c r="I7" s="37">
        <v>90000</v>
      </c>
      <c r="J7" s="26">
        <f t="shared" ref="J7:J12" si="4">G7-I7</f>
        <v>-66114</v>
      </c>
      <c r="K7" s="27">
        <f>'[6]Taipower Prosperity VIII'!$F$32</f>
        <v>0.70138888889050577</v>
      </c>
      <c r="L7" s="27">
        <f>'[6]Taipower Prosperity VIII'!$F$32-'[6]Taipower Prosperity VIII'!$F$27</f>
        <v>0.46527777778828749</v>
      </c>
      <c r="M7" s="28">
        <f t="shared" si="0"/>
        <v>34055.287128634365</v>
      </c>
      <c r="N7" s="28">
        <f t="shared" si="1"/>
        <v>51337.074625706067</v>
      </c>
      <c r="O7" s="28">
        <v>27000</v>
      </c>
      <c r="P7" s="29">
        <v>200.96</v>
      </c>
      <c r="Q7" s="29">
        <v>197.58</v>
      </c>
      <c r="R7" s="29">
        <f t="shared" ref="R7:R12" si="5">P7-Q7</f>
        <v>3.3799999999999955</v>
      </c>
      <c r="S7" s="30">
        <f t="shared" si="2"/>
        <v>0.16264998205075623</v>
      </c>
      <c r="T7" s="30">
        <f t="shared" si="3"/>
        <v>0.16647704045195047</v>
      </c>
      <c r="U7" s="30"/>
      <c r="V7" s="31"/>
      <c r="W7" s="32"/>
      <c r="X7" s="33">
        <v>1.95</v>
      </c>
      <c r="Y7" s="33">
        <f t="shared" ref="Y7:Y13" si="6">G7*X7</f>
        <v>46577.7</v>
      </c>
      <c r="Z7" s="33"/>
      <c r="AA7" s="33"/>
      <c r="AB7" s="38">
        <v>4193.888888783792</v>
      </c>
      <c r="AC7" s="33">
        <f>G7*0.01</f>
        <v>238.86</v>
      </c>
    </row>
    <row r="8" spans="1:29" s="35" customFormat="1" ht="12.9" customHeight="1" x14ac:dyDescent="0.3">
      <c r="A8" s="439">
        <v>43229.138888888891</v>
      </c>
      <c r="B8" s="439">
        <v>43233.128472222219</v>
      </c>
      <c r="C8" s="23"/>
      <c r="D8" s="14">
        <v>2000000090</v>
      </c>
      <c r="E8" s="44" t="s">
        <v>45</v>
      </c>
      <c r="F8" s="45" t="s">
        <v>39</v>
      </c>
      <c r="G8" s="37">
        <v>87260</v>
      </c>
      <c r="H8" s="37" t="s">
        <v>40</v>
      </c>
      <c r="I8" s="37">
        <v>87260</v>
      </c>
      <c r="J8" s="26">
        <f t="shared" si="4"/>
        <v>0</v>
      </c>
      <c r="K8" s="27">
        <f>'[6]Ocean Lucky'!$F$60</f>
        <v>3.9895833333284827</v>
      </c>
      <c r="L8" s="27">
        <f>'[6]Ocean Lucky'!$F$60-'[6]Ocean Lucky'!$F$55</f>
        <v>1.7934027777810115</v>
      </c>
      <c r="M8" s="28">
        <f t="shared" si="0"/>
        <v>21871.958224569673</v>
      </c>
      <c r="N8" s="28">
        <f t="shared" si="1"/>
        <v>48656.108421983903</v>
      </c>
      <c r="O8" s="28">
        <v>27000</v>
      </c>
      <c r="P8" s="29">
        <v>197.03</v>
      </c>
      <c r="Q8" s="29">
        <v>182.48</v>
      </c>
      <c r="R8" s="29">
        <f t="shared" si="5"/>
        <v>14.550000000000011</v>
      </c>
      <c r="S8" s="30">
        <f t="shared" si="2"/>
        <v>0.19165869735313426</v>
      </c>
      <c r="T8" s="30">
        <f t="shared" si="3"/>
        <v>0.19616831376144331</v>
      </c>
      <c r="U8" s="30"/>
      <c r="V8" s="31"/>
      <c r="W8" s="32"/>
      <c r="X8" s="33">
        <v>1.95</v>
      </c>
      <c r="Y8" s="33">
        <f t="shared" si="6"/>
        <v>170157</v>
      </c>
      <c r="Z8" s="33"/>
      <c r="AA8" s="33"/>
      <c r="AB8" s="38">
        <v>14384.490740708405</v>
      </c>
      <c r="AC8" s="33">
        <f t="shared" ref="AC8:AC13" si="7">G8*0.01</f>
        <v>872.6</v>
      </c>
    </row>
    <row r="9" spans="1:29" s="35" customFormat="1" ht="12.75" customHeight="1" x14ac:dyDescent="0.3">
      <c r="A9" s="439">
        <v>43233.447916666664</v>
      </c>
      <c r="B9" s="439">
        <v>43237.21875</v>
      </c>
      <c r="C9" s="23"/>
      <c r="D9" s="14">
        <v>2000000091</v>
      </c>
      <c r="E9" s="44" t="s">
        <v>46</v>
      </c>
      <c r="F9" s="45" t="s">
        <v>39</v>
      </c>
      <c r="G9" s="37">
        <v>87335</v>
      </c>
      <c r="H9" s="37" t="s">
        <v>40</v>
      </c>
      <c r="I9" s="37">
        <v>87335</v>
      </c>
      <c r="J9" s="26">
        <f t="shared" si="4"/>
        <v>0</v>
      </c>
      <c r="K9" s="27">
        <f>[6]Junior!$F$60</f>
        <v>3.7708333333357587</v>
      </c>
      <c r="L9" s="27">
        <f>[6]Junior!$F$60-[6]Junior!$F$55</f>
        <v>1.7100694444525288</v>
      </c>
      <c r="M9" s="28">
        <f t="shared" si="0"/>
        <v>23160.662983410519</v>
      </c>
      <c r="N9" s="28">
        <f t="shared" si="1"/>
        <v>51071.025380469218</v>
      </c>
      <c r="O9" s="28">
        <v>27000</v>
      </c>
      <c r="P9" s="29">
        <v>182.04</v>
      </c>
      <c r="Q9" s="29">
        <v>166.57</v>
      </c>
      <c r="R9" s="29">
        <f t="shared" si="5"/>
        <v>15.469999999999999</v>
      </c>
      <c r="S9" s="30">
        <f t="shared" si="2"/>
        <v>0.20360232662051067</v>
      </c>
      <c r="T9" s="30">
        <f t="shared" si="3"/>
        <v>0.20839296959981679</v>
      </c>
      <c r="U9" s="30"/>
      <c r="V9" s="31"/>
      <c r="W9" s="32"/>
      <c r="X9" s="33">
        <v>1.95</v>
      </c>
      <c r="Y9" s="33">
        <f t="shared" si="6"/>
        <v>170303.25</v>
      </c>
      <c r="Z9" s="33"/>
      <c r="AA9" s="33"/>
      <c r="AB9" s="38">
        <v>15245.601851771009</v>
      </c>
      <c r="AC9" s="33">
        <f t="shared" si="7"/>
        <v>873.35</v>
      </c>
    </row>
    <row r="10" spans="1:29" s="24" customFormat="1" ht="12.9" customHeight="1" x14ac:dyDescent="0.3">
      <c r="A10" s="439">
        <v>43237.46875</v>
      </c>
      <c r="B10" s="439">
        <v>43240.659722222219</v>
      </c>
      <c r="C10" s="23"/>
      <c r="D10" s="14">
        <v>2000000092</v>
      </c>
      <c r="E10" s="35" t="s">
        <v>47</v>
      </c>
      <c r="F10" s="25" t="s">
        <v>32</v>
      </c>
      <c r="G10" s="37">
        <v>75546</v>
      </c>
      <c r="H10" s="37" t="s">
        <v>40</v>
      </c>
      <c r="I10" s="37">
        <v>75546</v>
      </c>
      <c r="J10" s="26">
        <f t="shared" si="4"/>
        <v>0</v>
      </c>
      <c r="K10" s="27">
        <f>[6]Ulusoy!$F$65</f>
        <v>3.1909722222189885</v>
      </c>
      <c r="L10" s="27">
        <f>[6]Ulusoy!$F$65-[6]Ulusoy!$F$60</f>
        <v>1.4965277777882875</v>
      </c>
      <c r="M10" s="28">
        <f t="shared" si="0"/>
        <v>23674.916213299293</v>
      </c>
      <c r="N10" s="28">
        <f t="shared" si="1"/>
        <v>50480.853827951752</v>
      </c>
      <c r="O10" s="28">
        <v>27000</v>
      </c>
      <c r="P10" s="24">
        <v>166.66</v>
      </c>
      <c r="Q10" s="24">
        <v>152.31</v>
      </c>
      <c r="R10" s="29">
        <f t="shared" si="5"/>
        <v>14.349999999999994</v>
      </c>
      <c r="S10" s="30">
        <f t="shared" si="2"/>
        <v>0.21833390084932644</v>
      </c>
      <c r="T10" s="30">
        <f t="shared" si="3"/>
        <v>0.22347116910460468</v>
      </c>
      <c r="U10" s="30"/>
      <c r="V10" s="29"/>
      <c r="W10" s="42"/>
      <c r="X10" s="33">
        <v>1.95</v>
      </c>
      <c r="Y10" s="33">
        <f t="shared" si="6"/>
        <v>147314.69999999998</v>
      </c>
      <c r="Z10" s="33"/>
      <c r="AA10" s="33"/>
      <c r="AB10" s="38">
        <v>13014.722222117125</v>
      </c>
      <c r="AC10" s="33">
        <f t="shared" si="7"/>
        <v>755.46</v>
      </c>
    </row>
    <row r="11" spans="1:29" s="24" customFormat="1" ht="12.9" customHeight="1" x14ac:dyDescent="0.3">
      <c r="A11" s="439">
        <v>43241.204861111109</v>
      </c>
      <c r="B11" s="439">
        <v>43243.506944444445</v>
      </c>
      <c r="C11" s="23"/>
      <c r="D11" s="14">
        <v>2000000093</v>
      </c>
      <c r="E11" s="35" t="s">
        <v>48</v>
      </c>
      <c r="F11" s="25" t="s">
        <v>39</v>
      </c>
      <c r="G11" s="37">
        <v>58349</v>
      </c>
      <c r="H11" s="37" t="s">
        <v>49</v>
      </c>
      <c r="I11" s="37">
        <v>78890</v>
      </c>
      <c r="J11" s="26">
        <f t="shared" si="4"/>
        <v>-20541</v>
      </c>
      <c r="K11" s="27">
        <f>'[6]Medi Palmarola'!$F$65</f>
        <v>2.3020833333357587</v>
      </c>
      <c r="L11" s="27">
        <f>'[6]Medi Palmarola'!$F$65-'[6]Medi Palmarola'!$F$60</f>
        <v>1.197916666718811</v>
      </c>
      <c r="M11" s="28">
        <f t="shared" si="0"/>
        <v>25346.171945674654</v>
      </c>
      <c r="N11" s="28">
        <f t="shared" si="1"/>
        <v>48708.730432662356</v>
      </c>
      <c r="O11" s="28">
        <v>27000</v>
      </c>
      <c r="P11" s="29">
        <v>150.37</v>
      </c>
      <c r="Q11" s="29">
        <v>138.26</v>
      </c>
      <c r="R11" s="29">
        <f t="shared" si="5"/>
        <v>12.110000000000014</v>
      </c>
      <c r="S11" s="30">
        <f t="shared" si="2"/>
        <v>0.23855662016290038</v>
      </c>
      <c r="T11" s="30">
        <f t="shared" si="3"/>
        <v>0.2441697171079098</v>
      </c>
      <c r="U11" s="30"/>
      <c r="V11" s="29"/>
      <c r="W11" s="42"/>
      <c r="X11" s="33">
        <v>1.95</v>
      </c>
      <c r="Y11" s="33">
        <f t="shared" si="6"/>
        <v>113780.55</v>
      </c>
      <c r="Z11" s="33"/>
      <c r="AA11" s="33"/>
      <c r="AB11" s="38">
        <v>9631.5740735526306</v>
      </c>
      <c r="AC11" s="33">
        <f t="shared" si="7"/>
        <v>583.49</v>
      </c>
    </row>
    <row r="12" spans="1:29" s="24" customFormat="1" ht="12.9" customHeight="1" x14ac:dyDescent="0.3">
      <c r="A12" s="174">
        <v>43243.888888888891</v>
      </c>
      <c r="B12" s="174">
        <v>43247.010416666664</v>
      </c>
      <c r="C12" s="23"/>
      <c r="D12" s="451">
        <v>2000000094</v>
      </c>
      <c r="E12" s="44" t="s">
        <v>50</v>
      </c>
      <c r="F12" s="494" t="s">
        <v>32</v>
      </c>
      <c r="G12" s="37">
        <v>72720</v>
      </c>
      <c r="H12" s="60" t="s">
        <v>33</v>
      </c>
      <c r="I12" s="60">
        <v>72720</v>
      </c>
      <c r="J12" s="318">
        <f t="shared" si="4"/>
        <v>0</v>
      </c>
      <c r="K12" s="448">
        <f>'[6]Tuo Fu 11'!$F$67</f>
        <v>3.1215277777737356</v>
      </c>
      <c r="L12" s="448">
        <f>'[6]Tuo Fu 11'!$F$67-'[6]Tuo Fu 11'!$F$62</f>
        <v>1.4131944444598048</v>
      </c>
      <c r="M12" s="683">
        <f>(G12)/K12</f>
        <v>23296.284760875551</v>
      </c>
      <c r="N12" s="683">
        <f>(G12)/L12</f>
        <v>51457.886977327667</v>
      </c>
      <c r="O12" s="683">
        <v>27000</v>
      </c>
      <c r="P12" s="56">
        <v>138.15</v>
      </c>
      <c r="Q12" s="56">
        <v>122.05</v>
      </c>
      <c r="R12" s="56">
        <f t="shared" si="5"/>
        <v>16.100000000000009</v>
      </c>
      <c r="S12" s="684">
        <f>R12/8.7*10000/(G12)</f>
        <v>0.25447947093559947</v>
      </c>
      <c r="T12" s="684">
        <f>R12/8.5*10000/(G12)</f>
        <v>0.26046722319290766</v>
      </c>
      <c r="U12" s="46"/>
      <c r="V12" s="685"/>
      <c r="W12" s="42"/>
      <c r="X12" s="33">
        <v>1.95</v>
      </c>
      <c r="Y12" s="33">
        <f t="shared" si="6"/>
        <v>141804</v>
      </c>
      <c r="Z12" s="33"/>
      <c r="AA12" s="33"/>
      <c r="AB12" s="67">
        <v>12801.39</v>
      </c>
      <c r="AC12" s="33">
        <f t="shared" si="7"/>
        <v>727.2</v>
      </c>
    </row>
    <row r="13" spans="1:29" s="24" customFormat="1" ht="12.9" customHeight="1" x14ac:dyDescent="0.3">
      <c r="A13" s="174">
        <v>43247.291666666664</v>
      </c>
      <c r="B13" s="174">
        <v>43251.5</v>
      </c>
      <c r="C13" s="47"/>
      <c r="D13" s="451">
        <v>2000000095</v>
      </c>
      <c r="E13" s="44" t="s">
        <v>41</v>
      </c>
      <c r="F13" s="109" t="s">
        <v>39</v>
      </c>
      <c r="G13" s="60">
        <v>86800</v>
      </c>
      <c r="H13" s="60" t="s">
        <v>40</v>
      </c>
      <c r="I13" s="60">
        <v>86800</v>
      </c>
      <c r="J13" s="318">
        <f>G13-I13</f>
        <v>0</v>
      </c>
      <c r="K13" s="448">
        <f>'[6]Taipower Prosperity II'!$F$63</f>
        <v>4.2083333333357587</v>
      </c>
      <c r="L13" s="448">
        <f>'[6]Taipower Prosperity II'!$F$63-'[6]Taipower Prosperity II'!$F$58</f>
        <v>1.6111111111276841</v>
      </c>
      <c r="M13" s="683">
        <f>(G13)/K13</f>
        <v>20625.742574245538</v>
      </c>
      <c r="N13" s="683">
        <f>(G13)/L13</f>
        <v>53875.862068411312</v>
      </c>
      <c r="O13" s="683">
        <v>27000</v>
      </c>
      <c r="P13" s="56">
        <v>121.8</v>
      </c>
      <c r="Q13" s="56">
        <v>104.73</v>
      </c>
      <c r="R13" s="56">
        <f>P13-Q13</f>
        <v>17.069999999999993</v>
      </c>
      <c r="S13" s="684">
        <f>R13/8.7*10000/(G13)</f>
        <v>0.22604481169553464</v>
      </c>
      <c r="T13" s="684">
        <f>R13/8.5*10000/(G13)</f>
        <v>0.23136351314719425</v>
      </c>
      <c r="U13" s="46"/>
      <c r="V13" s="29"/>
      <c r="W13" s="42"/>
      <c r="X13" s="33">
        <v>2.15</v>
      </c>
      <c r="Y13" s="33">
        <f t="shared" si="6"/>
        <v>186620</v>
      </c>
      <c r="Z13" s="33"/>
      <c r="AA13" s="33"/>
      <c r="AB13" s="67">
        <v>16037.04</v>
      </c>
      <c r="AC13" s="33">
        <f t="shared" si="7"/>
        <v>868</v>
      </c>
    </row>
    <row r="14" spans="1:29" s="24" customFormat="1" ht="12.9" customHeight="1" x14ac:dyDescent="0.3">
      <c r="A14" s="439">
        <v>43251.861111111109</v>
      </c>
      <c r="B14" s="439">
        <v>43254.631944444445</v>
      </c>
      <c r="C14" s="23"/>
      <c r="D14" s="25">
        <v>2000000120</v>
      </c>
      <c r="E14" s="35" t="s">
        <v>53</v>
      </c>
      <c r="F14" s="25" t="s">
        <v>32</v>
      </c>
      <c r="G14" s="37">
        <v>77306</v>
      </c>
      <c r="H14" s="37" t="s">
        <v>40</v>
      </c>
      <c r="I14" s="37">
        <v>77300</v>
      </c>
      <c r="J14" s="26">
        <f t="shared" ref="J14:J20" si="8">G14-I14</f>
        <v>6</v>
      </c>
      <c r="K14" s="27">
        <f>'[7]Panamax Universe'!$F$64</f>
        <v>2.7708333333357587</v>
      </c>
      <c r="L14" s="27">
        <f>'[7]Panamax Universe'!$F$64-'[7]Panamax Universe'!$F$59</f>
        <v>1.5833333333466726</v>
      </c>
      <c r="M14" s="28">
        <f t="shared" ref="M14:M20" si="9">G14/K14</f>
        <v>27899.90977441167</v>
      </c>
      <c r="N14" s="28">
        <f t="shared" ref="N14:N20" si="10">G14/L14</f>
        <v>48824.842104851821</v>
      </c>
      <c r="O14" s="28">
        <v>27000</v>
      </c>
      <c r="P14" s="29">
        <v>104.4</v>
      </c>
      <c r="Q14" s="29">
        <v>91.92</v>
      </c>
      <c r="R14" s="29">
        <f t="shared" ref="R14:R20" si="11">P14-Q14</f>
        <v>12.480000000000004</v>
      </c>
      <c r="S14" s="30">
        <f>R14/8.7*10000/G14</f>
        <v>0.18555904569123874</v>
      </c>
      <c r="T14" s="30">
        <f>R14/8.5*10000/G14</f>
        <v>0.18992514088397378</v>
      </c>
      <c r="U14" s="30"/>
      <c r="V14" s="29"/>
      <c r="W14" s="42"/>
      <c r="X14" s="33">
        <v>1.95</v>
      </c>
      <c r="Y14" s="33">
        <f t="shared" ref="Y14:Y27" si="12">G14*X14</f>
        <v>150746.69999999998</v>
      </c>
      <c r="Z14" s="33"/>
      <c r="AA14" s="33"/>
      <c r="AB14" s="38">
        <v>12798.518518385124</v>
      </c>
      <c r="AC14" s="33">
        <f t="shared" ref="AC14:AC20" si="13">G14*0.01</f>
        <v>773.06000000000006</v>
      </c>
    </row>
    <row r="15" spans="1:29" s="24" customFormat="1" ht="12.9" customHeight="1" x14ac:dyDescent="0.3">
      <c r="A15" s="439">
        <v>43255.708333333336</v>
      </c>
      <c r="B15" s="439">
        <v>43260.270833333336</v>
      </c>
      <c r="C15" s="23"/>
      <c r="D15" s="25">
        <v>2000000121</v>
      </c>
      <c r="E15" s="35" t="s">
        <v>54</v>
      </c>
      <c r="F15" s="25" t="s">
        <v>39</v>
      </c>
      <c r="G15" s="37">
        <v>99999</v>
      </c>
      <c r="H15" s="37" t="s">
        <v>33</v>
      </c>
      <c r="I15" s="37">
        <v>99999</v>
      </c>
      <c r="J15" s="26">
        <f t="shared" si="8"/>
        <v>0</v>
      </c>
      <c r="K15" s="27">
        <f>'[7]Glory Energy'!$F$76</f>
        <v>4.5625</v>
      </c>
      <c r="L15" s="27">
        <f>'[7]Glory Energy'!$F$76-'[7]Glory Energy'!$F$71</f>
        <v>1.9913194444598048</v>
      </c>
      <c r="M15" s="28">
        <f t="shared" si="9"/>
        <v>21917.589041095889</v>
      </c>
      <c r="N15" s="28">
        <f t="shared" si="10"/>
        <v>50217.457715392935</v>
      </c>
      <c r="O15" s="28">
        <v>27000</v>
      </c>
      <c r="P15" s="29">
        <v>90.61</v>
      </c>
      <c r="Q15" s="29">
        <v>71.52</v>
      </c>
      <c r="R15" s="29">
        <f t="shared" si="11"/>
        <v>19.090000000000003</v>
      </c>
      <c r="S15" s="30">
        <f>R15/8.7*10000/G15</f>
        <v>0.21942748163113818</v>
      </c>
      <c r="T15" s="30">
        <f>R15/8.5*10000/G15</f>
        <v>0.22459048119892966</v>
      </c>
      <c r="U15" s="29"/>
      <c r="V15" s="29"/>
      <c r="W15" s="42"/>
      <c r="X15" s="33">
        <v>1.95</v>
      </c>
      <c r="Y15" s="33">
        <f t="shared" si="12"/>
        <v>194998.05</v>
      </c>
      <c r="Z15" s="33"/>
      <c r="AA15" s="33"/>
      <c r="AB15" s="38">
        <v>17123.47222206862</v>
      </c>
      <c r="AC15" s="33">
        <f t="shared" si="13"/>
        <v>999.99</v>
      </c>
    </row>
    <row r="16" spans="1:29" s="24" customFormat="1" ht="12.9" customHeight="1" x14ac:dyDescent="0.3">
      <c r="A16" s="439">
        <v>43260.677083333336</v>
      </c>
      <c r="B16" s="439">
        <v>43264.576388888891</v>
      </c>
      <c r="C16" s="23"/>
      <c r="D16" s="25">
        <v>2000000122</v>
      </c>
      <c r="E16" s="35" t="s">
        <v>55</v>
      </c>
      <c r="F16" s="25" t="s">
        <v>39</v>
      </c>
      <c r="G16" s="37">
        <v>87361</v>
      </c>
      <c r="H16" s="37" t="s">
        <v>40</v>
      </c>
      <c r="I16" s="37">
        <v>87360</v>
      </c>
      <c r="J16" s="26">
        <f t="shared" si="8"/>
        <v>1</v>
      </c>
      <c r="K16" s="27">
        <f>'[7]Bottiglieri Ambition'!$F$68</f>
        <v>3.8993055555547471</v>
      </c>
      <c r="L16" s="27">
        <f>'[7]Bottiglieri Ambition'!$F$68-'[7]Bottiglieri Ambition'!$F$63</f>
        <v>1.8940972222408163</v>
      </c>
      <c r="M16" s="28">
        <f t="shared" si="9"/>
        <v>22404.245770262882</v>
      </c>
      <c r="N16" s="28">
        <f t="shared" si="10"/>
        <v>46122.76443584419</v>
      </c>
      <c r="O16" s="28">
        <v>27000</v>
      </c>
      <c r="P16" s="29">
        <v>70.930000000000007</v>
      </c>
      <c r="Q16" s="29">
        <v>54.42</v>
      </c>
      <c r="R16" s="29">
        <f t="shared" si="11"/>
        <v>16.510000000000005</v>
      </c>
      <c r="S16" s="30">
        <f>R16/8.7*10000/G16</f>
        <v>0.21722520912366938</v>
      </c>
      <c r="T16" s="30">
        <f>R16/8.5*10000/G16</f>
        <v>0.22233639051481455</v>
      </c>
      <c r="U16" s="29"/>
      <c r="V16" s="29"/>
      <c r="W16" s="42"/>
      <c r="X16" s="33">
        <v>1.95</v>
      </c>
      <c r="Y16" s="33">
        <f t="shared" si="12"/>
        <v>170353.94999999998</v>
      </c>
      <c r="Z16" s="33"/>
      <c r="AA16" s="33"/>
      <c r="AB16" s="38">
        <v>13414.953703517765</v>
      </c>
      <c r="AC16" s="33">
        <f t="shared" si="13"/>
        <v>873.61</v>
      </c>
    </row>
    <row r="17" spans="1:29" s="24" customFormat="1" ht="12.75" customHeight="1" x14ac:dyDescent="0.3">
      <c r="A17" s="439">
        <v>43268.597222222219</v>
      </c>
      <c r="B17" s="439">
        <v>43269.4375</v>
      </c>
      <c r="C17" s="23"/>
      <c r="D17" s="25">
        <v>2000000123</v>
      </c>
      <c r="E17" s="35" t="s">
        <v>56</v>
      </c>
      <c r="F17" s="25" t="s">
        <v>32</v>
      </c>
      <c r="G17" s="37">
        <v>24108</v>
      </c>
      <c r="H17" s="37" t="s">
        <v>49</v>
      </c>
      <c r="I17" s="37">
        <v>71030</v>
      </c>
      <c r="J17" s="26">
        <f t="shared" si="8"/>
        <v>-46922</v>
      </c>
      <c r="K17" s="27">
        <f>[7]Thetis!$F$31</f>
        <v>0.84027777778101154</v>
      </c>
      <c r="L17" s="27">
        <f>[7]Thetis!$F$31-[7]Thetis!$F$26</f>
        <v>0.59722222222262644</v>
      </c>
      <c r="M17" s="28">
        <f t="shared" si="9"/>
        <v>28690.512396583803</v>
      </c>
      <c r="N17" s="28">
        <f t="shared" si="10"/>
        <v>40366.883720902908</v>
      </c>
      <c r="O17" s="28">
        <v>27000</v>
      </c>
      <c r="P17" s="29">
        <v>222.42</v>
      </c>
      <c r="Q17" s="29">
        <v>217.73</v>
      </c>
      <c r="R17" s="29">
        <f t="shared" si="11"/>
        <v>4.6899999999999977</v>
      </c>
      <c r="S17" s="30">
        <f>R17/8.7*10000/G17</f>
        <v>0.22361061049034128</v>
      </c>
      <c r="T17" s="30">
        <f>R17/8.5*10000/G17</f>
        <v>0.22887203661952576</v>
      </c>
      <c r="U17" s="29"/>
      <c r="V17" s="29"/>
      <c r="W17" s="42"/>
      <c r="X17" s="33">
        <v>1.95</v>
      </c>
      <c r="Y17" s="33">
        <f t="shared" si="12"/>
        <v>47010.6</v>
      </c>
      <c r="Z17" s="33"/>
      <c r="AA17" s="33"/>
      <c r="AB17" s="38">
        <v>2956.6666666626238</v>
      </c>
      <c r="AC17" s="33">
        <f t="shared" si="13"/>
        <v>241.08</v>
      </c>
    </row>
    <row r="18" spans="1:29" s="35" customFormat="1" ht="12.75" customHeight="1" x14ac:dyDescent="0.3">
      <c r="A18" s="689">
        <v>43270.805555555555</v>
      </c>
      <c r="B18" s="689">
        <v>43274.138888888891</v>
      </c>
      <c r="C18" s="50"/>
      <c r="D18" s="451">
        <v>2000000137</v>
      </c>
      <c r="E18" s="44" t="s">
        <v>41</v>
      </c>
      <c r="F18" s="44" t="s">
        <v>39</v>
      </c>
      <c r="G18" s="37">
        <v>86400</v>
      </c>
      <c r="H18" s="60" t="s">
        <v>40</v>
      </c>
      <c r="I18" s="60">
        <v>86200</v>
      </c>
      <c r="J18" s="61">
        <f t="shared" si="8"/>
        <v>200</v>
      </c>
      <c r="K18" s="62">
        <f>'[7]Taipower Prosperity II'!$F$59</f>
        <v>3.3333333333357587</v>
      </c>
      <c r="L18" s="62">
        <f>'[7]Taipower Prosperity II'!$F$59-'[7]Taipower Prosperity II'!$F$54</f>
        <v>1.7065972222262644</v>
      </c>
      <c r="M18" s="60">
        <f>(G18)/K18</f>
        <v>25919.999999981141</v>
      </c>
      <c r="N18" s="60">
        <f>(G18)/L18</f>
        <v>50627.060020225967</v>
      </c>
      <c r="O18" s="60">
        <v>27000</v>
      </c>
      <c r="P18" s="63">
        <v>216.03</v>
      </c>
      <c r="Q18" s="63">
        <v>200.16</v>
      </c>
      <c r="R18" s="63">
        <f t="shared" si="11"/>
        <v>15.870000000000005</v>
      </c>
      <c r="S18" s="686">
        <f>R18/8.7*10000/(G18)</f>
        <v>0.21112707535121336</v>
      </c>
      <c r="T18" s="686">
        <f>R18/8.5*10000/(G18)</f>
        <v>0.21609477124183013</v>
      </c>
      <c r="U18" s="51"/>
      <c r="V18" s="51"/>
      <c r="W18" s="52"/>
      <c r="X18" s="53">
        <v>1.95</v>
      </c>
      <c r="Y18" s="53">
        <f t="shared" si="12"/>
        <v>168480</v>
      </c>
      <c r="Z18" s="53"/>
      <c r="AA18" s="54"/>
      <c r="AB18" s="687">
        <v>14934.027777737358</v>
      </c>
      <c r="AC18" s="54">
        <f t="shared" si="13"/>
        <v>864</v>
      </c>
    </row>
    <row r="19" spans="1:29" s="24" customFormat="1" ht="12.9" customHeight="1" x14ac:dyDescent="0.3">
      <c r="A19" s="174">
        <v>43275.006944444445</v>
      </c>
      <c r="B19" s="174">
        <v>43279.583333333336</v>
      </c>
      <c r="C19" s="47"/>
      <c r="D19" s="451">
        <v>2000000138</v>
      </c>
      <c r="E19" s="44" t="s">
        <v>57</v>
      </c>
      <c r="F19" s="109" t="s">
        <v>58</v>
      </c>
      <c r="G19" s="37">
        <v>100024</v>
      </c>
      <c r="H19" s="60" t="s">
        <v>49</v>
      </c>
      <c r="I19" s="60">
        <v>161380</v>
      </c>
      <c r="J19" s="318">
        <f>G19-I19</f>
        <v>-61356</v>
      </c>
      <c r="K19" s="448">
        <f>[7]Pounda!$F$61</f>
        <v>4.5763888888905058</v>
      </c>
      <c r="L19" s="448">
        <f>[7]Pounda!$F$61-[7]Pounda!$F$56</f>
        <v>1.8993055555365572</v>
      </c>
      <c r="M19" s="683">
        <f>(G19)/K19</f>
        <v>21856.534142632641</v>
      </c>
      <c r="N19" s="683">
        <f>(G19)/L19</f>
        <v>52663.458867071568</v>
      </c>
      <c r="O19" s="683">
        <v>27000</v>
      </c>
      <c r="P19" s="56">
        <v>198.89</v>
      </c>
      <c r="Q19" s="56">
        <v>180.8</v>
      </c>
      <c r="R19" s="56">
        <f t="shared" si="11"/>
        <v>18.089999999999975</v>
      </c>
      <c r="S19" s="684">
        <f>R19/8.7*10000/(G19)</f>
        <v>0.2078811430084363</v>
      </c>
      <c r="T19" s="684">
        <f>R19/8.5*10000/(G19)</f>
        <v>0.21277246402039951</v>
      </c>
      <c r="U19" s="55"/>
      <c r="V19" s="56"/>
      <c r="W19" s="57"/>
      <c r="X19" s="58">
        <v>2.15</v>
      </c>
      <c r="Y19" s="58">
        <f t="shared" si="12"/>
        <v>215051.59999999998</v>
      </c>
      <c r="Z19" s="58"/>
      <c r="AA19" s="33"/>
      <c r="AB19" s="67">
        <v>18052.870370560355</v>
      </c>
      <c r="AC19" s="33">
        <f t="shared" si="13"/>
        <v>1000.24</v>
      </c>
    </row>
    <row r="20" spans="1:29" s="35" customFormat="1" ht="12.9" customHeight="1" x14ac:dyDescent="0.3">
      <c r="A20" s="678">
        <v>43279.854166666664</v>
      </c>
      <c r="B20" s="678">
        <v>43281.986111111109</v>
      </c>
      <c r="C20" s="59"/>
      <c r="D20" s="25">
        <v>2000000139</v>
      </c>
      <c r="E20" s="44" t="s">
        <v>59</v>
      </c>
      <c r="F20" s="45" t="s">
        <v>32</v>
      </c>
      <c r="G20" s="37">
        <v>63293</v>
      </c>
      <c r="H20" s="60" t="s">
        <v>33</v>
      </c>
      <c r="I20" s="60">
        <v>71500</v>
      </c>
      <c r="J20" s="61">
        <f t="shared" si="8"/>
        <v>-8207</v>
      </c>
      <c r="K20" s="62">
        <f>'[7]Sea Opal'!$F$52</f>
        <v>2.1319444444452529</v>
      </c>
      <c r="L20" s="62">
        <f>'[7]Sea Opal'!$F$52-'[7]Sea Opal'!$F$47</f>
        <v>1.203125</v>
      </c>
      <c r="M20" s="37">
        <f t="shared" si="9"/>
        <v>29687.921824092977</v>
      </c>
      <c r="N20" s="37">
        <f t="shared" si="10"/>
        <v>52607.168831168834</v>
      </c>
      <c r="O20" s="60">
        <v>27000</v>
      </c>
      <c r="P20" s="63">
        <v>180.58</v>
      </c>
      <c r="Q20" s="63">
        <v>171.26</v>
      </c>
      <c r="R20" s="63">
        <f t="shared" si="11"/>
        <v>9.3200000000000216</v>
      </c>
      <c r="S20" s="64">
        <f>R20/8.7*10000/G20</f>
        <v>0.16925479402399862</v>
      </c>
      <c r="T20" s="64">
        <f>R20/8.5*10000/G20</f>
        <v>0.17323725976573978</v>
      </c>
      <c r="U20" s="65"/>
      <c r="V20" s="63"/>
      <c r="W20" s="66"/>
      <c r="X20" s="54">
        <v>1.66</v>
      </c>
      <c r="Y20" s="54">
        <f t="shared" si="12"/>
        <v>105066.37999999999</v>
      </c>
      <c r="Z20" s="54"/>
      <c r="AA20" s="54"/>
      <c r="AB20" s="67">
        <v>11410.601851851854</v>
      </c>
      <c r="AC20" s="54">
        <f t="shared" si="13"/>
        <v>632.93000000000006</v>
      </c>
    </row>
    <row r="21" spans="1:29" s="35" customFormat="1" ht="12.9" customHeight="1" x14ac:dyDescent="0.3">
      <c r="A21" s="439">
        <v>43282.888888888891</v>
      </c>
      <c r="B21" s="439">
        <v>43287.833333333336</v>
      </c>
      <c r="C21" s="23"/>
      <c r="D21" s="23"/>
      <c r="E21" s="44" t="s">
        <v>44</v>
      </c>
      <c r="F21" s="45" t="s">
        <v>39</v>
      </c>
      <c r="G21" s="37">
        <v>90000</v>
      </c>
      <c r="H21" s="37" t="s">
        <v>40</v>
      </c>
      <c r="I21" s="37">
        <v>90000</v>
      </c>
      <c r="J21" s="26">
        <f t="shared" ref="J21:J27" si="14">G21-I21</f>
        <v>0</v>
      </c>
      <c r="K21" s="27">
        <f>'[8]Taipower Prosperity VIII'!$F$67</f>
        <v>4.9444444444452529</v>
      </c>
      <c r="L21" s="27">
        <f>'[8]Taipower Prosperity VIII'!$F$67-'[8]Taipower Prosperity VIII'!$F$62</f>
        <v>1.8506944444416149</v>
      </c>
      <c r="M21" s="28">
        <f t="shared" ref="M21:M29" si="15">G21/K21</f>
        <v>18202.24719100826</v>
      </c>
      <c r="N21" s="28">
        <f t="shared" ref="N21:N29" si="16">G21/L21</f>
        <v>48630.393996322004</v>
      </c>
      <c r="O21" s="28">
        <v>27000</v>
      </c>
      <c r="P21" s="29">
        <v>170.13</v>
      </c>
      <c r="Q21" s="29">
        <v>150.19</v>
      </c>
      <c r="R21" s="29">
        <f t="shared" ref="R21:R27" si="17">P21-Q21</f>
        <v>19.939999999999998</v>
      </c>
      <c r="S21" s="30">
        <f t="shared" ref="S21:S27" si="18">R21/8.7*10000/G21</f>
        <v>0.25466155810983399</v>
      </c>
      <c r="T21" s="30">
        <f t="shared" ref="T21:T27" si="19">R21/8.5*10000/G21</f>
        <v>0.26065359477124178</v>
      </c>
      <c r="U21" s="29"/>
      <c r="V21" s="31"/>
      <c r="W21" s="32"/>
      <c r="X21" s="29">
        <v>2.84</v>
      </c>
      <c r="Y21" s="33">
        <f t="shared" si="12"/>
        <v>255600</v>
      </c>
      <c r="Z21" s="33"/>
      <c r="AA21" s="33"/>
      <c r="AB21" s="38">
        <v>14826.388888917185</v>
      </c>
      <c r="AC21" s="33">
        <f>G21*0.02</f>
        <v>1800</v>
      </c>
    </row>
    <row r="22" spans="1:29" s="24" customFormat="1" ht="12.75" customHeight="1" x14ac:dyDescent="0.3">
      <c r="A22" s="439">
        <v>43290.034722222219</v>
      </c>
      <c r="B22" s="439">
        <v>43291.236111111109</v>
      </c>
      <c r="C22" s="23"/>
      <c r="D22" s="23"/>
      <c r="E22" s="35" t="s">
        <v>61</v>
      </c>
      <c r="F22" s="25" t="s">
        <v>39</v>
      </c>
      <c r="G22" s="37">
        <v>44560</v>
      </c>
      <c r="H22" s="37" t="s">
        <v>62</v>
      </c>
      <c r="I22" s="37">
        <v>88000</v>
      </c>
      <c r="J22" s="26">
        <f t="shared" si="14"/>
        <v>-43440</v>
      </c>
      <c r="K22" s="27">
        <f>'[8]Sea Honesty'!$F$39</f>
        <v>1.2013888888905058</v>
      </c>
      <c r="L22" s="27">
        <f>'[8]Sea Honesty'!$F$39-'[8]Sea Honesty'!$F$34</f>
        <v>0.86805555556566105</v>
      </c>
      <c r="M22" s="28">
        <f t="shared" si="15"/>
        <v>37090.404624227536</v>
      </c>
      <c r="N22" s="28">
        <f t="shared" si="16"/>
        <v>51333.119999402406</v>
      </c>
      <c r="O22" s="28">
        <v>27000</v>
      </c>
      <c r="P22" s="29">
        <v>147.19999999999999</v>
      </c>
      <c r="Q22" s="29">
        <v>141.5</v>
      </c>
      <c r="R22" s="29">
        <f t="shared" si="17"/>
        <v>5.6999999999999886</v>
      </c>
      <c r="S22" s="30">
        <f t="shared" si="18"/>
        <v>0.14703151117439456</v>
      </c>
      <c r="T22" s="30">
        <f t="shared" si="19"/>
        <v>0.15049107614320384</v>
      </c>
      <c r="U22" s="29"/>
      <c r="V22" s="29"/>
      <c r="W22" s="42"/>
      <c r="X22" s="29">
        <v>2.84</v>
      </c>
      <c r="Y22" s="33">
        <f t="shared" si="12"/>
        <v>126550.39999999999</v>
      </c>
      <c r="Z22" s="33"/>
      <c r="AA22" s="33"/>
      <c r="AB22" s="38">
        <v>7823.148148047092</v>
      </c>
      <c r="AC22" s="33">
        <f t="shared" ref="AC22:AC27" si="20">G22*0.02</f>
        <v>891.2</v>
      </c>
    </row>
    <row r="23" spans="1:29" s="24" customFormat="1" ht="12.9" customHeight="1" x14ac:dyDescent="0.3">
      <c r="A23" s="439">
        <v>43292.736111111109</v>
      </c>
      <c r="B23" s="439">
        <v>43296.458333333336</v>
      </c>
      <c r="C23" s="23"/>
      <c r="D23" s="23"/>
      <c r="E23" s="35" t="s">
        <v>63</v>
      </c>
      <c r="F23" s="25" t="s">
        <v>32</v>
      </c>
      <c r="G23" s="37">
        <v>71300</v>
      </c>
      <c r="H23" s="37" t="s">
        <v>62</v>
      </c>
      <c r="I23" s="37">
        <v>71300</v>
      </c>
      <c r="J23" s="26">
        <f t="shared" si="14"/>
        <v>0</v>
      </c>
      <c r="K23" s="27">
        <f>'[8]JK Pioneer'!$F$55</f>
        <v>3.7222222222262644</v>
      </c>
      <c r="L23" s="27">
        <f>'[8]JK Pioneer'!$F$55-'[8]JK Pioneer'!$F$50</f>
        <v>1.5381944444670808</v>
      </c>
      <c r="M23" s="28">
        <f t="shared" si="15"/>
        <v>19155.223880576214</v>
      </c>
      <c r="N23" s="28">
        <f t="shared" si="16"/>
        <v>46353.047403381068</v>
      </c>
      <c r="O23" s="28">
        <v>27000</v>
      </c>
      <c r="P23" s="29">
        <v>139.18</v>
      </c>
      <c r="Q23" s="29">
        <v>125</v>
      </c>
      <c r="R23" s="29">
        <f t="shared" si="17"/>
        <v>14.180000000000007</v>
      </c>
      <c r="S23" s="30">
        <f t="shared" si="18"/>
        <v>0.22859537972949023</v>
      </c>
      <c r="T23" s="30">
        <f t="shared" si="19"/>
        <v>0.23397409454665469</v>
      </c>
      <c r="U23" s="29"/>
      <c r="V23" s="29"/>
      <c r="W23" s="42"/>
      <c r="X23" s="29">
        <v>2.84</v>
      </c>
      <c r="Y23" s="33">
        <f t="shared" si="12"/>
        <v>202492</v>
      </c>
      <c r="Z23" s="33"/>
      <c r="AA23" s="33"/>
      <c r="AB23" s="38">
        <v>11025.462962736601</v>
      </c>
      <c r="AC23" s="33">
        <f t="shared" si="20"/>
        <v>1426</v>
      </c>
    </row>
    <row r="24" spans="1:29" s="24" customFormat="1" ht="12.9" customHeight="1" x14ac:dyDescent="0.3">
      <c r="A24" s="439">
        <v>43298.284722222219</v>
      </c>
      <c r="B24" s="439">
        <v>43301.333333333336</v>
      </c>
      <c r="C24" s="23"/>
      <c r="D24" s="23"/>
      <c r="E24" s="35" t="s">
        <v>38</v>
      </c>
      <c r="F24" s="25" t="s">
        <v>39</v>
      </c>
      <c r="G24" s="37">
        <v>86401</v>
      </c>
      <c r="H24" s="37" t="s">
        <v>40</v>
      </c>
      <c r="I24" s="37">
        <v>86400</v>
      </c>
      <c r="J24" s="26">
        <f t="shared" si="14"/>
        <v>1</v>
      </c>
      <c r="K24" s="27">
        <f>'[8]Taipower Prosperity I'!$F$55</f>
        <v>3.0486111111167702</v>
      </c>
      <c r="L24" s="27">
        <f>'[8]Taipower Prosperity I'!$F$55-'[8]Taipower Prosperity I'!$F$50</f>
        <v>1.7222222222153505</v>
      </c>
      <c r="M24" s="28">
        <f t="shared" si="15"/>
        <v>28341.102505642153</v>
      </c>
      <c r="N24" s="28">
        <f t="shared" si="16"/>
        <v>50168.322580845335</v>
      </c>
      <c r="O24" s="28">
        <v>27000</v>
      </c>
      <c r="P24" s="29">
        <v>122.65</v>
      </c>
      <c r="Q24" s="29">
        <v>108.2</v>
      </c>
      <c r="R24" s="29">
        <f t="shared" si="17"/>
        <v>14.450000000000003</v>
      </c>
      <c r="S24" s="30">
        <f t="shared" si="18"/>
        <v>0.19223383296835517</v>
      </c>
      <c r="T24" s="30">
        <f t="shared" si="19"/>
        <v>0.19675698197937527</v>
      </c>
      <c r="U24" s="29"/>
      <c r="V24" s="29"/>
      <c r="W24" s="42"/>
      <c r="X24" s="29">
        <v>2.84</v>
      </c>
      <c r="Y24" s="33">
        <f t="shared" si="12"/>
        <v>245378.84</v>
      </c>
      <c r="Z24" s="33"/>
      <c r="AA24" s="33"/>
      <c r="AB24" s="38">
        <v>14778.148148216866</v>
      </c>
      <c r="AC24" s="33">
        <f t="shared" si="20"/>
        <v>1728.02</v>
      </c>
    </row>
    <row r="25" spans="1:29" s="24" customFormat="1" ht="12.9" customHeight="1" x14ac:dyDescent="0.3">
      <c r="A25" s="439">
        <v>43301.614583333336</v>
      </c>
      <c r="B25" s="439">
        <v>43303.145833333336</v>
      </c>
      <c r="C25" s="23"/>
      <c r="D25" s="23"/>
      <c r="E25" s="35" t="s">
        <v>64</v>
      </c>
      <c r="F25" s="25" t="s">
        <v>32</v>
      </c>
      <c r="G25" s="37">
        <v>46674</v>
      </c>
      <c r="H25" s="37" t="s">
        <v>33</v>
      </c>
      <c r="I25" s="37">
        <v>66600</v>
      </c>
      <c r="J25" s="26">
        <f t="shared" si="14"/>
        <v>-19926</v>
      </c>
      <c r="K25" s="27">
        <f>'[8]Zheng Hao'!$F$44</f>
        <v>1.53125</v>
      </c>
      <c r="L25" s="27">
        <f>'[8]Zheng Hao'!$F$44-'[8]Zheng Hao'!$F$39</f>
        <v>0.86111111110949423</v>
      </c>
      <c r="M25" s="28">
        <f t="shared" si="15"/>
        <v>30480.979591836734</v>
      </c>
      <c r="N25" s="28">
        <f t="shared" si="16"/>
        <v>54202.064516230806</v>
      </c>
      <c r="O25" s="28">
        <v>27000</v>
      </c>
      <c r="P25" s="29">
        <v>107.92</v>
      </c>
      <c r="Q25" s="29">
        <v>100.58</v>
      </c>
      <c r="R25" s="29">
        <f t="shared" si="17"/>
        <v>7.3400000000000034</v>
      </c>
      <c r="S25" s="30">
        <f t="shared" si="18"/>
        <v>0.1807597722328364</v>
      </c>
      <c r="T25" s="30">
        <f t="shared" si="19"/>
        <v>0.18501294334419727</v>
      </c>
      <c r="U25" s="29"/>
      <c r="V25" s="29"/>
      <c r="W25" s="42"/>
      <c r="X25" s="29">
        <v>2.84</v>
      </c>
      <c r="Y25" s="33">
        <f t="shared" si="12"/>
        <v>132554.16</v>
      </c>
      <c r="Z25" s="33"/>
      <c r="AA25" s="33"/>
      <c r="AB25" s="38">
        <v>8675.5555555717237</v>
      </c>
      <c r="AC25" s="33">
        <f t="shared" si="20"/>
        <v>933.48</v>
      </c>
    </row>
    <row r="26" spans="1:29" s="24" customFormat="1" ht="12.9" customHeight="1" x14ac:dyDescent="0.3">
      <c r="A26" s="146">
        <v>43303.6875</v>
      </c>
      <c r="B26" s="146">
        <v>43307.416666666664</v>
      </c>
      <c r="C26" s="23"/>
      <c r="D26" s="23"/>
      <c r="E26" s="35" t="s">
        <v>65</v>
      </c>
      <c r="F26" s="109" t="s">
        <v>58</v>
      </c>
      <c r="G26" s="37">
        <v>88077</v>
      </c>
      <c r="H26" s="60" t="s">
        <v>49</v>
      </c>
      <c r="I26" s="60">
        <v>159233</v>
      </c>
      <c r="J26" s="318">
        <f>G26-I26</f>
        <v>-71156</v>
      </c>
      <c r="K26" s="448">
        <f>'[8]Win Win'!$F$61</f>
        <v>3.7291666666642413</v>
      </c>
      <c r="L26" s="448">
        <f>'[8]Win Win'!$F$61-'[8]Win Win'!$F$56</f>
        <v>2.187500000007276</v>
      </c>
      <c r="M26" s="683">
        <f t="shared" si="15"/>
        <v>23618.41340783659</v>
      </c>
      <c r="N26" s="683">
        <f t="shared" si="16"/>
        <v>40263.771428437503</v>
      </c>
      <c r="O26" s="683">
        <v>27000</v>
      </c>
      <c r="P26" s="56">
        <v>99.32</v>
      </c>
      <c r="Q26" s="56">
        <v>81.8</v>
      </c>
      <c r="R26" s="56">
        <f>P26-Q26</f>
        <v>17.519999999999996</v>
      </c>
      <c r="S26" s="684">
        <f>R26/8.7*10000/G26</f>
        <v>0.22864006533468162</v>
      </c>
      <c r="T26" s="684">
        <f>R26/8.5*10000/G26</f>
        <v>0.23401983157785058</v>
      </c>
      <c r="U26" s="29"/>
      <c r="V26" s="29"/>
      <c r="W26" s="42"/>
      <c r="X26" s="56">
        <v>2.84</v>
      </c>
      <c r="Y26" s="33">
        <f t="shared" si="12"/>
        <v>250138.68</v>
      </c>
      <c r="Z26" s="33"/>
      <c r="AA26" s="33"/>
      <c r="AB26" s="67">
        <v>10746.11111103835</v>
      </c>
      <c r="AC26" s="33">
        <f t="shared" si="20"/>
        <v>1761.54</v>
      </c>
    </row>
    <row r="27" spans="1:29" s="24" customFormat="1" ht="12.9" customHeight="1" x14ac:dyDescent="0.3">
      <c r="A27" s="439">
        <v>43307.680555555555</v>
      </c>
      <c r="B27" s="439">
        <v>43310.763888888891</v>
      </c>
      <c r="C27" s="23"/>
      <c r="D27" s="23"/>
      <c r="E27" s="35" t="s">
        <v>66</v>
      </c>
      <c r="F27" s="25" t="s">
        <v>32</v>
      </c>
      <c r="G27" s="37">
        <v>75250</v>
      </c>
      <c r="H27" s="68" t="s">
        <v>49</v>
      </c>
      <c r="I27" s="37">
        <v>75250</v>
      </c>
      <c r="J27" s="26">
        <f t="shared" si="14"/>
        <v>0</v>
      </c>
      <c r="K27" s="27">
        <f>'[8]Flag Lama'!$F$58</f>
        <v>3.0833333333357587</v>
      </c>
      <c r="L27" s="27">
        <f>'[8]Flag Lama'!$F$58-'[8]Flag Lama'!$F$53</f>
        <v>1.7760416666897072</v>
      </c>
      <c r="M27" s="28">
        <f t="shared" si="15"/>
        <v>24405.405405386209</v>
      </c>
      <c r="N27" s="28">
        <f t="shared" si="16"/>
        <v>42369.501465726004</v>
      </c>
      <c r="O27" s="28">
        <v>27000</v>
      </c>
      <c r="P27" s="29">
        <v>81.37</v>
      </c>
      <c r="Q27" s="29">
        <v>66</v>
      </c>
      <c r="R27" s="29">
        <f t="shared" si="17"/>
        <v>15.370000000000005</v>
      </c>
      <c r="S27" s="30">
        <f t="shared" si="18"/>
        <v>0.23477297895902555</v>
      </c>
      <c r="T27" s="30">
        <f t="shared" si="19"/>
        <v>0.24029704905217908</v>
      </c>
      <c r="U27" s="29"/>
      <c r="V27" s="29"/>
      <c r="W27" s="42"/>
      <c r="X27" s="56">
        <v>2.84</v>
      </c>
      <c r="Y27" s="33">
        <f t="shared" si="12"/>
        <v>213710</v>
      </c>
      <c r="Z27" s="33"/>
      <c r="AA27" s="33"/>
      <c r="AB27" s="38">
        <v>10109.9537034733</v>
      </c>
      <c r="AC27" s="33">
        <f t="shared" si="20"/>
        <v>1505</v>
      </c>
    </row>
    <row r="28" spans="1:29" s="24" customFormat="1" ht="12.9" customHeight="1" x14ac:dyDescent="0.3">
      <c r="A28" s="439">
        <v>43320.885416666664</v>
      </c>
      <c r="B28" s="439">
        <v>43323.552083333336</v>
      </c>
      <c r="C28" s="23"/>
      <c r="D28" s="23"/>
      <c r="E28" s="35" t="s">
        <v>68</v>
      </c>
      <c r="F28" s="25" t="s">
        <v>32</v>
      </c>
      <c r="G28" s="37">
        <v>68000</v>
      </c>
      <c r="H28" s="37" t="s">
        <v>36</v>
      </c>
      <c r="I28" s="37">
        <v>68000</v>
      </c>
      <c r="J28" s="26">
        <f t="shared" ref="J28:J45" si="21">G28-I28</f>
        <v>0</v>
      </c>
      <c r="K28" s="27">
        <f>'[9]Kartini Samudra'!$F$67</f>
        <v>2.6666666666715173</v>
      </c>
      <c r="L28" s="27">
        <f>'[9]Kartini Samudra'!$F$67-'[9]Kartini Samudra'!$F$62</f>
        <v>1.5746527777700976</v>
      </c>
      <c r="M28" s="28">
        <f t="shared" si="15"/>
        <v>25499.999999953616</v>
      </c>
      <c r="N28" s="28">
        <f t="shared" si="16"/>
        <v>43184.123484223855</v>
      </c>
      <c r="O28" s="28">
        <v>27000</v>
      </c>
      <c r="P28" s="69">
        <f>(59807/10000)*8.7</f>
        <v>52.03208999999999</v>
      </c>
      <c r="Q28" s="69">
        <f>(44415/10000)*8.7</f>
        <v>38.641049999999993</v>
      </c>
      <c r="R28" s="29">
        <f t="shared" ref="R28:R45" si="22">P28-Q28</f>
        <v>13.391039999999997</v>
      </c>
      <c r="S28" s="30">
        <f>R28/8.7*10000/G28</f>
        <v>0.22635294117647053</v>
      </c>
      <c r="T28" s="30">
        <f>R28/8.5*10000/G28</f>
        <v>0.23167889273356396</v>
      </c>
      <c r="U28" s="29"/>
      <c r="V28" s="29"/>
      <c r="W28" s="42"/>
      <c r="X28" s="29">
        <v>2.84</v>
      </c>
      <c r="Y28" s="33">
        <f>G28*X28</f>
        <v>193120</v>
      </c>
      <c r="Z28" s="33"/>
      <c r="AA28" s="33"/>
      <c r="AB28" s="38">
        <v>9438.6574074842101</v>
      </c>
      <c r="AC28" s="33">
        <f>G28*0.02</f>
        <v>1360</v>
      </c>
    </row>
    <row r="29" spans="1:29" s="81" customFormat="1" ht="12.9" customHeight="1" x14ac:dyDescent="0.3">
      <c r="A29" s="670">
        <v>43332.833333333336</v>
      </c>
      <c r="B29" s="670">
        <v>43340.958333333336</v>
      </c>
      <c r="C29" s="70"/>
      <c r="D29" s="70"/>
      <c r="E29" s="71" t="s">
        <v>69</v>
      </c>
      <c r="F29" s="110" t="s">
        <v>58</v>
      </c>
      <c r="G29" s="72">
        <v>125712</v>
      </c>
      <c r="H29" s="72" t="s">
        <v>49</v>
      </c>
      <c r="I29" s="72">
        <v>166155</v>
      </c>
      <c r="J29" s="73">
        <f t="shared" si="21"/>
        <v>-40443</v>
      </c>
      <c r="K29" s="27">
        <f>'[9]Navios Joy'!$F$83</f>
        <v>8.125</v>
      </c>
      <c r="L29" s="27">
        <f>'[9]Navios Joy'!$F$83-'[9]Navios Joy'!$F$78</f>
        <v>2.7847222222517303</v>
      </c>
      <c r="M29" s="74">
        <f t="shared" si="15"/>
        <v>15472.246153846154</v>
      </c>
      <c r="N29" s="74">
        <f t="shared" si="16"/>
        <v>45143.461346155054</v>
      </c>
      <c r="O29" s="74">
        <v>27000</v>
      </c>
      <c r="P29" s="75">
        <f>(155087/10000)*8.7</f>
        <v>134.92568999999997</v>
      </c>
      <c r="Q29" s="75">
        <f>(121717/10000)*8.7</f>
        <v>105.89378999999998</v>
      </c>
      <c r="R29" s="76">
        <f t="shared" si="22"/>
        <v>29.031899999999993</v>
      </c>
      <c r="S29" s="77">
        <f>R29/8.7*10000/G29</f>
        <v>0.2654480081456026</v>
      </c>
      <c r="T29" s="77">
        <f>R29/8.5*10000/G29</f>
        <v>0.27169384363138149</v>
      </c>
      <c r="U29" s="76"/>
      <c r="V29" s="76"/>
      <c r="W29" s="78"/>
      <c r="X29" s="76">
        <v>2.64</v>
      </c>
      <c r="Y29" s="58">
        <f>G29*X29</f>
        <v>331879.67999999999</v>
      </c>
      <c r="Z29" s="58"/>
      <c r="AA29" s="58"/>
      <c r="AB29" s="79">
        <v>18712.777777482694</v>
      </c>
      <c r="AC29" s="80" t="s">
        <v>70</v>
      </c>
    </row>
    <row r="30" spans="1:29" s="24" customFormat="1" ht="12.9" customHeight="1" x14ac:dyDescent="0.3">
      <c r="A30" s="439">
        <v>43341.649305555555</v>
      </c>
      <c r="B30" s="439">
        <v>43343.993055555555</v>
      </c>
      <c r="C30" s="23"/>
      <c r="D30" s="23"/>
      <c r="E30" s="35" t="s">
        <v>71</v>
      </c>
      <c r="F30" s="25" t="s">
        <v>32</v>
      </c>
      <c r="G30" s="37">
        <v>67000</v>
      </c>
      <c r="H30" s="37" t="s">
        <v>36</v>
      </c>
      <c r="I30" s="37">
        <v>67000</v>
      </c>
      <c r="J30" s="26">
        <f t="shared" si="21"/>
        <v>0</v>
      </c>
      <c r="K30" s="27">
        <f>'[9]Chandra Kirana'!$F$58</f>
        <v>2.34375</v>
      </c>
      <c r="L30" s="27">
        <f>'[9]Chandra Kirana'!$F$58-'[9]Chandra Kirana'!$F$53</f>
        <v>1.343749999996362</v>
      </c>
      <c r="M30" s="28">
        <f>(G30)/K30</f>
        <v>28586.666666666668</v>
      </c>
      <c r="N30" s="28">
        <f>(G30)/L30</f>
        <v>49860.46511641406</v>
      </c>
      <c r="O30" s="28">
        <v>27000</v>
      </c>
      <c r="P30" s="69">
        <f>(120807/10000)*8.7</f>
        <v>105.10208999999999</v>
      </c>
      <c r="Q30" s="69">
        <f>(107110/10000)*8.7</f>
        <v>93.185699999999997</v>
      </c>
      <c r="R30" s="29">
        <f t="shared" si="22"/>
        <v>11.916389999999993</v>
      </c>
      <c r="S30" s="30">
        <f>R30/8.7*10000/G30</f>
        <v>0.20443283582089541</v>
      </c>
      <c r="T30" s="30">
        <f>R30/8.5*10000/G30</f>
        <v>0.20924302019315175</v>
      </c>
      <c r="U30" s="29"/>
      <c r="V30" s="29"/>
      <c r="W30" s="42"/>
      <c r="X30" s="29">
        <v>2.64</v>
      </c>
      <c r="Y30" s="33">
        <f>G30*X30</f>
        <v>176880</v>
      </c>
      <c r="Z30" s="33"/>
      <c r="AA30" s="33"/>
      <c r="AB30" s="38">
        <v>11377.314814851194</v>
      </c>
      <c r="AC30" s="82" t="s">
        <v>70</v>
      </c>
    </row>
    <row r="31" spans="1:29" s="24" customFormat="1" ht="12.75" customHeight="1" x14ac:dyDescent="0.3">
      <c r="A31" s="439">
        <v>43348.180555555555</v>
      </c>
      <c r="B31" s="439">
        <v>43350.791666666664</v>
      </c>
      <c r="C31" s="23"/>
      <c r="D31" s="23"/>
      <c r="E31" s="35" t="s">
        <v>73</v>
      </c>
      <c r="F31" s="109" t="s">
        <v>39</v>
      </c>
      <c r="G31" s="37">
        <v>73764</v>
      </c>
      <c r="H31" s="37" t="s">
        <v>40</v>
      </c>
      <c r="I31" s="37">
        <v>89370</v>
      </c>
      <c r="J31" s="26">
        <f t="shared" si="21"/>
        <v>-15606</v>
      </c>
      <c r="K31" s="27">
        <f>'[10]Taipower Prosperity VII'!$F$64</f>
        <v>2.6111111111094942</v>
      </c>
      <c r="L31" s="27">
        <f>'[10]Taipower Prosperity VII'!$F$64-'[10]Taipower Prosperity VII'!$F$59</f>
        <v>1.5659722222226264</v>
      </c>
      <c r="M31" s="28">
        <f>(G31)/K31</f>
        <v>28250.042553208983</v>
      </c>
      <c r="N31" s="28">
        <f>(G31)/L31</f>
        <v>47104.28381373507</v>
      </c>
      <c r="O31" s="28">
        <v>27000</v>
      </c>
      <c r="P31" s="29">
        <f>(100690/10000)*8.7</f>
        <v>87.600300000000004</v>
      </c>
      <c r="Q31" s="29">
        <f>(86030/10000)*8.7</f>
        <v>74.846099999999993</v>
      </c>
      <c r="R31" s="29">
        <f t="shared" si="22"/>
        <v>12.754200000000012</v>
      </c>
      <c r="S31" s="30">
        <f>R31/8.7*10000/(G31)</f>
        <v>0.1987419337346133</v>
      </c>
      <c r="T31" s="30">
        <f t="shared" ref="T31:T45" si="23">R31/8.5*10000/(G31)</f>
        <v>0.20341821452836886</v>
      </c>
      <c r="U31" s="29"/>
      <c r="V31" s="29"/>
      <c r="W31" s="42"/>
      <c r="X31" s="29">
        <v>2.64</v>
      </c>
      <c r="Y31" s="33">
        <f t="shared" ref="Y31:Y34" si="24">G31*X31</f>
        <v>194736.96000000002</v>
      </c>
      <c r="Z31" s="33"/>
      <c r="AA31" s="33"/>
      <c r="AB31" s="38">
        <v>11660.277777773737</v>
      </c>
      <c r="AC31" s="82" t="s">
        <v>70</v>
      </c>
    </row>
    <row r="32" spans="1:29" ht="14.25" customHeight="1" x14ac:dyDescent="0.3">
      <c r="A32" s="439">
        <v>43359.46875</v>
      </c>
      <c r="B32" s="439">
        <v>43362.177083333336</v>
      </c>
      <c r="C32" s="23"/>
      <c r="D32" s="23"/>
      <c r="E32" s="35" t="s">
        <v>75</v>
      </c>
      <c r="F32" s="25" t="s">
        <v>32</v>
      </c>
      <c r="G32" s="37">
        <v>69805</v>
      </c>
      <c r="H32" s="37" t="s">
        <v>33</v>
      </c>
      <c r="I32" s="37">
        <v>69800</v>
      </c>
      <c r="J32" s="26">
        <f t="shared" si="21"/>
        <v>5</v>
      </c>
      <c r="K32" s="27">
        <f>'[10]He Da'!$F$57</f>
        <v>2.7083333333357587</v>
      </c>
      <c r="L32" s="27">
        <f>'[10]He Da'!$F$57-'[10]He Da'!$F$52</f>
        <v>1.4027777777664596</v>
      </c>
      <c r="M32" s="28">
        <f t="shared" ref="M32:M39" si="25">G32/K32</f>
        <v>25774.153846130765</v>
      </c>
      <c r="N32" s="28">
        <f t="shared" ref="N32:N39" si="26">G32/L32</f>
        <v>49761.980198421305</v>
      </c>
      <c r="O32" s="28">
        <v>27000</v>
      </c>
      <c r="P32" s="29">
        <f>(72820/10000)*8.7</f>
        <v>63.353399999999993</v>
      </c>
      <c r="Q32" s="29">
        <f>(59412/10000)*8.7</f>
        <v>51.68844</v>
      </c>
      <c r="R32" s="29">
        <f t="shared" si="22"/>
        <v>11.664959999999994</v>
      </c>
      <c r="S32" s="30">
        <f>R32/8.7*10000/(G32)</f>
        <v>0.19207793138027351</v>
      </c>
      <c r="T32" s="30">
        <f t="shared" si="23"/>
        <v>0.19659741211863291</v>
      </c>
      <c r="U32" s="29"/>
      <c r="X32" s="29">
        <v>2.64</v>
      </c>
      <c r="Y32" s="33">
        <f t="shared" si="24"/>
        <v>184285.2</v>
      </c>
      <c r="Z32" s="33"/>
      <c r="AB32" s="38">
        <v>11825.92592603911</v>
      </c>
      <c r="AC32" s="82" t="s">
        <v>70</v>
      </c>
    </row>
    <row r="33" spans="1:29" x14ac:dyDescent="0.3">
      <c r="A33" s="439">
        <v>43362.819444444445</v>
      </c>
      <c r="B33" s="439">
        <v>43365.21875</v>
      </c>
      <c r="C33" s="23"/>
      <c r="D33" s="23"/>
      <c r="E33" s="35" t="s">
        <v>76</v>
      </c>
      <c r="F33" s="25" t="s">
        <v>32</v>
      </c>
      <c r="G33" s="37">
        <v>73843</v>
      </c>
      <c r="H33" s="37" t="s">
        <v>49</v>
      </c>
      <c r="I33" s="37">
        <v>74059</v>
      </c>
      <c r="J33" s="26">
        <f t="shared" si="21"/>
        <v>-216</v>
      </c>
      <c r="K33" s="27">
        <f>[10]Chance!$F$64</f>
        <v>2.3993055555547471</v>
      </c>
      <c r="L33" s="27">
        <f>[10]Chance!$F$64-[10]Chance!$F$59</f>
        <v>1.4479166666824312</v>
      </c>
      <c r="M33" s="28">
        <f t="shared" si="25"/>
        <v>30776.821997116014</v>
      </c>
      <c r="N33" s="28">
        <f t="shared" si="26"/>
        <v>50999.482013833222</v>
      </c>
      <c r="O33" s="28">
        <v>27000</v>
      </c>
      <c r="P33" s="29">
        <f>(57467/10000)*8.7</f>
        <v>49.996289999999995</v>
      </c>
      <c r="Q33" s="29">
        <f>(44964/10000)*8.7</f>
        <v>39.118679999999998</v>
      </c>
      <c r="R33" s="29">
        <f t="shared" si="22"/>
        <v>10.877609999999997</v>
      </c>
      <c r="S33" s="30">
        <f>R33/8.7*10000/(G33)</f>
        <v>0.16931868965237054</v>
      </c>
      <c r="T33" s="30">
        <f t="shared" si="23"/>
        <v>0.17330265882066159</v>
      </c>
      <c r="U33" s="29"/>
      <c r="X33" s="29">
        <v>2.64</v>
      </c>
      <c r="Y33" s="33">
        <f t="shared" si="24"/>
        <v>194945.52000000002</v>
      </c>
      <c r="Z33" s="33"/>
      <c r="AB33" s="38">
        <v>12870.092592434945</v>
      </c>
      <c r="AC33" s="82" t="s">
        <v>70</v>
      </c>
    </row>
    <row r="34" spans="1:29" x14ac:dyDescent="0.3">
      <c r="A34" s="439">
        <v>43371.291666666664</v>
      </c>
      <c r="B34" s="439">
        <v>43373.572916666664</v>
      </c>
      <c r="C34" s="23"/>
      <c r="D34" s="23"/>
      <c r="E34" s="35" t="s">
        <v>77</v>
      </c>
      <c r="F34" s="25" t="s">
        <v>32</v>
      </c>
      <c r="G34" s="37">
        <f>73237</f>
        <v>73237</v>
      </c>
      <c r="H34" s="37" t="s">
        <v>49</v>
      </c>
      <c r="I34" s="37">
        <v>73237</v>
      </c>
      <c r="J34" s="26">
        <f t="shared" si="21"/>
        <v>0</v>
      </c>
      <c r="K34" s="27">
        <f>'[10]Huayang Pioneer'!$F$59</f>
        <v>2.28125</v>
      </c>
      <c r="L34" s="27">
        <f>'[10]Huayang Pioneer'!$F$59-'[10]Huayang Pioneer'!$F$54</f>
        <v>1.4045138888795918</v>
      </c>
      <c r="M34" s="28">
        <f t="shared" si="25"/>
        <v>32103.890410958906</v>
      </c>
      <c r="N34" s="28">
        <f t="shared" si="26"/>
        <v>52144.019777848254</v>
      </c>
      <c r="O34" s="28">
        <v>27000</v>
      </c>
      <c r="P34" s="29">
        <f>(85364/10000)*8.7</f>
        <v>74.266679999999994</v>
      </c>
      <c r="Q34" s="29">
        <f>(71970/10000)*8.7</f>
        <v>62.613899999999994</v>
      </c>
      <c r="R34" s="29">
        <f t="shared" si="22"/>
        <v>11.65278</v>
      </c>
      <c r="S34" s="30">
        <f>R34/8.7*10000/G34</f>
        <v>0.18288569985116815</v>
      </c>
      <c r="T34" s="30">
        <f t="shared" si="23"/>
        <v>0.18718889278884265</v>
      </c>
      <c r="U34" s="29"/>
      <c r="X34" s="29">
        <v>2.64</v>
      </c>
      <c r="Y34" s="33">
        <f t="shared" si="24"/>
        <v>193345.68000000002</v>
      </c>
      <c r="Z34" s="33"/>
      <c r="AB34" s="38">
        <v>13079.675926018894</v>
      </c>
      <c r="AC34" s="82" t="s">
        <v>70</v>
      </c>
    </row>
    <row r="35" spans="1:29" s="24" customFormat="1" ht="12.75" customHeight="1" x14ac:dyDescent="0.3">
      <c r="A35" s="439">
        <v>43377.53125</v>
      </c>
      <c r="B35" s="439">
        <v>43380.604166666664</v>
      </c>
      <c r="C35" s="23"/>
      <c r="D35" s="23"/>
      <c r="E35" s="35" t="s">
        <v>79</v>
      </c>
      <c r="F35" s="109" t="s">
        <v>32</v>
      </c>
      <c r="G35" s="37">
        <v>73817</v>
      </c>
      <c r="H35" s="37" t="s">
        <v>49</v>
      </c>
      <c r="I35" s="37">
        <v>73817</v>
      </c>
      <c r="J35" s="26">
        <f t="shared" si="21"/>
        <v>0</v>
      </c>
      <c r="K35" s="27">
        <f>'[11]Iolcos Confidence'!$F$74</f>
        <v>3.0729166666642413</v>
      </c>
      <c r="L35" s="27">
        <f>'[11]Iolcos Confidence'!$F$74-'[11]Iolcos Confidence'!$F$69</f>
        <v>1.5312499999915115</v>
      </c>
      <c r="M35" s="28">
        <f t="shared" si="25"/>
        <v>24021.803389849469</v>
      </c>
      <c r="N35" s="28">
        <f t="shared" si="26"/>
        <v>48207.020408430501</v>
      </c>
      <c r="O35" s="28">
        <v>27000</v>
      </c>
      <c r="P35" s="29">
        <f>(275845/10000)*8.7</f>
        <v>239.98514999999998</v>
      </c>
      <c r="Q35" s="29">
        <f>(257549/10000)*8.7</f>
        <v>224.06762999999998</v>
      </c>
      <c r="R35" s="29">
        <f t="shared" si="22"/>
        <v>15.917519999999996</v>
      </c>
      <c r="S35" s="30">
        <f>R35/8.7*10000/G35</f>
        <v>0.24785618488965952</v>
      </c>
      <c r="T35" s="30">
        <f t="shared" si="23"/>
        <v>0.25368809512235735</v>
      </c>
      <c r="U35" s="29"/>
      <c r="V35" s="29"/>
      <c r="W35" s="42"/>
      <c r="X35" s="56">
        <v>2.84</v>
      </c>
      <c r="Y35" s="33">
        <f t="shared" ref="Y35:Y40" si="27">G35*X35</f>
        <v>209640.28</v>
      </c>
      <c r="Z35" s="33"/>
      <c r="AA35" s="33"/>
      <c r="AB35" s="38">
        <v>12027.129629714516</v>
      </c>
      <c r="AC35" s="33">
        <f>G35*0.03</f>
        <v>2214.5099999999998</v>
      </c>
    </row>
    <row r="36" spans="1:29" s="24" customFormat="1" ht="12.75" customHeight="1" x14ac:dyDescent="0.3">
      <c r="A36" s="439">
        <v>43380.958333333336</v>
      </c>
      <c r="B36" s="439">
        <v>43384.0625</v>
      </c>
      <c r="C36" s="23"/>
      <c r="D36" s="23"/>
      <c r="E36" s="35" t="s">
        <v>44</v>
      </c>
      <c r="F36" s="25" t="s">
        <v>39</v>
      </c>
      <c r="G36" s="37">
        <v>90023</v>
      </c>
      <c r="H36" s="37" t="s">
        <v>40</v>
      </c>
      <c r="I36" s="37">
        <v>90000</v>
      </c>
      <c r="J36" s="26">
        <f t="shared" si="21"/>
        <v>23</v>
      </c>
      <c r="K36" s="27">
        <f>'[11]Taipower Prosperity VIII'!$F$74</f>
        <v>3.1041666666642413</v>
      </c>
      <c r="L36" s="27">
        <f>'[11]Taipower Prosperity VIII'!$F$74-'[11]Taipower Prosperity VIII'!$F$69</f>
        <v>1.8663194444767821</v>
      </c>
      <c r="M36" s="28">
        <f t="shared" si="25"/>
        <v>29000.69798659984</v>
      </c>
      <c r="N36" s="28">
        <f t="shared" si="26"/>
        <v>48235.579534047945</v>
      </c>
      <c r="O36" s="28">
        <v>27000</v>
      </c>
      <c r="P36" s="29">
        <f>(257289/10000)*8.7</f>
        <v>223.84142999999997</v>
      </c>
      <c r="Q36" s="29">
        <f>(238965/10000)*8.7</f>
        <v>207.89954999999998</v>
      </c>
      <c r="R36" s="29">
        <f t="shared" si="22"/>
        <v>15.941879999999998</v>
      </c>
      <c r="S36" s="30">
        <f>R36/8.7*10000/G36</f>
        <v>0.20354798218233114</v>
      </c>
      <c r="T36" s="30">
        <f t="shared" si="23"/>
        <v>0.20833734646897423</v>
      </c>
      <c r="U36" s="29"/>
      <c r="V36" s="29"/>
      <c r="W36" s="42"/>
      <c r="X36" s="56">
        <v>2.84</v>
      </c>
      <c r="Y36" s="33">
        <f t="shared" si="27"/>
        <v>255665.31999999998</v>
      </c>
      <c r="Z36" s="33"/>
      <c r="AA36" s="33"/>
      <c r="AB36" s="38">
        <v>14678.657407084031</v>
      </c>
      <c r="AC36" s="33">
        <f t="shared" ref="AC36:AC40" si="28">G36*0.03</f>
        <v>2700.69</v>
      </c>
    </row>
    <row r="37" spans="1:29" s="24" customFormat="1" ht="12.75" customHeight="1" x14ac:dyDescent="0.3">
      <c r="A37" s="439">
        <v>43388.864583333336</v>
      </c>
      <c r="B37" s="439">
        <v>43390.993055555555</v>
      </c>
      <c r="C37" s="23"/>
      <c r="D37" s="23"/>
      <c r="E37" s="35" t="s">
        <v>80</v>
      </c>
      <c r="F37" s="110" t="s">
        <v>32</v>
      </c>
      <c r="G37" s="37">
        <f>64999</f>
        <v>64999</v>
      </c>
      <c r="H37" s="37" t="s">
        <v>33</v>
      </c>
      <c r="I37" s="37">
        <v>65000</v>
      </c>
      <c r="J37" s="26">
        <f t="shared" si="21"/>
        <v>-1</v>
      </c>
      <c r="K37" s="27">
        <f>'[11]Rosco Sandalwood'!$F$58</f>
        <v>2.1284722222189885</v>
      </c>
      <c r="L37" s="27">
        <f>'[11]Rosco Sandalwood'!$F$58-'[11]Rosco Sandalwood'!$F$53</f>
        <v>1.3524305555571723</v>
      </c>
      <c r="M37" s="28">
        <f t="shared" si="25"/>
        <v>30537.866231694032</v>
      </c>
      <c r="N37" s="28">
        <f t="shared" si="26"/>
        <v>48060.878048723032</v>
      </c>
      <c r="O37" s="28">
        <v>27000</v>
      </c>
      <c r="P37" s="29">
        <f>(231455/10000)*8.7</f>
        <v>201.36584999999997</v>
      </c>
      <c r="Q37" s="29">
        <f>(219000/10000)*8.7</f>
        <v>190.52999999999997</v>
      </c>
      <c r="R37" s="29">
        <f t="shared" si="22"/>
        <v>10.835849999999994</v>
      </c>
      <c r="S37" s="30">
        <f>R37/8.7*10000/G37</f>
        <v>0.19161833258973207</v>
      </c>
      <c r="T37" s="30">
        <f t="shared" si="23"/>
        <v>0.19612699923890223</v>
      </c>
      <c r="U37" s="29"/>
      <c r="V37" s="29"/>
      <c r="W37" s="42"/>
      <c r="X37" s="56">
        <v>2.84</v>
      </c>
      <c r="Y37" s="33">
        <f t="shared" si="27"/>
        <v>184597.16</v>
      </c>
      <c r="Z37" s="33"/>
      <c r="AA37" s="33"/>
      <c r="AB37" s="38">
        <v>10549.398148131979</v>
      </c>
      <c r="AC37" s="33">
        <f t="shared" si="28"/>
        <v>1949.97</v>
      </c>
    </row>
    <row r="38" spans="1:29" s="81" customFormat="1" ht="12.75" customHeight="1" x14ac:dyDescent="0.3">
      <c r="A38" s="670">
        <v>43391.430555555555</v>
      </c>
      <c r="B38" s="670">
        <v>43392.760416666664</v>
      </c>
      <c r="C38" s="70"/>
      <c r="D38" s="70"/>
      <c r="E38" s="71" t="s">
        <v>81</v>
      </c>
      <c r="F38" s="83" t="s">
        <v>32</v>
      </c>
      <c r="G38" s="72">
        <v>46564</v>
      </c>
      <c r="H38" s="72"/>
      <c r="I38" s="72">
        <v>74405</v>
      </c>
      <c r="J38" s="73">
        <f t="shared" si="21"/>
        <v>-27841</v>
      </c>
      <c r="K38" s="27">
        <f>'[11]Long Shan Hu'!$F$39</f>
        <v>1.3298611111094942</v>
      </c>
      <c r="L38" s="27">
        <f>'[11]Long Shan Hu'!$F$39-'[11]Long Shan Hu'!$F$34</f>
        <v>0.86111111111677019</v>
      </c>
      <c r="M38" s="74">
        <f t="shared" si="25"/>
        <v>35014.182767666593</v>
      </c>
      <c r="N38" s="74">
        <f t="shared" si="26"/>
        <v>54074.322580289794</v>
      </c>
      <c r="O38" s="74">
        <v>27000</v>
      </c>
      <c r="P38" s="76">
        <f>(218480/10000)*8.7</f>
        <v>190.07759999999999</v>
      </c>
      <c r="Q38" s="76">
        <f>(210252/10000)*8.7</f>
        <v>182.91924</v>
      </c>
      <c r="R38" s="76">
        <f t="shared" si="22"/>
        <v>7.1583599999999876</v>
      </c>
      <c r="S38" s="77">
        <f t="shared" ref="S38:S45" si="29">R38/8.7*10000/(G38)</f>
        <v>0.17670303238553361</v>
      </c>
      <c r="T38" s="77">
        <f t="shared" si="23"/>
        <v>0.18086075079460498</v>
      </c>
      <c r="U38" s="76"/>
      <c r="V38" s="76"/>
      <c r="W38" s="78"/>
      <c r="X38" s="84">
        <v>2.84</v>
      </c>
      <c r="Y38" s="58">
        <f t="shared" si="27"/>
        <v>132241.75999999998</v>
      </c>
      <c r="Z38" s="58"/>
      <c r="AA38" s="58"/>
      <c r="AB38" s="79">
        <v>8634.8148147582251</v>
      </c>
      <c r="AC38" s="58">
        <f t="shared" si="28"/>
        <v>1396.9199999999998</v>
      </c>
    </row>
    <row r="39" spans="1:29" s="81" customFormat="1" ht="12.75" customHeight="1" x14ac:dyDescent="0.3">
      <c r="A39" s="670">
        <v>43393.024305555555</v>
      </c>
      <c r="B39" s="670">
        <v>43394.1875</v>
      </c>
      <c r="C39" s="70"/>
      <c r="D39" s="70"/>
      <c r="E39" s="71" t="s">
        <v>82</v>
      </c>
      <c r="F39" s="83" t="s">
        <v>32</v>
      </c>
      <c r="G39" s="72">
        <v>32811</v>
      </c>
      <c r="H39" s="72" t="s">
        <v>33</v>
      </c>
      <c r="I39" s="72">
        <v>67290</v>
      </c>
      <c r="J39" s="73">
        <f t="shared" si="21"/>
        <v>-34479</v>
      </c>
      <c r="K39" s="27">
        <f>'[11]Blessed Luck'!$F$40</f>
        <v>1.1631944444452529</v>
      </c>
      <c r="L39" s="27">
        <f>'[11]Blessed Luck'!$F$40-'[11]Blessed Luck'!$F$35</f>
        <v>0.66666666666787933</v>
      </c>
      <c r="M39" s="74">
        <f t="shared" si="25"/>
        <v>28207.665671622188</v>
      </c>
      <c r="N39" s="74">
        <f t="shared" si="26"/>
        <v>49216.499999910477</v>
      </c>
      <c r="O39" s="74">
        <v>27000</v>
      </c>
      <c r="P39" s="76">
        <f>(210057/10000)*8.7</f>
        <v>182.74958999999998</v>
      </c>
      <c r="Q39" s="76">
        <f>(203282/10000)*8.7</f>
        <v>176.85533999999998</v>
      </c>
      <c r="R39" s="76">
        <f t="shared" si="22"/>
        <v>5.8942499999999995</v>
      </c>
      <c r="S39" s="77">
        <f t="shared" si="29"/>
        <v>0.20648562981926794</v>
      </c>
      <c r="T39" s="77">
        <f t="shared" si="23"/>
        <v>0.21134411522678009</v>
      </c>
      <c r="U39" s="76"/>
      <c r="V39" s="76"/>
      <c r="W39" s="78"/>
      <c r="X39" s="84">
        <v>2.84</v>
      </c>
      <c r="Y39" s="58">
        <f t="shared" si="27"/>
        <v>93183.239999999991</v>
      </c>
      <c r="Z39" s="58"/>
      <c r="AA39" s="58"/>
      <c r="AB39" s="79">
        <v>5485.5555555434285</v>
      </c>
      <c r="AC39" s="58">
        <f t="shared" si="28"/>
        <v>984.32999999999993</v>
      </c>
    </row>
    <row r="40" spans="1:29" s="81" customFormat="1" ht="12.75" customHeight="1" x14ac:dyDescent="0.3">
      <c r="A40" s="670">
        <v>43394.756944444445</v>
      </c>
      <c r="B40" s="670">
        <v>43398.885416666664</v>
      </c>
      <c r="C40" s="70"/>
      <c r="D40" s="70"/>
      <c r="E40" s="71" t="s">
        <v>83</v>
      </c>
      <c r="F40" s="83" t="s">
        <v>58</v>
      </c>
      <c r="G40" s="72">
        <f>112614</f>
        <v>112614</v>
      </c>
      <c r="H40" s="72"/>
      <c r="I40" s="72">
        <v>165000</v>
      </c>
      <c r="J40" s="73">
        <f t="shared" si="21"/>
        <v>-52386</v>
      </c>
      <c r="K40" s="27">
        <f>'[11]Tiger Guangdong'!$F$66</f>
        <v>4.1284722222189885</v>
      </c>
      <c r="L40" s="27">
        <f>'[11]Tiger Guangdong'!$F$66-'[11]Tiger Guangdong'!$F$61</f>
        <v>2.7135416666533274</v>
      </c>
      <c r="M40" s="74">
        <f>(G40)/K40</f>
        <v>27277.402859567203</v>
      </c>
      <c r="N40" s="74">
        <f>(G40)/L40</f>
        <v>41500.744721893068</v>
      </c>
      <c r="O40" s="74">
        <v>27000</v>
      </c>
      <c r="P40" s="76">
        <f>(202567/10000)*8.7</f>
        <v>176.23328999999998</v>
      </c>
      <c r="Q40" s="76">
        <f>(179337/10000)*8.7</f>
        <v>156.02319</v>
      </c>
      <c r="R40" s="76">
        <f t="shared" si="22"/>
        <v>20.210099999999983</v>
      </c>
      <c r="S40" s="77">
        <f t="shared" si="29"/>
        <v>0.20627985863214149</v>
      </c>
      <c r="T40" s="77">
        <f t="shared" si="23"/>
        <v>0.21113350236466244</v>
      </c>
      <c r="U40" s="76"/>
      <c r="V40" s="76"/>
      <c r="W40" s="78"/>
      <c r="X40" s="84">
        <v>2.84</v>
      </c>
      <c r="Y40" s="58">
        <f t="shared" si="27"/>
        <v>319823.76</v>
      </c>
      <c r="Z40" s="58"/>
      <c r="AA40" s="58"/>
      <c r="AB40" s="79">
        <v>14573.472222355618</v>
      </c>
      <c r="AC40" s="58">
        <f t="shared" si="28"/>
        <v>3378.42</v>
      </c>
    </row>
    <row r="41" spans="1:29" s="24" customFormat="1" ht="12.75" customHeight="1" x14ac:dyDescent="0.3">
      <c r="A41" s="439">
        <v>43411.625</v>
      </c>
      <c r="B41" s="439">
        <v>43414.708333333336</v>
      </c>
      <c r="C41" s="23"/>
      <c r="D41" s="23"/>
      <c r="E41" s="35" t="s">
        <v>85</v>
      </c>
      <c r="F41" s="50" t="s">
        <v>32</v>
      </c>
      <c r="G41" s="37">
        <v>72700</v>
      </c>
      <c r="H41" s="37" t="s">
        <v>86</v>
      </c>
      <c r="I41" s="37">
        <v>73888</v>
      </c>
      <c r="J41" s="26">
        <f t="shared" si="21"/>
        <v>-1188</v>
      </c>
      <c r="K41" s="27">
        <f>[12]GRA!$F$60</f>
        <v>3.1041666666642413</v>
      </c>
      <c r="L41" s="85">
        <f>[12]GRA!$F$60-[12]GRA!$F$55</f>
        <v>1.8038194444076605</v>
      </c>
      <c r="M41" s="28">
        <f>G41/K41</f>
        <v>23420.134228206218</v>
      </c>
      <c r="N41" s="28">
        <f>G41/L41</f>
        <v>40303.368624498486</v>
      </c>
      <c r="O41" s="86" t="s">
        <v>87</v>
      </c>
      <c r="P41" s="29">
        <f>(132644/10000)*8.7</f>
        <v>115.40028</v>
      </c>
      <c r="Q41" s="29">
        <f>(114729+1240)/10000*8.7</f>
        <v>100.89303</v>
      </c>
      <c r="R41" s="29">
        <f t="shared" si="22"/>
        <v>14.507249999999999</v>
      </c>
      <c r="S41" s="30">
        <f t="shared" si="29"/>
        <v>0.22936726272352131</v>
      </c>
      <c r="T41" s="30">
        <f t="shared" si="23"/>
        <v>0.23476413949348651</v>
      </c>
      <c r="U41" s="29"/>
      <c r="V41" s="29"/>
      <c r="W41" s="42"/>
      <c r="X41" s="87">
        <f>14632*2.1</f>
        <v>30727.200000000001</v>
      </c>
      <c r="Y41" s="33">
        <f>G41*2.1</f>
        <v>152670</v>
      </c>
      <c r="Z41" s="88">
        <f>G41*X41</f>
        <v>2233867440</v>
      </c>
      <c r="AA41" s="33"/>
      <c r="AB41" s="82" t="s">
        <v>70</v>
      </c>
      <c r="AC41" s="82" t="s">
        <v>70</v>
      </c>
    </row>
    <row r="42" spans="1:29" s="24" customFormat="1" ht="12.75" customHeight="1" x14ac:dyDescent="0.3">
      <c r="A42" s="439">
        <v>43415.083333333336</v>
      </c>
      <c r="B42" s="439">
        <v>43418.6875</v>
      </c>
      <c r="C42" s="23"/>
      <c r="D42" s="23"/>
      <c r="E42" s="35" t="s">
        <v>88</v>
      </c>
      <c r="F42" s="50" t="s">
        <v>32</v>
      </c>
      <c r="G42" s="37">
        <v>77000</v>
      </c>
      <c r="H42" s="37" t="s">
        <v>49</v>
      </c>
      <c r="I42" s="37">
        <v>77000</v>
      </c>
      <c r="J42" s="26">
        <f t="shared" si="21"/>
        <v>0</v>
      </c>
      <c r="K42" s="27">
        <f>B42-A42</f>
        <v>3.6041666666642413</v>
      </c>
      <c r="L42" s="85">
        <f>'[13]Caravos Triumph'!$F$78-'[13]Caravos Triumph'!$F$73</f>
        <v>1.5416666666484766</v>
      </c>
      <c r="M42" s="28">
        <f>G42/K42</f>
        <v>21364.161849725358</v>
      </c>
      <c r="N42" s="28">
        <f>G42/L42</f>
        <v>49945.945946535256</v>
      </c>
      <c r="O42" s="86" t="s">
        <v>87</v>
      </c>
      <c r="P42" s="29">
        <f>(104274/10000)*8.7</f>
        <v>90.718379999999996</v>
      </c>
      <c r="Q42" s="29">
        <f>(85289+958)/10000*8.7</f>
        <v>75.034890000000004</v>
      </c>
      <c r="R42" s="29">
        <f t="shared" si="22"/>
        <v>15.683489999999992</v>
      </c>
      <c r="S42" s="30">
        <f t="shared" si="29"/>
        <v>0.23411688311688303</v>
      </c>
      <c r="T42" s="30">
        <f t="shared" si="23"/>
        <v>0.23962551566080967</v>
      </c>
      <c r="U42" s="29"/>
      <c r="V42" s="29"/>
      <c r="W42" s="42"/>
      <c r="X42" s="87">
        <f>14755*2.1</f>
        <v>30985.5</v>
      </c>
      <c r="Y42" s="33">
        <f>G42*2.1</f>
        <v>161700</v>
      </c>
      <c r="Z42" s="88">
        <f>G42*X42</f>
        <v>2385883500</v>
      </c>
      <c r="AA42" s="33"/>
      <c r="AB42" s="82" t="s">
        <v>70</v>
      </c>
      <c r="AC42" s="82" t="s">
        <v>70</v>
      </c>
    </row>
    <row r="43" spans="1:29" s="24" customFormat="1" ht="12.75" customHeight="1" x14ac:dyDescent="0.3">
      <c r="A43" s="439">
        <v>43432.722222222219</v>
      </c>
      <c r="B43" s="439">
        <v>43437.291666666664</v>
      </c>
      <c r="C43" s="23"/>
      <c r="D43" s="23"/>
      <c r="E43" s="35" t="s">
        <v>90</v>
      </c>
      <c r="F43" s="50" t="s">
        <v>91</v>
      </c>
      <c r="G43" s="37">
        <v>100814</v>
      </c>
      <c r="H43" s="37" t="s">
        <v>49</v>
      </c>
      <c r="I43" s="37">
        <v>159444</v>
      </c>
      <c r="J43" s="26">
        <f t="shared" si="21"/>
        <v>-58630</v>
      </c>
      <c r="K43" s="27">
        <f>B43-A43</f>
        <v>4.5694444444452529</v>
      </c>
      <c r="L43" s="85">
        <f>'[14]Golden Myrtalia'!$F$101</f>
        <v>3.1857638888723159</v>
      </c>
      <c r="M43" s="28">
        <f>G43/K43</f>
        <v>22062.638297868438</v>
      </c>
      <c r="N43" s="28">
        <f>G43/L43</f>
        <v>31645.157493352635</v>
      </c>
      <c r="O43" s="86" t="s">
        <v>87</v>
      </c>
      <c r="P43" s="29">
        <f>(261043/10000)*8.7</f>
        <v>227.10740999999996</v>
      </c>
      <c r="Q43" s="29">
        <f>(234195/10000)*8.7</f>
        <v>203.74964999999997</v>
      </c>
      <c r="R43" s="29">
        <f t="shared" si="22"/>
        <v>23.357759999999985</v>
      </c>
      <c r="S43" s="30">
        <f t="shared" si="29"/>
        <v>0.26631221854107545</v>
      </c>
      <c r="T43" s="30">
        <f t="shared" si="23"/>
        <v>0.27257838838910076</v>
      </c>
      <c r="U43" s="29"/>
      <c r="V43" s="29"/>
      <c r="W43" s="42"/>
      <c r="X43" s="87">
        <v>29929.200000000001</v>
      </c>
      <c r="Y43" s="33">
        <f>G43*2.1</f>
        <v>211709.40000000002</v>
      </c>
      <c r="Z43" s="88">
        <f>G43*X43</f>
        <v>3017282368.8000002</v>
      </c>
      <c r="AA43" s="33"/>
      <c r="AB43" s="38"/>
      <c r="AC43" s="33"/>
    </row>
    <row r="44" spans="1:29" s="24" customFormat="1" ht="12.75" customHeight="1" x14ac:dyDescent="0.3">
      <c r="A44" s="439">
        <v>43444.319444444445</v>
      </c>
      <c r="B44" s="439">
        <v>43447.145833333336</v>
      </c>
      <c r="C44" s="23"/>
      <c r="D44" s="23"/>
      <c r="E44" s="35" t="s">
        <v>92</v>
      </c>
      <c r="F44" s="25" t="s">
        <v>32</v>
      </c>
      <c r="G44" s="37">
        <v>72700</v>
      </c>
      <c r="H44" s="37" t="s">
        <v>93</v>
      </c>
      <c r="I44" s="37">
        <v>72700</v>
      </c>
      <c r="J44" s="26">
        <f t="shared" si="21"/>
        <v>0</v>
      </c>
      <c r="K44" s="27">
        <f>B44-A44</f>
        <v>2.8263888888905058</v>
      </c>
      <c r="L44" s="27">
        <f>'[15]Wooyang Banders'!$F$103</f>
        <v>1.7378472222007986</v>
      </c>
      <c r="M44" s="28">
        <f>G44/K44</f>
        <v>25721.867321852606</v>
      </c>
      <c r="N44" s="28">
        <f>G44/L44</f>
        <v>41833.366633882346</v>
      </c>
      <c r="O44" s="86" t="s">
        <v>87</v>
      </c>
      <c r="P44" s="29">
        <f>(222035/10000)*8.7</f>
        <v>193.17044999999996</v>
      </c>
      <c r="Q44" s="29">
        <f>(205840/10000)*8.7</f>
        <v>179.08079999999998</v>
      </c>
      <c r="R44" s="29">
        <f t="shared" si="22"/>
        <v>14.089649999999978</v>
      </c>
      <c r="S44" s="30">
        <f t="shared" si="29"/>
        <v>0.2227647867950478</v>
      </c>
      <c r="T44" s="30">
        <f t="shared" si="23"/>
        <v>0.22800631119022535</v>
      </c>
      <c r="U44" s="29"/>
      <c r="V44" s="29"/>
      <c r="W44" s="42"/>
      <c r="X44" s="87">
        <f>14536*2.1</f>
        <v>30525.600000000002</v>
      </c>
      <c r="Y44" s="33">
        <f>G44*2.1</f>
        <v>152670</v>
      </c>
      <c r="Z44" s="88">
        <f>G44*X44</f>
        <v>2219211120</v>
      </c>
      <c r="AA44" s="33"/>
      <c r="AB44" s="38"/>
      <c r="AC44" s="33"/>
    </row>
    <row r="45" spans="1:29" s="24" customFormat="1" ht="12.75" customHeight="1" x14ac:dyDescent="0.3">
      <c r="A45" s="439">
        <v>43452.527777777781</v>
      </c>
      <c r="B45" s="439">
        <v>43455.375</v>
      </c>
      <c r="C45" s="23"/>
      <c r="D45" s="23"/>
      <c r="E45" s="35" t="s">
        <v>94</v>
      </c>
      <c r="F45" s="25" t="s">
        <v>32</v>
      </c>
      <c r="G45" s="37">
        <v>74970</v>
      </c>
      <c r="H45" s="37" t="s">
        <v>33</v>
      </c>
      <c r="I45" s="37">
        <v>76834</v>
      </c>
      <c r="J45" s="26">
        <f t="shared" si="21"/>
        <v>-1864</v>
      </c>
      <c r="K45" s="27">
        <f>'[16]Adam I'!$F$97</f>
        <v>2.7951388888832298</v>
      </c>
      <c r="L45" s="27">
        <f>'[16]Adam I'!$F$98</f>
        <v>1.7361111111022183</v>
      </c>
      <c r="M45" s="28">
        <f>G45/K45</f>
        <v>26821.565217445608</v>
      </c>
      <c r="N45" s="28">
        <f>G45/L45</f>
        <v>43182.72000022119</v>
      </c>
      <c r="O45" s="86" t="s">
        <v>87</v>
      </c>
      <c r="P45" s="29">
        <f>(185920/10000)*8.7</f>
        <v>161.75039999999998</v>
      </c>
      <c r="Q45" s="29">
        <f>(169743/10000)*8.7</f>
        <v>147.67640999999998</v>
      </c>
      <c r="R45" s="29">
        <f t="shared" si="22"/>
        <v>14.073990000000009</v>
      </c>
      <c r="S45" s="30">
        <f t="shared" si="29"/>
        <v>0.21577964519141007</v>
      </c>
      <c r="T45" s="30">
        <f t="shared" si="23"/>
        <v>0.22085681331356088</v>
      </c>
      <c r="U45" s="29"/>
      <c r="V45" s="29"/>
      <c r="W45" s="42"/>
      <c r="X45" s="87">
        <f>14480*2.1</f>
        <v>30408</v>
      </c>
      <c r="Y45" s="33">
        <f>G45*2.1</f>
        <v>157437</v>
      </c>
      <c r="Z45" s="88">
        <f>G45*X45</f>
        <v>2279687760</v>
      </c>
      <c r="AA45" s="33"/>
      <c r="AB45" s="38"/>
      <c r="AC45" s="33"/>
    </row>
    <row r="46" spans="1:29" x14ac:dyDescent="0.3">
      <c r="A46" s="174">
        <v>43524.197916666664</v>
      </c>
      <c r="B46" s="174">
        <v>43525.940972222219</v>
      </c>
      <c r="C46" s="23"/>
      <c r="D46" s="14"/>
      <c r="E46" s="35" t="s">
        <v>297</v>
      </c>
      <c r="F46" s="25" t="s">
        <v>32</v>
      </c>
      <c r="G46" s="433">
        <v>48117</v>
      </c>
      <c r="H46" s="433"/>
      <c r="I46" s="433"/>
      <c r="J46" s="26"/>
      <c r="K46" s="27">
        <f>'[17]Phoenix Ocean'!$F$52</f>
        <v>1.7430555555547471</v>
      </c>
      <c r="L46" s="27">
        <f>'[18]Phoenix Ocean'!$F$51-'[18]Phoenix Ocean'!$F$46</f>
        <v>1.1892361111094942</v>
      </c>
      <c r="M46" s="434">
        <f t="shared" ref="M46:M51" si="30">G46/K46</f>
        <v>27604.972111566589</v>
      </c>
      <c r="N46" s="434">
        <f t="shared" ref="N46:N51" si="31">G46/L46</f>
        <v>40460.426277427272</v>
      </c>
      <c r="O46" s="434">
        <v>30000</v>
      </c>
      <c r="P46" s="69">
        <f>(176274-3500)/10000*8.7</f>
        <v>150.31338</v>
      </c>
      <c r="Q46" s="69">
        <f>(163284/10000)*8.7</f>
        <v>142.05707999999998</v>
      </c>
      <c r="R46" s="69">
        <f>(P46-Q46)</f>
        <v>8.2563000000000102</v>
      </c>
      <c r="S46" s="435">
        <f t="shared" ref="S46:S51" si="32">R46/8.7*10000/(G46)</f>
        <v>0.19722759108007593</v>
      </c>
      <c r="T46" s="435">
        <f t="shared" ref="T46:T51" si="33">R46/8.5*10000/(G46)</f>
        <v>0.20186824028196002</v>
      </c>
      <c r="U46" s="435"/>
      <c r="V46" s="436"/>
      <c r="W46" s="437"/>
      <c r="X46" s="33"/>
      <c r="Y46" s="33"/>
      <c r="Z46" s="33"/>
      <c r="AA46" s="33"/>
      <c r="AB46" s="438"/>
      <c r="AC46" s="33"/>
    </row>
    <row r="47" spans="1:29" x14ac:dyDescent="0.3">
      <c r="A47" s="174">
        <v>43499.177083333336</v>
      </c>
      <c r="B47" s="174">
        <v>43527.854166666664</v>
      </c>
      <c r="C47" s="23"/>
      <c r="D47" s="14"/>
      <c r="E47" s="35" t="s">
        <v>298</v>
      </c>
      <c r="F47" s="36" t="s">
        <v>32</v>
      </c>
      <c r="G47" s="433">
        <v>39309</v>
      </c>
      <c r="H47" s="433"/>
      <c r="I47" s="433"/>
      <c r="J47" s="26"/>
      <c r="K47" s="27">
        <f>'[19]Prema One'!$F$37</f>
        <v>1.6770833333284827</v>
      </c>
      <c r="L47" s="27">
        <f>'[18]Prema One'!$F$50-'[18]Prema One'!$F$45</f>
        <v>0.84375000002546585</v>
      </c>
      <c r="M47" s="434">
        <f t="shared" si="30"/>
        <v>23438.90683236593</v>
      </c>
      <c r="N47" s="434">
        <f t="shared" si="31"/>
        <v>46588.444443038323</v>
      </c>
      <c r="O47" s="434">
        <v>30000</v>
      </c>
      <c r="P47" s="69">
        <f>(163079/10000)*8.7</f>
        <v>141.87872999999999</v>
      </c>
      <c r="Q47" s="69">
        <f>(155269/10000)*8.7</f>
        <v>135.08402999999998</v>
      </c>
      <c r="R47" s="69">
        <f t="shared" ref="R47:R55" si="34">P47-Q47</f>
        <v>6.794700000000006</v>
      </c>
      <c r="S47" s="435">
        <f t="shared" si="32"/>
        <v>0.1986822356203416</v>
      </c>
      <c r="T47" s="435">
        <f t="shared" si="33"/>
        <v>0.20335711175258492</v>
      </c>
      <c r="U47" s="435" t="e">
        <f>S47/8.5*10000/(H47)</f>
        <v>#DIV/0!</v>
      </c>
      <c r="V47" s="436"/>
      <c r="W47" s="32"/>
      <c r="X47" s="33"/>
      <c r="Y47" s="33"/>
      <c r="Z47" s="33"/>
      <c r="AA47" s="33"/>
      <c r="AB47" s="438"/>
      <c r="AC47" s="33"/>
    </row>
    <row r="48" spans="1:29" x14ac:dyDescent="0.3">
      <c r="A48" s="174">
        <v>43532.131944444445</v>
      </c>
      <c r="B48" s="174">
        <v>43534.791666666664</v>
      </c>
      <c r="C48" s="23"/>
      <c r="D48" s="14"/>
      <c r="E48" s="35" t="s">
        <v>299</v>
      </c>
      <c r="F48" s="36" t="s">
        <v>32</v>
      </c>
      <c r="G48" s="433">
        <v>67896</v>
      </c>
      <c r="H48" s="433"/>
      <c r="I48" s="433"/>
      <c r="J48" s="26"/>
      <c r="K48" s="27">
        <f>'[19]Spring Snow'!$F$55</f>
        <v>2.6597222222189885</v>
      </c>
      <c r="L48" s="27">
        <f>'[18]Spring Snow'!$F$80-'[18]Spring Snow'!$F$75</f>
        <v>1.6736111110876664</v>
      </c>
      <c r="M48" s="434">
        <f t="shared" si="30"/>
        <v>25527.477806819548</v>
      </c>
      <c r="N48" s="434">
        <f t="shared" si="31"/>
        <v>40568.564315921001</v>
      </c>
      <c r="O48" s="434">
        <v>30000</v>
      </c>
      <c r="P48" s="69">
        <f>(149669/10000)*8.7</f>
        <v>130.21203</v>
      </c>
      <c r="Q48" s="69">
        <f>(135424/10000)*8.7</f>
        <v>117.81887999999999</v>
      </c>
      <c r="R48" s="69">
        <f t="shared" si="34"/>
        <v>12.393150000000006</v>
      </c>
      <c r="S48" s="435">
        <f t="shared" si="32"/>
        <v>0.20980617414869812</v>
      </c>
      <c r="T48" s="435">
        <f t="shared" si="33"/>
        <v>0.2147427900110204</v>
      </c>
      <c r="U48" s="435"/>
      <c r="V48" s="31"/>
      <c r="W48" s="32"/>
      <c r="X48" s="33"/>
      <c r="Y48" s="33"/>
      <c r="Z48" s="33"/>
      <c r="AA48" s="33"/>
      <c r="AB48" s="438"/>
      <c r="AC48" s="33"/>
    </row>
    <row r="49" spans="1:29" x14ac:dyDescent="0.3">
      <c r="A49" s="174">
        <v>43535.486111111109</v>
      </c>
      <c r="B49" s="439">
        <v>43539.131944444445</v>
      </c>
      <c r="C49" s="23"/>
      <c r="D49" s="23"/>
      <c r="E49" s="35" t="s">
        <v>300</v>
      </c>
      <c r="F49" s="25" t="s">
        <v>32</v>
      </c>
      <c r="G49" s="433">
        <v>69500</v>
      </c>
      <c r="H49" s="433"/>
      <c r="I49" s="433"/>
      <c r="J49" s="26"/>
      <c r="K49" s="27">
        <f>'[19]DL Acacia'!$F$52</f>
        <v>3.6458333333357587</v>
      </c>
      <c r="L49" s="27">
        <f>'[18]DL Acacia'!$F$75-'[18]DL Acacia'!$F$70</f>
        <v>1.734374999992724</v>
      </c>
      <c r="M49" s="434">
        <f t="shared" si="30"/>
        <v>19062.857142844463</v>
      </c>
      <c r="N49" s="434">
        <f t="shared" si="31"/>
        <v>40072.072072240182</v>
      </c>
      <c r="O49" s="434">
        <v>30000</v>
      </c>
      <c r="P49" s="69">
        <f>(134379/10000)*8.7</f>
        <v>116.90973</v>
      </c>
      <c r="Q49" s="69">
        <f>(118924/10000)*8.7</f>
        <v>103.46387999999999</v>
      </c>
      <c r="R49" s="69">
        <f t="shared" si="34"/>
        <v>13.445850000000007</v>
      </c>
      <c r="S49" s="435">
        <f t="shared" si="32"/>
        <v>0.22237410071942459</v>
      </c>
      <c r="T49" s="435">
        <f t="shared" si="33"/>
        <v>0.22760643250105811</v>
      </c>
      <c r="U49" s="69">
        <f>S49-T49</f>
        <v>-5.2323317816335146E-3</v>
      </c>
      <c r="V49" s="436"/>
      <c r="W49" s="437"/>
      <c r="X49" s="33"/>
      <c r="Y49" s="33"/>
      <c r="Z49" s="33"/>
      <c r="AA49" s="33"/>
      <c r="AB49" s="438"/>
      <c r="AC49" s="33"/>
    </row>
    <row r="50" spans="1:29" x14ac:dyDescent="0.3">
      <c r="A50" s="439">
        <v>43540.461805555555</v>
      </c>
      <c r="B50" s="439">
        <v>43543.350694444445</v>
      </c>
      <c r="C50" s="23"/>
      <c r="D50" s="23"/>
      <c r="E50" s="35" t="s">
        <v>301</v>
      </c>
      <c r="F50" s="25" t="s">
        <v>91</v>
      </c>
      <c r="G50" s="433">
        <v>62413</v>
      </c>
      <c r="H50" s="433"/>
      <c r="I50" s="433"/>
      <c r="J50" s="26"/>
      <c r="K50" s="27">
        <f t="shared" ref="K50:K55" si="35">B50-A50</f>
        <v>2.8888888888905058</v>
      </c>
      <c r="L50" s="27">
        <f>'[18]Star Angie'!$F$80-'[18]Star Angie'!$F$75</f>
        <v>1.812499999992724</v>
      </c>
      <c r="M50" s="434">
        <f t="shared" si="30"/>
        <v>21604.499999987907</v>
      </c>
      <c r="N50" s="434">
        <f t="shared" si="31"/>
        <v>34434.758620827888</v>
      </c>
      <c r="O50" s="434">
        <v>30000</v>
      </c>
      <c r="P50" s="69">
        <f>(117114/10000)*8.7</f>
        <v>101.88917999999998</v>
      </c>
      <c r="Q50" s="69">
        <f>(100884/10000)*8.7</f>
        <v>87.769079999999988</v>
      </c>
      <c r="R50" s="69">
        <f t="shared" si="34"/>
        <v>14.120099999999994</v>
      </c>
      <c r="S50" s="435">
        <f t="shared" si="32"/>
        <v>0.26004197843397997</v>
      </c>
      <c r="T50" s="435">
        <f t="shared" si="33"/>
        <v>0.26616061322066192</v>
      </c>
      <c r="U50" s="435"/>
      <c r="V50" s="436"/>
      <c r="W50" s="437"/>
      <c r="X50" s="33"/>
      <c r="Y50" s="33"/>
      <c r="Z50" s="33"/>
      <c r="AA50" s="33"/>
      <c r="AB50" s="438"/>
      <c r="AC50" s="33"/>
    </row>
    <row r="51" spans="1:29" x14ac:dyDescent="0.3">
      <c r="A51" s="439">
        <v>43543.996527777781</v>
      </c>
      <c r="B51" s="439">
        <v>43550.166666666664</v>
      </c>
      <c r="C51" s="23"/>
      <c r="D51" s="23"/>
      <c r="E51" s="35" t="s">
        <v>302</v>
      </c>
      <c r="F51" s="25" t="s">
        <v>91</v>
      </c>
      <c r="G51" s="433">
        <v>158175</v>
      </c>
      <c r="H51" s="433"/>
      <c r="I51" s="433"/>
      <c r="J51" s="26"/>
      <c r="K51" s="27">
        <f t="shared" si="35"/>
        <v>6.1701388888832298</v>
      </c>
      <c r="L51" s="27">
        <f>[18]Aquahaha!$F$148-[18]Aquahaha!$F$143</f>
        <v>3.5034722222299024</v>
      </c>
      <c r="M51" s="434">
        <f t="shared" si="30"/>
        <v>25635.565559955983</v>
      </c>
      <c r="N51" s="434">
        <f t="shared" si="31"/>
        <v>45148.067393359896</v>
      </c>
      <c r="O51" s="434">
        <v>30000</v>
      </c>
      <c r="P51" s="69">
        <f>(99424/10000)*8.7</f>
        <v>86.498879999999986</v>
      </c>
      <c r="Q51" s="69">
        <f>(67679/10000)*8.7</f>
        <v>58.880729999999993</v>
      </c>
      <c r="R51" s="69">
        <f t="shared" si="34"/>
        <v>27.618149999999993</v>
      </c>
      <c r="S51" s="435">
        <f t="shared" si="32"/>
        <v>0.20069543227437961</v>
      </c>
      <c r="T51" s="435">
        <f t="shared" si="33"/>
        <v>0.2054176777396591</v>
      </c>
      <c r="U51" s="435"/>
      <c r="V51" s="436"/>
      <c r="W51" s="437"/>
      <c r="X51" s="33"/>
      <c r="Y51" s="33"/>
      <c r="Z51" s="33"/>
      <c r="AA51" s="33"/>
      <c r="AB51" s="438"/>
      <c r="AC51" s="33"/>
    </row>
    <row r="52" spans="1:29" x14ac:dyDescent="0.3">
      <c r="A52" s="439">
        <v>43550.993055555555</v>
      </c>
      <c r="B52" s="439">
        <v>43557.444444444445</v>
      </c>
      <c r="C52" s="23"/>
      <c r="D52" s="23"/>
      <c r="E52" s="35" t="s">
        <v>303</v>
      </c>
      <c r="F52" s="25" t="s">
        <v>91</v>
      </c>
      <c r="G52" s="433">
        <v>153009</v>
      </c>
      <c r="H52" s="433"/>
      <c r="I52" s="433"/>
      <c r="J52" s="26"/>
      <c r="K52" s="27">
        <f t="shared" si="35"/>
        <v>6.4513888888905058</v>
      </c>
      <c r="L52" s="27">
        <f>[20]Victory!$F$144-[20]Victory!$F$139</f>
        <v>3.5243055555838509</v>
      </c>
      <c r="M52" s="434">
        <f>G52/K52</f>
        <v>23717.218514525812</v>
      </c>
      <c r="N52" s="434">
        <f>G52/L52</f>
        <v>43415.361576006115</v>
      </c>
      <c r="O52" s="434">
        <v>30000</v>
      </c>
      <c r="P52" s="69">
        <f>(66369/10000)*8.7</f>
        <v>57.741029999999995</v>
      </c>
      <c r="Q52" s="69">
        <f>(34104/10000)*8.7</f>
        <v>29.670479999999998</v>
      </c>
      <c r="R52" s="69">
        <f t="shared" si="34"/>
        <v>28.070549999999997</v>
      </c>
      <c r="S52" s="435">
        <f>R52/8.7*10000/(G52)</f>
        <v>0.21086994882653962</v>
      </c>
      <c r="T52" s="435">
        <f>R52/8.5*10000/(G52)</f>
        <v>0.21583159468128169</v>
      </c>
      <c r="U52" s="435"/>
      <c r="V52" s="436"/>
      <c r="W52" s="437"/>
      <c r="X52" s="33"/>
      <c r="Y52" s="33"/>
      <c r="Z52" s="33"/>
      <c r="AA52" s="33"/>
      <c r="AB52" s="438"/>
      <c r="AC52" s="33"/>
    </row>
    <row r="53" spans="1:29" x14ac:dyDescent="0.3">
      <c r="A53" s="439">
        <v>43558.770833333336</v>
      </c>
      <c r="B53" s="439">
        <v>43561.395833333336</v>
      </c>
      <c r="C53" s="35"/>
      <c r="D53" s="35"/>
      <c r="E53" s="35" t="s">
        <v>304</v>
      </c>
      <c r="F53" s="36" t="s">
        <v>32</v>
      </c>
      <c r="G53" s="433">
        <v>71500</v>
      </c>
      <c r="H53" s="433"/>
      <c r="I53" s="433"/>
      <c r="J53" s="433"/>
      <c r="K53" s="27">
        <f t="shared" si="35"/>
        <v>2.625</v>
      </c>
      <c r="L53" s="27">
        <f>'[20]Lake Dahlia'!$F$85-'[20]Lake Dahlia'!$F$80</f>
        <v>1.6145833333612245</v>
      </c>
      <c r="M53" s="434">
        <f>G53/K53</f>
        <v>27238.095238095237</v>
      </c>
      <c r="N53" s="434">
        <f>G53/L53</f>
        <v>44283.870966976952</v>
      </c>
      <c r="O53" s="433">
        <v>30000</v>
      </c>
      <c r="P53" s="69">
        <f>(132094/10000)*8.7</f>
        <v>114.92178</v>
      </c>
      <c r="Q53" s="69">
        <f>(117319/10000)*8.7</f>
        <v>102.06752999999999</v>
      </c>
      <c r="R53" s="69">
        <f t="shared" si="34"/>
        <v>12.854250000000008</v>
      </c>
      <c r="S53" s="435">
        <f>R53/8.7*10000/(G53)</f>
        <v>0.20664335664335676</v>
      </c>
      <c r="T53" s="435">
        <f>R53/8.5*10000/(G53)</f>
        <v>0.21150555327025927</v>
      </c>
      <c r="U53" s="443"/>
      <c r="V53" s="444"/>
      <c r="W53" s="32"/>
      <c r="X53" s="32"/>
      <c r="Y53" s="445"/>
      <c r="Z53" s="445"/>
      <c r="AA53" s="445"/>
      <c r="AB53" s="445"/>
      <c r="AC53" s="445"/>
    </row>
    <row r="54" spans="1:29" x14ac:dyDescent="0.3">
      <c r="A54" s="439">
        <v>43563.666666666664</v>
      </c>
      <c r="B54" s="439">
        <v>43567.104166666664</v>
      </c>
      <c r="C54" s="23"/>
      <c r="D54" s="23"/>
      <c r="E54" s="35" t="s">
        <v>305</v>
      </c>
      <c r="F54" s="25" t="s">
        <v>91</v>
      </c>
      <c r="G54" s="433">
        <v>81534</v>
      </c>
      <c r="H54" s="433"/>
      <c r="I54" s="433"/>
      <c r="J54" s="26"/>
      <c r="K54" s="27">
        <f t="shared" si="35"/>
        <v>3.4375</v>
      </c>
      <c r="L54" s="27">
        <f>'[20]Mineral Dragon'!$F$93-'[20]Mineral Dragon'!$F$88</f>
        <v>2.0503472222189885</v>
      </c>
      <c r="M54" s="434">
        <f>G54/K54</f>
        <v>23718.981818181819</v>
      </c>
      <c r="N54" s="434">
        <f>G54/L54</f>
        <v>39765.947502179566</v>
      </c>
      <c r="O54" s="434">
        <v>30000</v>
      </c>
      <c r="P54" s="69">
        <f>(114854/10000)*8.7</f>
        <v>99.922979999999995</v>
      </c>
      <c r="Q54" s="69">
        <f>(96714/10000)*8.7</f>
        <v>84.141179999999991</v>
      </c>
      <c r="R54" s="69">
        <f t="shared" si="34"/>
        <v>15.781800000000004</v>
      </c>
      <c r="S54" s="435">
        <f>R54/8.7*10000/(G54)</f>
        <v>0.22248387175902087</v>
      </c>
      <c r="T54" s="435">
        <f>R54/8.5*10000/(G54)</f>
        <v>0.22771878638864484</v>
      </c>
      <c r="U54" s="435"/>
      <c r="V54" s="436"/>
      <c r="W54" s="437"/>
      <c r="X54" s="33"/>
      <c r="Y54" s="33"/>
      <c r="Z54" s="33"/>
      <c r="AA54" s="33"/>
      <c r="AB54" s="438"/>
      <c r="AC54" s="33"/>
    </row>
    <row r="55" spans="1:29" x14ac:dyDescent="0.3">
      <c r="A55" s="439">
        <v>43570.614583333336</v>
      </c>
      <c r="B55" s="439">
        <v>43573.458333333336</v>
      </c>
      <c r="C55" s="23"/>
      <c r="D55" s="23"/>
      <c r="E55" s="35" t="s">
        <v>306</v>
      </c>
      <c r="F55" s="25" t="s">
        <v>32</v>
      </c>
      <c r="G55" s="433">
        <v>31734</v>
      </c>
      <c r="H55" s="433"/>
      <c r="I55" s="433"/>
      <c r="J55" s="26"/>
      <c r="K55" s="27">
        <f t="shared" si="35"/>
        <v>2.84375</v>
      </c>
      <c r="L55" s="27">
        <f>'[20]Shi Dai 9'!$F$53-'[20]Shi Dai 9'!$F$48</f>
        <v>1.2864583333284827</v>
      </c>
      <c r="M55" s="434">
        <f>G55/K55</f>
        <v>11159.208791208792</v>
      </c>
      <c r="N55" s="434">
        <f>G55/L55</f>
        <v>24667.724696449284</v>
      </c>
      <c r="O55" s="434">
        <v>30000</v>
      </c>
      <c r="P55" s="69">
        <f>(91984/10000)*8.7</f>
        <v>80.026079999999993</v>
      </c>
      <c r="Q55" s="69">
        <f>(79914/10000)*8.7</f>
        <v>69.525179999999992</v>
      </c>
      <c r="R55" s="69">
        <f t="shared" si="34"/>
        <v>10.500900000000001</v>
      </c>
      <c r="S55" s="435">
        <f>R55/8.7*10000/(G55)</f>
        <v>0.38034915232873273</v>
      </c>
      <c r="T55" s="435">
        <f>R55/8.5*10000/(G55)</f>
        <v>0.38929854414823228</v>
      </c>
      <c r="U55" s="435"/>
      <c r="V55" s="436"/>
      <c r="W55" s="437"/>
      <c r="X55" s="33"/>
      <c r="Y55" s="33"/>
      <c r="Z55" s="33"/>
      <c r="AA55" s="33"/>
      <c r="AB55" s="438"/>
      <c r="AC55" s="33"/>
    </row>
    <row r="56" spans="1:29" x14ac:dyDescent="0.3">
      <c r="A56" s="439">
        <v>43580.635416666664</v>
      </c>
      <c r="B56" s="439">
        <v>43583.40625</v>
      </c>
      <c r="C56" s="23"/>
      <c r="D56" s="23"/>
      <c r="E56" s="35" t="s">
        <v>307</v>
      </c>
      <c r="F56" s="25" t="s">
        <v>91</v>
      </c>
      <c r="G56" s="433">
        <v>64209</v>
      </c>
      <c r="H56" s="433"/>
      <c r="I56" s="433"/>
      <c r="J56" s="26"/>
      <c r="K56" s="27">
        <f t="shared" ref="K56:K62" si="36">B56-A56</f>
        <v>2.7708333333357587</v>
      </c>
      <c r="L56" s="27">
        <f>'[21]Sea Triumph'!$F$79-'[21]Sea Triumph'!$F$74</f>
        <v>1.1597222222408163</v>
      </c>
      <c r="M56" s="434">
        <f t="shared" ref="M56:M62" si="37">G56/K56</f>
        <v>23173.172932310543</v>
      </c>
      <c r="N56" s="434">
        <f>G56/L56</f>
        <v>55365.844310489549</v>
      </c>
      <c r="O56" s="434">
        <v>30000</v>
      </c>
      <c r="P56" s="69">
        <f>(170404/10000)*8.7</f>
        <v>148.25148000000002</v>
      </c>
      <c r="Q56" s="69">
        <f>(156464/10000)*8.7</f>
        <v>136.12367999999998</v>
      </c>
      <c r="R56" s="69">
        <f t="shared" ref="R56:R62" si="38">P56-Q56</f>
        <v>12.127800000000036</v>
      </c>
      <c r="S56" s="435">
        <f t="shared" ref="S56:S62" si="39">R56/8.7*10000/(G56)</f>
        <v>0.21710352131321223</v>
      </c>
      <c r="T56" s="435">
        <f t="shared" ref="T56:T62" si="40">R56/8.5*10000/(G56)</f>
        <v>0.22221183946175838</v>
      </c>
      <c r="U56" s="435"/>
      <c r="V56" s="436"/>
      <c r="W56" s="437"/>
      <c r="X56" s="33"/>
      <c r="Y56" s="33"/>
      <c r="Z56" s="33"/>
      <c r="AA56" s="33"/>
      <c r="AB56" s="438"/>
      <c r="AC56" s="33"/>
    </row>
    <row r="57" spans="1:29" x14ac:dyDescent="0.3">
      <c r="A57" s="439">
        <v>43595.631944444445</v>
      </c>
      <c r="B57" s="439">
        <v>43599.3125</v>
      </c>
      <c r="C57" s="23"/>
      <c r="D57" s="23"/>
      <c r="E57" s="35" t="s">
        <v>308</v>
      </c>
      <c r="F57" s="25" t="s">
        <v>91</v>
      </c>
      <c r="G57" s="433">
        <v>75727</v>
      </c>
      <c r="H57" s="433"/>
      <c r="I57" s="433">
        <v>165000</v>
      </c>
      <c r="J57" s="26"/>
      <c r="K57" s="27">
        <f t="shared" si="36"/>
        <v>3.6805555555547471</v>
      </c>
      <c r="L57" s="27">
        <f>'[22]CAPE CLOVER'!$F$156</f>
        <v>1.4184027777555457</v>
      </c>
      <c r="M57" s="434">
        <f t="shared" si="37"/>
        <v>20574.883018872442</v>
      </c>
      <c r="N57" s="434">
        <f t="shared" ref="N57:N62" si="41">G57/L57</f>
        <v>53388.925337434128</v>
      </c>
      <c r="O57" s="434">
        <v>30000</v>
      </c>
      <c r="P57" s="69">
        <f>(139064/10000)*8.7</f>
        <v>120.98567999999999</v>
      </c>
      <c r="Q57" s="69">
        <f>(123109/10000)*8.7</f>
        <v>107.10482999999999</v>
      </c>
      <c r="R57" s="69">
        <f t="shared" si="38"/>
        <v>13.880849999999995</v>
      </c>
      <c r="S57" s="435">
        <f t="shared" si="39"/>
        <v>0.21069103490168625</v>
      </c>
      <c r="T57" s="435">
        <f t="shared" si="40"/>
        <v>0.21564847101702006</v>
      </c>
      <c r="U57" s="69"/>
      <c r="V57" s="436"/>
      <c r="W57" s="437"/>
      <c r="X57" s="33"/>
      <c r="Y57" s="33"/>
      <c r="Z57" s="33"/>
      <c r="AA57" s="33"/>
      <c r="AB57" s="438"/>
      <c r="AC57" s="33"/>
    </row>
    <row r="58" spans="1:29" x14ac:dyDescent="0.3">
      <c r="A58" s="439">
        <v>43600.614583333336</v>
      </c>
      <c r="B58" s="439">
        <v>43603.847222222219</v>
      </c>
      <c r="C58" s="23"/>
      <c r="D58" s="14"/>
      <c r="E58" s="44" t="s">
        <v>309</v>
      </c>
      <c r="F58" s="45" t="s">
        <v>91</v>
      </c>
      <c r="G58" s="433">
        <v>57165</v>
      </c>
      <c r="H58" s="433"/>
      <c r="I58" s="433">
        <v>165000</v>
      </c>
      <c r="J58" s="26"/>
      <c r="K58" s="27">
        <f t="shared" si="36"/>
        <v>3.2326388888832298</v>
      </c>
      <c r="L58" s="27">
        <f>'[22]LOWLANDS TENACITY'!$F$137</f>
        <v>1.0954861110949423</v>
      </c>
      <c r="M58" s="434">
        <f t="shared" si="37"/>
        <v>17683.694951695834</v>
      </c>
      <c r="N58" s="434">
        <f t="shared" si="41"/>
        <v>52182.31378840885</v>
      </c>
      <c r="O58" s="434">
        <v>30000</v>
      </c>
      <c r="P58" s="69">
        <f>(121284/10000)*8.7</f>
        <v>105.51707999999998</v>
      </c>
      <c r="Q58" s="69">
        <f>(108629/10000)*8.7</f>
        <v>94.507229999999993</v>
      </c>
      <c r="R58" s="69">
        <f t="shared" si="38"/>
        <v>11.009849999999986</v>
      </c>
      <c r="S58" s="435">
        <f t="shared" si="39"/>
        <v>0.22137671652234733</v>
      </c>
      <c r="T58" s="435">
        <f t="shared" si="40"/>
        <v>0.22658558044052016</v>
      </c>
      <c r="U58" s="435"/>
      <c r="V58" s="31"/>
      <c r="W58" s="32"/>
      <c r="X58" s="33"/>
      <c r="Y58" s="33"/>
      <c r="Z58" s="33"/>
      <c r="AA58" s="33"/>
      <c r="AB58" s="438"/>
      <c r="AC58" s="33"/>
    </row>
    <row r="59" spans="1:29" x14ac:dyDescent="0.3">
      <c r="A59" s="439">
        <v>43604.989583333336</v>
      </c>
      <c r="B59" s="439">
        <v>43607.385416666664</v>
      </c>
      <c r="C59" s="23"/>
      <c r="D59" s="14"/>
      <c r="E59" s="44" t="s">
        <v>310</v>
      </c>
      <c r="F59" s="45" t="s">
        <v>32</v>
      </c>
      <c r="G59" s="433">
        <v>62698</v>
      </c>
      <c r="H59" s="433"/>
      <c r="I59" s="433">
        <v>67450</v>
      </c>
      <c r="J59" s="26"/>
      <c r="K59" s="27">
        <f t="shared" si="36"/>
        <v>2.3958333333284827</v>
      </c>
      <c r="L59" s="27">
        <f>'[22]Ocean Pride'!$F$114</f>
        <v>1.2343749999915115</v>
      </c>
      <c r="M59" s="434">
        <f t="shared" si="37"/>
        <v>26169.600000052982</v>
      </c>
      <c r="N59" s="434">
        <f t="shared" si="41"/>
        <v>50793.316456045497</v>
      </c>
      <c r="O59" s="434">
        <v>30000</v>
      </c>
      <c r="P59" s="69">
        <f>(107029/10000)*8.7</f>
        <v>93.115229999999983</v>
      </c>
      <c r="Q59" s="69">
        <f>(96094/10000)*8.7</f>
        <v>83.601780000000005</v>
      </c>
      <c r="R59" s="69">
        <f t="shared" si="38"/>
        <v>9.5134499999999775</v>
      </c>
      <c r="S59" s="435">
        <f t="shared" si="39"/>
        <v>0.17440747711250718</v>
      </c>
      <c r="T59" s="435">
        <f t="shared" si="40"/>
        <v>0.17851118245633085</v>
      </c>
      <c r="U59" s="435"/>
      <c r="V59" s="31"/>
      <c r="W59" s="32"/>
      <c r="X59" s="33"/>
      <c r="Y59" s="33"/>
      <c r="Z59" s="33"/>
      <c r="AA59" s="33"/>
      <c r="AB59" s="438"/>
      <c r="AC59" s="33"/>
    </row>
    <row r="60" spans="1:29" x14ac:dyDescent="0.3">
      <c r="A60" s="439">
        <v>43609.868055555555</v>
      </c>
      <c r="B60" s="439">
        <v>43610.548611111109</v>
      </c>
      <c r="C60" s="47"/>
      <c r="D60" s="694"/>
      <c r="E60" s="44" t="s">
        <v>311</v>
      </c>
      <c r="F60" s="45" t="s">
        <v>32</v>
      </c>
      <c r="G60" s="433">
        <v>15010</v>
      </c>
      <c r="H60" s="447"/>
      <c r="I60" s="447">
        <v>79500</v>
      </c>
      <c r="J60" s="318"/>
      <c r="K60" s="27">
        <f t="shared" si="36"/>
        <v>0.68055555555474712</v>
      </c>
      <c r="L60" s="448">
        <f>[22]GALIO!$F$40</f>
        <v>0.27777777777737356</v>
      </c>
      <c r="M60" s="434">
        <f t="shared" si="37"/>
        <v>22055.510204107832</v>
      </c>
      <c r="N60" s="434">
        <f t="shared" si="41"/>
        <v>54036.000000078631</v>
      </c>
      <c r="O60" s="449">
        <v>30000</v>
      </c>
      <c r="P60" s="69">
        <f>(92564/10000)*8.7</f>
        <v>80.53067999999999</v>
      </c>
      <c r="Q60" s="69">
        <f>(89612/10000)*8.7</f>
        <v>77.962439999999987</v>
      </c>
      <c r="R60" s="69">
        <f t="shared" si="38"/>
        <v>2.568240000000003</v>
      </c>
      <c r="S60" s="435">
        <f t="shared" si="39"/>
        <v>0.19666888740839464</v>
      </c>
      <c r="T60" s="435">
        <f t="shared" si="40"/>
        <v>0.20129639064153335</v>
      </c>
      <c r="U60" s="450"/>
      <c r="V60" s="436"/>
      <c r="W60" s="437"/>
      <c r="X60" s="33"/>
      <c r="Y60" s="33"/>
      <c r="Z60" s="33"/>
      <c r="AA60" s="33"/>
      <c r="AB60" s="695"/>
      <c r="AC60" s="33"/>
    </row>
    <row r="61" spans="1:29" x14ac:dyDescent="0.3">
      <c r="A61" s="439">
        <v>43611.875</v>
      </c>
      <c r="B61" s="439">
        <v>43613.805555555555</v>
      </c>
      <c r="C61" s="47"/>
      <c r="D61" s="694"/>
      <c r="E61" s="44" t="s">
        <v>75</v>
      </c>
      <c r="F61" s="45" t="s">
        <v>32</v>
      </c>
      <c r="G61" s="433">
        <v>55578</v>
      </c>
      <c r="H61" s="447"/>
      <c r="I61" s="447">
        <v>67900</v>
      </c>
      <c r="J61" s="318"/>
      <c r="K61" s="27">
        <f t="shared" si="36"/>
        <v>1.9305555555547471</v>
      </c>
      <c r="L61" s="448"/>
      <c r="M61" s="434">
        <f t="shared" si="37"/>
        <v>28788.60431655882</v>
      </c>
      <c r="N61" s="434"/>
      <c r="O61" s="449">
        <v>30000</v>
      </c>
      <c r="P61" s="69"/>
      <c r="Q61" s="69"/>
      <c r="R61" s="69">
        <f t="shared" si="38"/>
        <v>0</v>
      </c>
      <c r="S61" s="435">
        <f t="shared" si="39"/>
        <v>0</v>
      </c>
      <c r="T61" s="435">
        <f t="shared" si="40"/>
        <v>0</v>
      </c>
      <c r="U61" s="450"/>
      <c r="V61" s="436"/>
      <c r="W61" s="437"/>
      <c r="X61" s="33"/>
      <c r="Y61" s="33"/>
      <c r="Z61" s="33"/>
      <c r="AA61" s="33"/>
      <c r="AB61" s="695"/>
      <c r="AC61" s="33"/>
    </row>
    <row r="62" spans="1:29" x14ac:dyDescent="0.3">
      <c r="A62" s="439">
        <v>43614.888888888891</v>
      </c>
      <c r="B62" s="439">
        <v>43616.576388888891</v>
      </c>
      <c r="C62" s="47"/>
      <c r="D62" s="451"/>
      <c r="E62" s="44" t="s">
        <v>312</v>
      </c>
      <c r="F62" s="45" t="s">
        <v>32</v>
      </c>
      <c r="G62" s="433">
        <v>33607</v>
      </c>
      <c r="H62" s="447"/>
      <c r="I62" s="447">
        <v>79551</v>
      </c>
      <c r="J62" s="318"/>
      <c r="K62" s="27">
        <f t="shared" si="36"/>
        <v>1.6875</v>
      </c>
      <c r="L62" s="448">
        <f>'[22]NORD POLARIS'!$F$60</f>
        <v>0.68229166667515528</v>
      </c>
      <c r="M62" s="434">
        <f t="shared" si="37"/>
        <v>19915.259259259259</v>
      </c>
      <c r="N62" s="434">
        <f t="shared" si="41"/>
        <v>49256.061068089482</v>
      </c>
      <c r="O62" s="449">
        <v>30000</v>
      </c>
      <c r="P62" s="69">
        <f>(164958/10000)*8.7</f>
        <v>143.51345999999998</v>
      </c>
      <c r="Q62" s="69">
        <f>(158578/10000)*8.7</f>
        <v>137.96285999999998</v>
      </c>
      <c r="R62" s="69">
        <f t="shared" si="38"/>
        <v>5.5506000000000029</v>
      </c>
      <c r="S62" s="435">
        <f t="shared" si="39"/>
        <v>0.18984140208885064</v>
      </c>
      <c r="T62" s="435">
        <f t="shared" si="40"/>
        <v>0.1943082586085883</v>
      </c>
      <c r="U62" s="450"/>
      <c r="V62" s="436"/>
      <c r="W62" s="437"/>
      <c r="X62" s="33"/>
      <c r="Y62" s="33"/>
      <c r="Z62" s="33"/>
      <c r="AA62" s="33"/>
      <c r="AB62" s="452"/>
      <c r="AC62" s="33"/>
    </row>
    <row r="63" spans="1:29" x14ac:dyDescent="0.3">
      <c r="A63" s="439">
        <v>43637.774305555555</v>
      </c>
      <c r="B63" s="439">
        <v>43639.902777777781</v>
      </c>
      <c r="C63" s="23"/>
      <c r="D63" s="25"/>
      <c r="E63" s="35" t="s">
        <v>294</v>
      </c>
      <c r="F63" s="25" t="s">
        <v>32</v>
      </c>
      <c r="G63" s="433">
        <v>67043</v>
      </c>
      <c r="H63" s="433"/>
      <c r="I63" s="433">
        <v>67000</v>
      </c>
      <c r="J63" s="454">
        <f>(G63)-I63</f>
        <v>43</v>
      </c>
      <c r="K63" s="27">
        <f>B63-A63</f>
        <v>2.1284722222262644</v>
      </c>
      <c r="L63" s="27">
        <f>'[23]KARTINI BARUNA'!$F$122</f>
        <v>1.418402777765247</v>
      </c>
      <c r="M63" s="434">
        <f>G63/K63</f>
        <v>31498.179445290916</v>
      </c>
      <c r="N63" s="434">
        <f>G63/L63</f>
        <v>47266.545900050376</v>
      </c>
      <c r="O63" s="434">
        <v>30000</v>
      </c>
      <c r="P63" s="69">
        <f>(125058/10000)*8.7</f>
        <v>108.80046</v>
      </c>
      <c r="Q63" s="69">
        <f>(113233/10000)*8.7</f>
        <v>98.512709999999984</v>
      </c>
      <c r="R63" s="69">
        <f>P63-Q63</f>
        <v>10.287750000000017</v>
      </c>
      <c r="S63" s="435">
        <f>R63/8.7*10000/(G63)</f>
        <v>0.17637933863341471</v>
      </c>
      <c r="T63" s="435">
        <f>R63/8.5*10000/(G63)</f>
        <v>0.18052944071890678</v>
      </c>
      <c r="U63" s="436"/>
      <c r="V63" s="436"/>
      <c r="W63" s="437"/>
      <c r="X63" s="33"/>
      <c r="Y63" s="33"/>
      <c r="Z63" s="33"/>
      <c r="AA63" s="33"/>
      <c r="AB63" s="438"/>
      <c r="AC63" s="33"/>
    </row>
    <row r="64" spans="1:29" x14ac:dyDescent="0.3">
      <c r="A64" s="439">
        <v>43640.416666666664</v>
      </c>
      <c r="B64" s="439">
        <v>43643.614583333336</v>
      </c>
      <c r="C64" s="23"/>
      <c r="D64" s="25"/>
      <c r="E64" s="35" t="s">
        <v>313</v>
      </c>
      <c r="F64" s="25" t="s">
        <v>32</v>
      </c>
      <c r="G64" s="433">
        <v>71229</v>
      </c>
      <c r="H64" s="433"/>
      <c r="I64" s="433">
        <v>71230</v>
      </c>
      <c r="J64" s="454">
        <f>(G64)-I64</f>
        <v>-1</v>
      </c>
      <c r="K64" s="27">
        <f>B64-A64</f>
        <v>3.1979166666715173</v>
      </c>
      <c r="L64" s="27">
        <f>'[23]JIN ZHU HAI'!$F$129</f>
        <v>1.6006944444331264</v>
      </c>
      <c r="M64" s="434">
        <f>G64/K64</f>
        <v>22273.563517881525</v>
      </c>
      <c r="N64" s="434">
        <f>G64/L64</f>
        <v>44498.811280141104</v>
      </c>
      <c r="O64" s="434">
        <v>30000</v>
      </c>
      <c r="P64" s="69">
        <f>(112533/10000)*8.7</f>
        <v>97.90370999999999</v>
      </c>
      <c r="Q64" s="69">
        <f>(98858/10000)*8.7</f>
        <v>86.00645999999999</v>
      </c>
      <c r="R64" s="69">
        <f>P64-Q64</f>
        <v>11.89725</v>
      </c>
      <c r="S64" s="435">
        <f>R64/8.7*10000/(G64)</f>
        <v>0.1919864100296228</v>
      </c>
      <c r="T64" s="435">
        <f>R64/8.5*10000/(G64)</f>
        <v>0.19650373732443741</v>
      </c>
      <c r="U64" s="436"/>
      <c r="V64" s="436"/>
      <c r="W64" s="437"/>
      <c r="X64" s="33"/>
      <c r="Y64" s="33"/>
      <c r="Z64" s="33"/>
      <c r="AA64" s="33"/>
      <c r="AB64" s="438"/>
      <c r="AC64" s="33"/>
    </row>
    <row r="65" spans="1:29" x14ac:dyDescent="0.3">
      <c r="A65" s="439">
        <v>43643.857638888891</v>
      </c>
      <c r="B65" s="439">
        <v>43646.520833333336</v>
      </c>
      <c r="C65" s="23"/>
      <c r="D65" s="25"/>
      <c r="E65" s="44" t="s">
        <v>314</v>
      </c>
      <c r="F65" s="25"/>
      <c r="G65" s="433">
        <v>77000</v>
      </c>
      <c r="H65" s="433"/>
      <c r="I65" s="433">
        <v>77000</v>
      </c>
      <c r="J65" s="454">
        <f>(G65)-I65</f>
        <v>0</v>
      </c>
      <c r="K65" s="27">
        <f>B65-A65</f>
        <v>2.6631944444452529</v>
      </c>
      <c r="L65" s="27">
        <f>[23]ARISTIDIS!$F$138</f>
        <v>1.7690972222177759</v>
      </c>
      <c r="M65" s="434">
        <f>G65/K65</f>
        <v>28912.646675349763</v>
      </c>
      <c r="N65" s="434">
        <f>G65/L65</f>
        <v>43525.024533966112</v>
      </c>
      <c r="O65" s="434">
        <v>30000</v>
      </c>
      <c r="P65" s="69">
        <f>(98558/10000)*8.7</f>
        <v>85.745459999999994</v>
      </c>
      <c r="Q65" s="69">
        <f>(84418/10000)*8.7</f>
        <v>73.443659999999994</v>
      </c>
      <c r="R65" s="69">
        <f>P65-Q65</f>
        <v>12.3018</v>
      </c>
      <c r="S65" s="435">
        <f>R65/8.7*10000/(G65)</f>
        <v>0.18363636363636365</v>
      </c>
      <c r="T65" s="435">
        <f>R65/8.5*10000/(G65)</f>
        <v>0.18795721925133688</v>
      </c>
      <c r="U65" s="436"/>
      <c r="V65" s="436"/>
      <c r="W65" s="437"/>
      <c r="X65" s="33"/>
      <c r="Y65" s="33"/>
      <c r="Z65" s="33"/>
      <c r="AA65" s="33"/>
      <c r="AB65" s="438"/>
      <c r="AC65" s="33"/>
    </row>
    <row r="66" spans="1:29" x14ac:dyDescent="0.3">
      <c r="A66" s="439">
        <v>43647.173611111109</v>
      </c>
      <c r="B66" s="439">
        <v>43649.875</v>
      </c>
      <c r="C66" s="23"/>
      <c r="D66" s="23"/>
      <c r="E66" s="44" t="s">
        <v>315</v>
      </c>
      <c r="F66" s="25" t="s">
        <v>32</v>
      </c>
      <c r="G66" s="433">
        <v>67000</v>
      </c>
      <c r="H66" s="447"/>
      <c r="I66" s="447">
        <v>67000</v>
      </c>
      <c r="J66" s="454">
        <f t="shared" ref="J66:J74" si="42">(G66)-I66</f>
        <v>0</v>
      </c>
      <c r="K66" s="27">
        <f t="shared" ref="K66:K87" si="43">B66-A66</f>
        <v>2.7013888888905058</v>
      </c>
      <c r="L66" s="27">
        <f>[24]SURYAWATI!$F$120</f>
        <v>1.3854166666666667</v>
      </c>
      <c r="M66" s="434">
        <f t="shared" ref="M66:M87" si="44">G66/K66</f>
        <v>24802.05655525508</v>
      </c>
      <c r="N66" s="434">
        <f t="shared" ref="N66:N85" si="45">G66/L66</f>
        <v>48360.902255639092</v>
      </c>
      <c r="O66" s="434">
        <v>30000</v>
      </c>
      <c r="P66" s="69">
        <f>(83390/10000)*8.7</f>
        <v>72.549300000000002</v>
      </c>
      <c r="Q66" s="69">
        <f>(70462/10000)*8.7</f>
        <v>61.301939999999995</v>
      </c>
      <c r="R66" s="69">
        <f>P66-Q66</f>
        <v>11.247360000000008</v>
      </c>
      <c r="S66" s="435">
        <f t="shared" ref="S66:S71" si="46">R66/8.7*10000/(G66)</f>
        <v>0.19295522388059719</v>
      </c>
      <c r="T66" s="435">
        <f t="shared" ref="T66:T71" si="47">R66/8.5*10000/(G66)</f>
        <v>0.19749534679543473</v>
      </c>
      <c r="U66" s="436"/>
      <c r="V66" s="31"/>
      <c r="W66" s="32"/>
      <c r="X66" s="436"/>
      <c r="Y66" s="33"/>
      <c r="Z66" s="33"/>
      <c r="AA66" s="33"/>
      <c r="AB66" s="438"/>
      <c r="AC66" s="33"/>
    </row>
    <row r="67" spans="1:29" x14ac:dyDescent="0.3">
      <c r="A67" s="439">
        <v>43650.326388888891</v>
      </c>
      <c r="B67" s="439">
        <v>43653.84375</v>
      </c>
      <c r="C67" s="23"/>
      <c r="D67" s="23"/>
      <c r="E67" s="35" t="s">
        <v>316</v>
      </c>
      <c r="F67" s="25" t="s">
        <v>39</v>
      </c>
      <c r="G67" s="433">
        <v>77000</v>
      </c>
      <c r="H67" s="433"/>
      <c r="I67" s="433">
        <v>77000</v>
      </c>
      <c r="J67" s="26">
        <f t="shared" si="42"/>
        <v>0</v>
      </c>
      <c r="K67" s="27">
        <f t="shared" si="43"/>
        <v>3.5173611111094942</v>
      </c>
      <c r="L67" s="27">
        <f>'[24]CAPE RACE'!$F$152</f>
        <v>1.9236111110755398</v>
      </c>
      <c r="M67" s="434">
        <f t="shared" si="44"/>
        <v>21891.411648578673</v>
      </c>
      <c r="N67" s="434">
        <f t="shared" si="45"/>
        <v>40028.880867166205</v>
      </c>
      <c r="O67" s="434">
        <v>30000</v>
      </c>
      <c r="P67" s="69">
        <f>(69922/10000)*8.7</f>
        <v>60.832139999999995</v>
      </c>
      <c r="Q67" s="69">
        <f>(66342/10000)*8.7</f>
        <v>57.717539999999993</v>
      </c>
      <c r="R67" s="69">
        <f>(P67+13.05)-Q67</f>
        <v>16.1646</v>
      </c>
      <c r="S67" s="435">
        <f t="shared" si="46"/>
        <v>0.24129870129870129</v>
      </c>
      <c r="T67" s="435">
        <f t="shared" si="47"/>
        <v>0.24697631779984719</v>
      </c>
      <c r="U67" s="436"/>
      <c r="V67" s="436"/>
      <c r="W67" s="437"/>
      <c r="X67" s="436"/>
      <c r="Y67" s="33"/>
      <c r="Z67" s="33"/>
      <c r="AA67" s="33"/>
      <c r="AB67" s="438"/>
      <c r="AC67" s="33"/>
    </row>
    <row r="68" spans="1:29" x14ac:dyDescent="0.3">
      <c r="A68" s="439">
        <v>43654.319444444445</v>
      </c>
      <c r="B68" s="439">
        <v>43655.791666666664</v>
      </c>
      <c r="C68" s="23"/>
      <c r="D68" s="23"/>
      <c r="E68" s="35" t="s">
        <v>317</v>
      </c>
      <c r="F68" s="25" t="s">
        <v>32</v>
      </c>
      <c r="G68" s="433">
        <v>38286</v>
      </c>
      <c r="H68" s="433"/>
      <c r="I68" s="433">
        <v>66000</v>
      </c>
      <c r="J68" s="26">
        <f t="shared" si="42"/>
        <v>-27714</v>
      </c>
      <c r="K68" s="27">
        <f t="shared" si="43"/>
        <v>1.4722222222189885</v>
      </c>
      <c r="L68" s="27">
        <f>'[24]KARTINI SAMUDERA'!$F$56</f>
        <v>0.8090277777700976</v>
      </c>
      <c r="M68" s="434">
        <f t="shared" si="44"/>
        <v>26005.5849057175</v>
      </c>
      <c r="N68" s="434">
        <f t="shared" si="45"/>
        <v>47323.467811608047</v>
      </c>
      <c r="O68" s="434">
        <v>30000</v>
      </c>
      <c r="P68" s="69">
        <f>(65802/10000)*8.7</f>
        <v>57.247739999999993</v>
      </c>
      <c r="Q68" s="69">
        <f>(58522/10000)*8.7</f>
        <v>50.914139999999996</v>
      </c>
      <c r="R68" s="69">
        <f>(P68)-Q68</f>
        <v>6.333599999999997</v>
      </c>
      <c r="S68" s="435">
        <f t="shared" si="46"/>
        <v>0.19014783471765129</v>
      </c>
      <c r="T68" s="435">
        <f t="shared" si="47"/>
        <v>0.19462190141689012</v>
      </c>
      <c r="U68" s="436"/>
      <c r="V68" s="436"/>
      <c r="W68" s="437"/>
      <c r="X68" s="436"/>
      <c r="Y68" s="33"/>
      <c r="Z68" s="33"/>
      <c r="AA68" s="33"/>
      <c r="AB68" s="438"/>
      <c r="AC68" s="33"/>
    </row>
    <row r="69" spans="1:29" x14ac:dyDescent="0.3">
      <c r="A69" s="439">
        <v>43655.993055555555</v>
      </c>
      <c r="B69" s="439">
        <v>43658.847222222219</v>
      </c>
      <c r="C69" s="23"/>
      <c r="D69" s="23"/>
      <c r="E69" s="35" t="s">
        <v>318</v>
      </c>
      <c r="F69" s="25" t="s">
        <v>39</v>
      </c>
      <c r="G69" s="433">
        <v>53868</v>
      </c>
      <c r="H69" s="433"/>
      <c r="I69" s="433">
        <v>86350</v>
      </c>
      <c r="J69" s="26">
        <f t="shared" si="42"/>
        <v>-32482</v>
      </c>
      <c r="K69" s="27">
        <f t="shared" si="43"/>
        <v>2.8541666666642413</v>
      </c>
      <c r="L69" s="27">
        <f>'[24]CORONA LIONS'!$F$99</f>
        <v>1.2395833333199942</v>
      </c>
      <c r="M69" s="434">
        <f t="shared" si="44"/>
        <v>18873.459854030636</v>
      </c>
      <c r="N69" s="434">
        <f t="shared" si="45"/>
        <v>43456.537815593685</v>
      </c>
      <c r="O69" s="434">
        <v>30000</v>
      </c>
      <c r="P69" s="69">
        <f>(58522/10000)*8.7</f>
        <v>50.914139999999996</v>
      </c>
      <c r="Q69" s="69">
        <f>(75982/10000)*8.7</f>
        <v>66.104339999999993</v>
      </c>
      <c r="R69" s="69">
        <f>(P69+26.1)-Q69</f>
        <v>10.909800000000004</v>
      </c>
      <c r="S69" s="435">
        <f t="shared" si="46"/>
        <v>0.23279126754288273</v>
      </c>
      <c r="T69" s="435">
        <f t="shared" si="47"/>
        <v>0.23826870913212703</v>
      </c>
      <c r="U69" s="436"/>
      <c r="V69" s="436"/>
      <c r="W69" s="437"/>
      <c r="X69" s="436"/>
      <c r="Y69" s="33"/>
      <c r="Z69" s="33"/>
      <c r="AA69" s="33"/>
      <c r="AB69" s="438"/>
      <c r="AC69" s="33"/>
    </row>
    <row r="70" spans="1:29" x14ac:dyDescent="0.3">
      <c r="A70" s="439">
        <v>43660.173611111109</v>
      </c>
      <c r="B70" s="439">
        <v>43662.847222222219</v>
      </c>
      <c r="C70" s="23"/>
      <c r="D70" s="23"/>
      <c r="E70" s="35" t="s">
        <v>319</v>
      </c>
      <c r="F70" s="25" t="s">
        <v>32</v>
      </c>
      <c r="G70" s="433">
        <v>65601</v>
      </c>
      <c r="H70" s="433"/>
      <c r="I70" s="433">
        <v>65600</v>
      </c>
      <c r="J70" s="26">
        <f t="shared" si="42"/>
        <v>1</v>
      </c>
      <c r="K70" s="27">
        <f t="shared" si="43"/>
        <v>2.6736111111094942</v>
      </c>
      <c r="L70" s="27">
        <f>[24]KARUNIA!$F$117</f>
        <v>1.5069444444331264</v>
      </c>
      <c r="M70" s="434">
        <f t="shared" si="44"/>
        <v>24536.477922092759</v>
      </c>
      <c r="N70" s="434">
        <f t="shared" si="45"/>
        <v>43532.46082982004</v>
      </c>
      <c r="O70" s="434">
        <v>30000</v>
      </c>
      <c r="P70" s="69">
        <f>(74182/10000)*8.7</f>
        <v>64.538339999999991</v>
      </c>
      <c r="Q70" s="69">
        <f>(60202/10000)*8.7</f>
        <v>52.375739999999993</v>
      </c>
      <c r="R70" s="69">
        <f>(P70)-Q70</f>
        <v>12.162599999999998</v>
      </c>
      <c r="S70" s="435">
        <f t="shared" si="46"/>
        <v>0.21310650752275118</v>
      </c>
      <c r="T70" s="435">
        <f t="shared" si="47"/>
        <v>0.21812077828799237</v>
      </c>
      <c r="U70" s="436"/>
      <c r="V70" s="436"/>
      <c r="W70" s="437"/>
      <c r="X70" s="436"/>
      <c r="Y70" s="33"/>
      <c r="Z70" s="33"/>
      <c r="AA70" s="33"/>
      <c r="AB70" s="438"/>
      <c r="AC70" s="33"/>
    </row>
    <row r="71" spans="1:29" x14ac:dyDescent="0.3">
      <c r="A71" s="439">
        <v>43663.145833333336</v>
      </c>
      <c r="B71" s="439">
        <v>43666.833333333336</v>
      </c>
      <c r="C71" s="23"/>
      <c r="D71" s="23"/>
      <c r="E71" s="35" t="s">
        <v>320</v>
      </c>
      <c r="F71" s="110" t="s">
        <v>32</v>
      </c>
      <c r="G71" s="433">
        <v>53895</v>
      </c>
      <c r="H71" s="447"/>
      <c r="I71" s="433">
        <v>65600</v>
      </c>
      <c r="J71" s="26">
        <f t="shared" si="42"/>
        <v>-11705</v>
      </c>
      <c r="K71" s="27">
        <f t="shared" si="43"/>
        <v>3.6875</v>
      </c>
      <c r="L71" s="448">
        <f>'[24]SHAO SHAN 6'!$F$116</f>
        <v>1.1006944444112985</v>
      </c>
      <c r="M71" s="434">
        <f t="shared" si="44"/>
        <v>14615.593220338984</v>
      </c>
      <c r="N71" s="434">
        <f t="shared" si="45"/>
        <v>48964.542588225289</v>
      </c>
      <c r="O71" s="449">
        <v>30000</v>
      </c>
      <c r="P71" s="69">
        <f>(59732/10000)*8.7</f>
        <v>51.966839999999998</v>
      </c>
      <c r="Q71" s="69">
        <f>(77042/10000)*8.7</f>
        <v>67.026539999999997</v>
      </c>
      <c r="R71" s="69">
        <f>(P71+26.1)-Q71</f>
        <v>11.040300000000002</v>
      </c>
      <c r="S71" s="435">
        <f t="shared" si="46"/>
        <v>0.23545783467854167</v>
      </c>
      <c r="T71" s="435">
        <f t="shared" si="47"/>
        <v>0.24099801902391912</v>
      </c>
      <c r="U71" s="436"/>
      <c r="V71" s="436"/>
      <c r="W71" s="437"/>
      <c r="X71" s="455"/>
      <c r="Y71" s="33"/>
      <c r="Z71" s="33"/>
      <c r="AA71" s="33"/>
      <c r="AB71" s="696"/>
      <c r="AC71" s="33"/>
    </row>
    <row r="72" spans="1:29" x14ac:dyDescent="0.3">
      <c r="A72" s="439">
        <v>43667.427083333336</v>
      </c>
      <c r="B72" s="439">
        <v>43669.902777777781</v>
      </c>
      <c r="C72" s="23"/>
      <c r="D72" s="23"/>
      <c r="E72" s="35" t="s">
        <v>71</v>
      </c>
      <c r="F72" s="110" t="s">
        <v>32</v>
      </c>
      <c r="G72" s="433">
        <v>67018</v>
      </c>
      <c r="H72" s="447"/>
      <c r="I72" s="433">
        <v>67000</v>
      </c>
      <c r="J72" s="26">
        <f t="shared" si="42"/>
        <v>18</v>
      </c>
      <c r="K72" s="27">
        <f t="shared" si="43"/>
        <v>2.4756944444452529</v>
      </c>
      <c r="L72" s="448">
        <f>'[24]CHANDRA KIRANA'!$F$105</f>
        <v>1.4045138888929312</v>
      </c>
      <c r="M72" s="434">
        <f t="shared" si="44"/>
        <v>27070.384291716266</v>
      </c>
      <c r="N72" s="434">
        <f t="shared" si="45"/>
        <v>47716.15327551162</v>
      </c>
      <c r="O72" s="449">
        <v>30000</v>
      </c>
      <c r="P72" s="69">
        <f>(76042/10000)*8.7</f>
        <v>66.156539999999993</v>
      </c>
      <c r="Q72" s="69">
        <f>(64087/10000)*8.7</f>
        <v>55.755689999999994</v>
      </c>
      <c r="R72" s="69">
        <f>(P72)-Q72</f>
        <v>10.400849999999998</v>
      </c>
      <c r="S72" s="435">
        <f>R72/8.7*10000/(G72)</f>
        <v>0.17838491151630906</v>
      </c>
      <c r="T72" s="435">
        <f>R72/8.5*10000/(G72)</f>
        <v>0.1825822035519869</v>
      </c>
      <c r="U72" s="436"/>
      <c r="V72" s="436"/>
      <c r="W72" s="437"/>
      <c r="X72" s="455"/>
      <c r="Y72" s="33"/>
      <c r="Z72" s="33"/>
      <c r="AA72" s="33"/>
      <c r="AB72" s="696"/>
      <c r="AC72" s="33"/>
    </row>
    <row r="73" spans="1:29" x14ac:dyDescent="0.3">
      <c r="A73" s="439">
        <v>43670.409722222219</v>
      </c>
      <c r="B73" s="439">
        <v>43674.541666666664</v>
      </c>
      <c r="C73" s="23"/>
      <c r="D73" s="23"/>
      <c r="E73" s="35" t="s">
        <v>321</v>
      </c>
      <c r="F73" s="110" t="s">
        <v>39</v>
      </c>
      <c r="G73" s="433">
        <v>77000</v>
      </c>
      <c r="H73" s="447"/>
      <c r="I73" s="447">
        <v>77000</v>
      </c>
      <c r="J73" s="318">
        <f t="shared" si="42"/>
        <v>0</v>
      </c>
      <c r="K73" s="27">
        <f t="shared" si="43"/>
        <v>4.1319444444452529</v>
      </c>
      <c r="L73" s="448">
        <f>'[24]SPRING WEALTH'!$F$109</f>
        <v>1.6163194444440403</v>
      </c>
      <c r="M73" s="434">
        <f t="shared" si="44"/>
        <v>18635.294117643414</v>
      </c>
      <c r="N73" s="434">
        <f t="shared" si="45"/>
        <v>47639.097744372812</v>
      </c>
      <c r="O73" s="449">
        <v>30000</v>
      </c>
      <c r="P73" s="69">
        <f>(64147/10000)*8.7</f>
        <v>55.807889999999993</v>
      </c>
      <c r="Q73" s="69">
        <f>(75827/10000)*8.7</f>
        <v>65.969489999999993</v>
      </c>
      <c r="R73" s="69">
        <f>(P73+26.1)-Q73</f>
        <v>15.938400000000001</v>
      </c>
      <c r="S73" s="435">
        <f>R73/8.7*10000/(G73)</f>
        <v>0.23792207792207798</v>
      </c>
      <c r="T73" s="435">
        <f>R73/8.5*10000/(G73)</f>
        <v>0.24352024446142095</v>
      </c>
      <c r="U73" s="436"/>
      <c r="V73" s="436"/>
      <c r="W73" s="437"/>
      <c r="X73" s="455"/>
      <c r="Y73" s="33"/>
      <c r="Z73" s="33"/>
      <c r="AA73" s="33"/>
      <c r="AB73" s="696"/>
      <c r="AC73" s="33"/>
    </row>
    <row r="74" spans="1:29" x14ac:dyDescent="0.3">
      <c r="A74" s="439">
        <v>43675.020833333336</v>
      </c>
      <c r="B74" s="439">
        <v>43677.798611111109</v>
      </c>
      <c r="C74" s="23"/>
      <c r="D74" s="23"/>
      <c r="E74" s="35" t="s">
        <v>322</v>
      </c>
      <c r="F74" s="25" t="s">
        <v>32</v>
      </c>
      <c r="G74" s="433">
        <v>72016</v>
      </c>
      <c r="H74" s="456"/>
      <c r="I74" s="433">
        <v>72000</v>
      </c>
      <c r="J74" s="318">
        <f t="shared" si="42"/>
        <v>16</v>
      </c>
      <c r="K74" s="27">
        <f t="shared" si="43"/>
        <v>2.7777777777737356</v>
      </c>
      <c r="L74" s="27">
        <f>'[24]CEMTEX VENTURE'!$F$119</f>
        <v>1.6249999999987874</v>
      </c>
      <c r="M74" s="434">
        <f t="shared" si="44"/>
        <v>25925.760000037728</v>
      </c>
      <c r="N74" s="434">
        <f t="shared" si="45"/>
        <v>44317.53846157153</v>
      </c>
      <c r="O74" s="449">
        <v>30000</v>
      </c>
      <c r="P74" s="69">
        <f>(75227/10000)*8.7</f>
        <v>65.447490000000002</v>
      </c>
      <c r="Q74" s="69">
        <f>(61777/10000)*8.7</f>
        <v>53.745989999999992</v>
      </c>
      <c r="R74" s="69">
        <f>(P74)-Q74</f>
        <v>11.70150000000001</v>
      </c>
      <c r="S74" s="435">
        <f>R74/8.7*10000/(G74)</f>
        <v>0.1867640524327929</v>
      </c>
      <c r="T74" s="435">
        <f>R74/8.5*10000/(G74)</f>
        <v>0.19115850072532919</v>
      </c>
      <c r="U74" s="436"/>
      <c r="V74" s="436"/>
      <c r="W74" s="437"/>
      <c r="X74" s="455"/>
      <c r="Y74" s="33"/>
      <c r="Z74" s="33"/>
      <c r="AA74" s="33"/>
      <c r="AB74" s="438"/>
      <c r="AC74" s="33"/>
    </row>
    <row r="75" spans="1:29" x14ac:dyDescent="0.3">
      <c r="A75" s="439">
        <v>43678.069444444445</v>
      </c>
      <c r="B75" s="439">
        <v>43681.333333333336</v>
      </c>
      <c r="C75" s="23"/>
      <c r="D75" s="23"/>
      <c r="E75" s="35" t="s">
        <v>236</v>
      </c>
      <c r="F75" s="25" t="s">
        <v>32</v>
      </c>
      <c r="G75" s="433">
        <v>54166</v>
      </c>
      <c r="H75" s="433"/>
      <c r="I75" s="433">
        <v>55416</v>
      </c>
      <c r="J75" s="26"/>
      <c r="K75" s="27">
        <f t="shared" si="43"/>
        <v>3.2638888888905058</v>
      </c>
      <c r="L75" s="27">
        <f>'[25]YUE DIAN 8'!$F$114</f>
        <v>1.2795138888929312</v>
      </c>
      <c r="M75" s="434">
        <f t="shared" si="44"/>
        <v>16595.540425523694</v>
      </c>
      <c r="N75" s="434">
        <f t="shared" si="45"/>
        <v>42333.264586026366</v>
      </c>
      <c r="O75" s="434">
        <v>30000</v>
      </c>
      <c r="P75" s="69">
        <f>(61377/10000)*8.7</f>
        <v>53.397989999999993</v>
      </c>
      <c r="Q75" s="69">
        <f>(76827/10000)*8.7</f>
        <v>66.839489999999998</v>
      </c>
      <c r="R75" s="69">
        <f>(P75+26.1)-Q75</f>
        <v>12.658499999999989</v>
      </c>
      <c r="S75" s="435">
        <f t="shared" ref="S75:S80" si="48">R75/8.7*10000/(G75)</f>
        <v>0.26861869069157757</v>
      </c>
      <c r="T75" s="435">
        <f t="shared" ref="T75:T80" si="49">R75/8.5*10000/(G75)</f>
        <v>0.27493913047255586</v>
      </c>
      <c r="U75" s="436"/>
      <c r="V75" s="436"/>
      <c r="W75" s="437"/>
      <c r="X75" s="436"/>
      <c r="Y75" s="33"/>
      <c r="Z75" s="33"/>
      <c r="AA75" s="33"/>
      <c r="AB75" s="438"/>
      <c r="AC75" s="33"/>
    </row>
    <row r="76" spans="1:29" x14ac:dyDescent="0.3">
      <c r="A76" s="439">
        <v>43683.302083333336</v>
      </c>
      <c r="B76" s="439">
        <v>43686.930555555555</v>
      </c>
      <c r="C76" s="23"/>
      <c r="D76" s="23"/>
      <c r="E76" s="35" t="s">
        <v>323</v>
      </c>
      <c r="F76" s="110" t="s">
        <v>32</v>
      </c>
      <c r="G76" s="433">
        <v>74341</v>
      </c>
      <c r="H76" s="433"/>
      <c r="I76" s="433">
        <v>74350</v>
      </c>
      <c r="J76" s="26">
        <f t="shared" ref="J76:J82" si="50">(G76)-I76</f>
        <v>-9</v>
      </c>
      <c r="K76" s="27">
        <f t="shared" si="43"/>
        <v>3.6284722222189885</v>
      </c>
      <c r="L76" s="27">
        <f>[25]CORONIS!$F$128</f>
        <v>1.8263888888674653</v>
      </c>
      <c r="M76" s="434">
        <f t="shared" si="44"/>
        <v>20488.237320592423</v>
      </c>
      <c r="N76" s="434">
        <f t="shared" si="45"/>
        <v>40703.817490971756</v>
      </c>
      <c r="O76" s="434">
        <v>30000</v>
      </c>
      <c r="P76" s="69">
        <f>(73967/10000)*8.7</f>
        <v>64.351289999999992</v>
      </c>
      <c r="Q76" s="69">
        <f>(57967/10000)*8.7</f>
        <v>50.431289999999997</v>
      </c>
      <c r="R76" s="69">
        <f>(P76)-Q76</f>
        <v>13.919999999999995</v>
      </c>
      <c r="S76" s="435">
        <f t="shared" si="48"/>
        <v>0.21522443873501829</v>
      </c>
      <c r="T76" s="435">
        <f t="shared" si="49"/>
        <v>0.22028854317584223</v>
      </c>
      <c r="U76" s="436"/>
      <c r="V76" s="436"/>
      <c r="W76" s="437"/>
      <c r="X76" s="436"/>
      <c r="Y76" s="33"/>
      <c r="Z76" s="33"/>
      <c r="AA76" s="33"/>
      <c r="AB76" s="438"/>
      <c r="AC76" s="82"/>
    </row>
    <row r="77" spans="1:29" x14ac:dyDescent="0.3">
      <c r="A77" s="439">
        <v>43687.166666666664</v>
      </c>
      <c r="B77" s="439">
        <v>43689.75</v>
      </c>
      <c r="C77" s="23"/>
      <c r="D77" s="23"/>
      <c r="E77" s="35" t="s">
        <v>103</v>
      </c>
      <c r="F77" s="110" t="s">
        <v>32</v>
      </c>
      <c r="G77" s="433">
        <v>67026</v>
      </c>
      <c r="H77" s="433"/>
      <c r="I77" s="433">
        <v>67000</v>
      </c>
      <c r="J77" s="26">
        <f t="shared" si="50"/>
        <v>26</v>
      </c>
      <c r="K77" s="27">
        <f t="shared" si="43"/>
        <v>2.5833333333357587</v>
      </c>
      <c r="L77" s="27">
        <f>'[25]DEWI PARWATI'!$F$103</f>
        <v>1.4357638889111211</v>
      </c>
      <c r="M77" s="434">
        <f t="shared" si="44"/>
        <v>25945.548387072417</v>
      </c>
      <c r="N77" s="434">
        <f t="shared" si="45"/>
        <v>46683.163239905909</v>
      </c>
      <c r="O77" s="434">
        <v>30000</v>
      </c>
      <c r="P77" s="69">
        <f>(57727/10000)*8.7</f>
        <v>50.222490000000001</v>
      </c>
      <c r="Q77" s="69">
        <f>(42562/10000)*8.7</f>
        <v>37.028939999999992</v>
      </c>
      <c r="R77" s="69">
        <f>(P77)-Q77</f>
        <v>13.193550000000009</v>
      </c>
      <c r="S77" s="435">
        <f t="shared" si="48"/>
        <v>0.22625548294691628</v>
      </c>
      <c r="T77" s="435">
        <f t="shared" si="49"/>
        <v>0.23157914136919666</v>
      </c>
      <c r="U77" s="436"/>
      <c r="V77" s="436"/>
      <c r="W77" s="437"/>
      <c r="X77" s="436"/>
      <c r="Y77" s="33"/>
      <c r="Z77" s="33"/>
      <c r="AA77" s="33"/>
      <c r="AB77" s="438"/>
      <c r="AC77" s="82"/>
    </row>
    <row r="78" spans="1:29" x14ac:dyDescent="0.3">
      <c r="A78" s="439">
        <v>43690.309027777781</v>
      </c>
      <c r="B78" s="439">
        <v>43693.5</v>
      </c>
      <c r="C78" s="23"/>
      <c r="D78" s="23"/>
      <c r="E78" s="35" t="s">
        <v>324</v>
      </c>
      <c r="F78" s="25" t="s">
        <v>32</v>
      </c>
      <c r="G78" s="433">
        <v>41936</v>
      </c>
      <c r="H78" s="433"/>
      <c r="I78" s="433">
        <v>74850</v>
      </c>
      <c r="J78" s="26">
        <f t="shared" si="50"/>
        <v>-32914</v>
      </c>
      <c r="K78" s="27">
        <f t="shared" si="43"/>
        <v>3.1909722222189885</v>
      </c>
      <c r="L78" s="27">
        <f>'[25]SHI DAI 8'!$F$93</f>
        <v>0.88541666667394259</v>
      </c>
      <c r="M78" s="434">
        <f t="shared" si="44"/>
        <v>13142.076169763046</v>
      </c>
      <c r="N78" s="434">
        <f t="shared" si="45"/>
        <v>47363.011764316674</v>
      </c>
      <c r="O78" s="434">
        <v>30000</v>
      </c>
      <c r="P78" s="69">
        <f>(41432/10000)*8.7</f>
        <v>36.045839999999998</v>
      </c>
      <c r="Q78" s="69">
        <f>(50992/10000)*8.7</f>
        <v>44.363039999999991</v>
      </c>
      <c r="R78" s="69">
        <f>(P78+17.4)-Q78</f>
        <v>9.082800000000006</v>
      </c>
      <c r="S78" s="435">
        <f t="shared" si="48"/>
        <v>0.24895078214421992</v>
      </c>
      <c r="T78" s="435">
        <f t="shared" si="49"/>
        <v>0.25480844760643689</v>
      </c>
      <c r="U78" s="436"/>
      <c r="V78" s="436"/>
      <c r="W78" s="437"/>
      <c r="X78" s="436"/>
      <c r="Y78" s="33"/>
      <c r="Z78" s="33"/>
      <c r="AA78" s="33"/>
      <c r="AB78" s="438"/>
      <c r="AC78" s="82"/>
    </row>
    <row r="79" spans="1:29" x14ac:dyDescent="0.3">
      <c r="A79" s="439">
        <v>43693.777777777781</v>
      </c>
      <c r="B79" s="439">
        <v>43697.1875</v>
      </c>
      <c r="C79" s="23"/>
      <c r="D79" s="23"/>
      <c r="E79" s="35" t="s">
        <v>325</v>
      </c>
      <c r="F79" s="25" t="s">
        <v>32</v>
      </c>
      <c r="G79" s="433">
        <v>71502</v>
      </c>
      <c r="H79" s="433"/>
      <c r="I79" s="433">
        <v>71502</v>
      </c>
      <c r="J79" s="26">
        <f t="shared" si="50"/>
        <v>0</v>
      </c>
      <c r="K79" s="27">
        <f t="shared" si="43"/>
        <v>3.4097222222189885</v>
      </c>
      <c r="L79" s="27">
        <f>'[25]TAI HANG 9'!$F$121</f>
        <v>1.5451388888820172</v>
      </c>
      <c r="M79" s="434">
        <f t="shared" si="44"/>
        <v>20970.036659897687</v>
      </c>
      <c r="N79" s="434">
        <f t="shared" si="45"/>
        <v>46275.451685599059</v>
      </c>
      <c r="O79" s="434">
        <v>30000</v>
      </c>
      <c r="P79" s="69">
        <f>(50692/10000)*8.7</f>
        <v>44.102040000000002</v>
      </c>
      <c r="Q79" s="69">
        <f>(61201/10000)*8.7</f>
        <v>53.244869999999992</v>
      </c>
      <c r="R79" s="69">
        <f>(P79+21.77)-Q79</f>
        <v>12.627170000000007</v>
      </c>
      <c r="S79" s="435">
        <f t="shared" si="48"/>
        <v>0.20298716827147681</v>
      </c>
      <c r="T79" s="435">
        <f t="shared" si="49"/>
        <v>0.207763336936688</v>
      </c>
      <c r="U79" s="436"/>
      <c r="V79" s="436"/>
      <c r="W79" s="437"/>
      <c r="X79" s="436"/>
      <c r="Y79" s="33"/>
      <c r="Z79" s="33"/>
      <c r="AA79" s="33"/>
      <c r="AB79" s="438"/>
      <c r="AC79" s="82"/>
    </row>
    <row r="80" spans="1:29" x14ac:dyDescent="0.3">
      <c r="A80" s="439">
        <v>43698.027777777781</v>
      </c>
      <c r="B80" s="439">
        <v>43699.125</v>
      </c>
      <c r="C80" s="23"/>
      <c r="D80" s="23"/>
      <c r="E80" s="35" t="s">
        <v>326</v>
      </c>
      <c r="F80" s="110" t="s">
        <v>32</v>
      </c>
      <c r="G80" s="433">
        <v>25517</v>
      </c>
      <c r="H80" s="433"/>
      <c r="I80" s="433">
        <v>71300</v>
      </c>
      <c r="J80" s="26">
        <f t="shared" si="50"/>
        <v>-45783</v>
      </c>
      <c r="K80" s="27">
        <f t="shared" si="43"/>
        <v>1.0972222222189885</v>
      </c>
      <c r="L80" s="27">
        <f>'[25]RUI NING 22'!$F$46</f>
        <v>0.57812499999636202</v>
      </c>
      <c r="M80" s="434">
        <f t="shared" si="44"/>
        <v>23256.00000006854</v>
      </c>
      <c r="N80" s="434">
        <f t="shared" si="45"/>
        <v>44137.513513791258</v>
      </c>
      <c r="O80" s="434">
        <v>30000</v>
      </c>
      <c r="P80" s="69">
        <v>77.39</v>
      </c>
      <c r="Q80" s="69">
        <v>73.37</v>
      </c>
      <c r="R80" s="69">
        <f>(P80)-Q80</f>
        <v>4.019999999999996</v>
      </c>
      <c r="S80" s="435">
        <f t="shared" si="48"/>
        <v>0.18108279402642979</v>
      </c>
      <c r="T80" s="435">
        <f t="shared" si="49"/>
        <v>0.18534356565058108</v>
      </c>
      <c r="U80" s="436"/>
      <c r="V80" s="436"/>
      <c r="W80" s="437"/>
      <c r="X80" s="436"/>
      <c r="Y80" s="33"/>
      <c r="Z80" s="33"/>
      <c r="AA80" s="33"/>
      <c r="AB80" s="438"/>
      <c r="AC80" s="82"/>
    </row>
    <row r="81" spans="1:29" x14ac:dyDescent="0.3">
      <c r="A81" s="439">
        <v>43699.666666666664</v>
      </c>
      <c r="B81" s="439">
        <v>43700.111111111109</v>
      </c>
      <c r="C81" s="13"/>
      <c r="D81" s="13"/>
      <c r="E81" s="35" t="s">
        <v>64</v>
      </c>
      <c r="F81" s="110" t="s">
        <v>32</v>
      </c>
      <c r="G81" s="433">
        <v>17770</v>
      </c>
      <c r="H81" s="457"/>
      <c r="I81" s="433">
        <v>23533</v>
      </c>
      <c r="J81" s="26">
        <f t="shared" si="50"/>
        <v>-5763</v>
      </c>
      <c r="K81" s="27">
        <f t="shared" si="43"/>
        <v>0.44444444444525288</v>
      </c>
      <c r="L81" s="27">
        <f>'[25]ZHENG HAO'!$F$42</f>
        <v>0.36111111110221827</v>
      </c>
      <c r="M81" s="434">
        <f t="shared" si="44"/>
        <v>39982.49999992727</v>
      </c>
      <c r="N81" s="434">
        <f t="shared" si="45"/>
        <v>49209.230770442613</v>
      </c>
      <c r="O81" s="434">
        <v>30000</v>
      </c>
      <c r="P81" s="69">
        <f>(83461/10000)*8.7</f>
        <v>72.611069999999998</v>
      </c>
      <c r="Q81" s="69">
        <f>(80681/10000)*8.7</f>
        <v>70.192469999999986</v>
      </c>
      <c r="R81" s="69">
        <f>(P81)-Q81</f>
        <v>2.4186000000000121</v>
      </c>
      <c r="S81" s="435">
        <f>R81/8.7*10000/(G81)</f>
        <v>0.15644344400675375</v>
      </c>
      <c r="T81" s="435">
        <f>R81/8.5*10000/(G81)</f>
        <v>0.16012446621867732</v>
      </c>
      <c r="U81" s="458"/>
      <c r="V81" s="458"/>
      <c r="W81" s="459"/>
      <c r="X81" s="436"/>
      <c r="Y81" s="33"/>
      <c r="Z81" s="33"/>
      <c r="AA81" s="19"/>
      <c r="AB81" s="460"/>
      <c r="AC81" s="19"/>
    </row>
    <row r="82" spans="1:29" x14ac:dyDescent="0.3">
      <c r="A82" s="439">
        <v>43706.423611111109</v>
      </c>
      <c r="B82" s="439">
        <v>43707.777777777781</v>
      </c>
      <c r="C82" s="13"/>
      <c r="D82" s="13"/>
      <c r="E82" s="35" t="s">
        <v>327</v>
      </c>
      <c r="F82" s="110" t="s">
        <v>32</v>
      </c>
      <c r="G82" s="433">
        <v>31251</v>
      </c>
      <c r="H82" s="457"/>
      <c r="I82" s="433">
        <v>67000</v>
      </c>
      <c r="J82" s="26">
        <f t="shared" si="50"/>
        <v>-35749</v>
      </c>
      <c r="K82" s="27">
        <f t="shared" si="43"/>
        <v>1.3541666666715173</v>
      </c>
      <c r="L82" s="27">
        <f>'[25]PERMATA CAROLINE'!$F$56</f>
        <v>0.62673611111313221</v>
      </c>
      <c r="M82" s="434">
        <f t="shared" si="44"/>
        <v>23077.661538378874</v>
      </c>
      <c r="N82" s="434">
        <f>G82/L82</f>
        <v>49863.091412581583</v>
      </c>
      <c r="O82" s="434">
        <v>30000</v>
      </c>
      <c r="P82" s="69">
        <f>(67186/10000)*8.7</f>
        <v>58.451819999999998</v>
      </c>
      <c r="Q82" s="69">
        <f>(61846/10000)*8.7</f>
        <v>53.80601999999999</v>
      </c>
      <c r="R82" s="69">
        <f>(P82)-Q82</f>
        <v>4.6458000000000084</v>
      </c>
      <c r="S82" s="435">
        <f>R82/8.7*10000/(G82)</f>
        <v>0.17087453201497585</v>
      </c>
      <c r="T82" s="435">
        <f>R82/8.5*10000/(G82)</f>
        <v>0.17489510923885762</v>
      </c>
      <c r="U82" s="458"/>
      <c r="V82" s="458"/>
      <c r="W82" s="459"/>
      <c r="X82" s="436"/>
      <c r="Y82" s="33"/>
      <c r="Z82" s="33"/>
      <c r="AA82" s="19"/>
      <c r="AB82" s="460"/>
      <c r="AC82" s="19"/>
    </row>
    <row r="83" spans="1:29" x14ac:dyDescent="0.3">
      <c r="A83" s="439">
        <v>43735.541666666664</v>
      </c>
      <c r="B83" s="439">
        <v>43738.694444444445</v>
      </c>
      <c r="C83" s="23"/>
      <c r="D83" s="23"/>
      <c r="E83" s="35" t="s">
        <v>63</v>
      </c>
      <c r="F83" s="461" t="s">
        <v>328</v>
      </c>
      <c r="G83" s="433">
        <v>69660</v>
      </c>
      <c r="H83" s="433"/>
      <c r="I83" s="433">
        <v>71000</v>
      </c>
      <c r="J83" s="26">
        <f>(G83)-I83</f>
        <v>-1340</v>
      </c>
      <c r="K83" s="27">
        <f t="shared" si="43"/>
        <v>3.1527777777810115</v>
      </c>
      <c r="L83" s="27">
        <f>'[26]JK PIONEER'!$F$120</f>
        <v>1.6805555555244307</v>
      </c>
      <c r="M83" s="434">
        <f t="shared" si="44"/>
        <v>22094.801762091876</v>
      </c>
      <c r="N83" s="434">
        <f>G83/L83</f>
        <v>41450.578513164386</v>
      </c>
      <c r="O83" s="434">
        <v>30000</v>
      </c>
      <c r="P83" s="69">
        <f>(190905/10000)*8.7</f>
        <v>166.08734999999999</v>
      </c>
      <c r="Q83" s="69">
        <f>(173286/10000)*8.7</f>
        <v>150.75882000000001</v>
      </c>
      <c r="R83" s="69">
        <f>(P83)-Q83</f>
        <v>15.328529999999972</v>
      </c>
      <c r="S83" s="435">
        <f>R83/8.7*10000/(G83)</f>
        <v>0.25292850990525367</v>
      </c>
      <c r="T83" s="435">
        <f>R83/8.5*10000/(G83)</f>
        <v>0.25887976896184783</v>
      </c>
      <c r="U83" s="436"/>
      <c r="V83" s="436"/>
      <c r="W83" s="437"/>
      <c r="X83" s="455"/>
      <c r="Y83" s="33"/>
      <c r="Z83" s="33"/>
      <c r="AA83" s="33"/>
      <c r="AB83" s="438"/>
      <c r="AC83" s="33"/>
    </row>
    <row r="84" spans="1:29" x14ac:dyDescent="0.3">
      <c r="A84" s="439">
        <v>43741.090277777781</v>
      </c>
      <c r="B84" s="439">
        <v>43743.652777777781</v>
      </c>
      <c r="C84" s="23"/>
      <c r="D84" s="23"/>
      <c r="E84" s="35" t="s">
        <v>329</v>
      </c>
      <c r="F84" s="110" t="s">
        <v>328</v>
      </c>
      <c r="G84" s="433">
        <v>63750</v>
      </c>
      <c r="H84" s="433"/>
      <c r="I84" s="433">
        <v>63750</v>
      </c>
      <c r="J84" s="26">
        <f t="shared" ref="J84:J89" si="51">(G84)-I84</f>
        <v>0</v>
      </c>
      <c r="K84" s="27">
        <f t="shared" si="43"/>
        <v>2.5625</v>
      </c>
      <c r="L84" s="27">
        <f>'[27]GUAN LAN HU'!$F$90</f>
        <v>1.4722222222335404</v>
      </c>
      <c r="M84" s="462">
        <f t="shared" si="44"/>
        <v>24878.048780487807</v>
      </c>
      <c r="N84" s="462">
        <f t="shared" si="45"/>
        <v>43301.886792119934</v>
      </c>
      <c r="O84" s="434">
        <v>30000</v>
      </c>
      <c r="P84" s="69">
        <f>(169433/10000)*8.7</f>
        <v>147.40671</v>
      </c>
      <c r="Q84" s="69">
        <f>(152196/10000)*8.7</f>
        <v>132.41051999999999</v>
      </c>
      <c r="R84" s="69">
        <f t="shared" ref="R84:R89" si="52">(P84)-Q84</f>
        <v>14.996190000000013</v>
      </c>
      <c r="S84" s="435">
        <f t="shared" ref="S84:S89" si="53">R84/8.7*10000/(G84)</f>
        <v>0.27038431372549043</v>
      </c>
      <c r="T84" s="435">
        <f t="shared" ref="T84:T89" si="54">R84/8.5*10000/(G84)</f>
        <v>0.27674629757785491</v>
      </c>
      <c r="U84" s="436"/>
      <c r="V84" s="436"/>
      <c r="W84" s="437"/>
      <c r="X84" s="455"/>
      <c r="Y84" s="33"/>
      <c r="Z84" s="33"/>
      <c r="AA84" s="33"/>
      <c r="AB84" s="438"/>
      <c r="AC84" s="33"/>
    </row>
    <row r="85" spans="1:29" x14ac:dyDescent="0.3">
      <c r="A85" s="439">
        <v>43747.239583333336</v>
      </c>
      <c r="B85" s="439">
        <v>43749.8125</v>
      </c>
      <c r="C85" s="23"/>
      <c r="D85" s="23"/>
      <c r="E85" s="35" t="s">
        <v>315</v>
      </c>
      <c r="F85" s="110" t="s">
        <v>328</v>
      </c>
      <c r="G85" s="433">
        <v>68000</v>
      </c>
      <c r="H85" s="433"/>
      <c r="I85" s="433">
        <v>68000</v>
      </c>
      <c r="J85" s="26">
        <f>(G85)-I85</f>
        <v>0</v>
      </c>
      <c r="K85" s="27">
        <f t="shared" si="43"/>
        <v>2.5729166666642413</v>
      </c>
      <c r="L85" s="27">
        <f>[27]SURYAWATI!$F$132</f>
        <v>1.487847222195948</v>
      </c>
      <c r="M85" s="434">
        <f t="shared" si="44"/>
        <v>26429.149797595765</v>
      </c>
      <c r="N85" s="434">
        <f t="shared" si="45"/>
        <v>45703.617270352013</v>
      </c>
      <c r="O85" s="434">
        <v>30000</v>
      </c>
      <c r="P85" s="69">
        <f>(146841/10000)*8.7</f>
        <v>127.75166999999999</v>
      </c>
      <c r="Q85" s="69">
        <f>(132720/10000)*8.7</f>
        <v>115.46639999999999</v>
      </c>
      <c r="R85" s="69">
        <f t="shared" si="52"/>
        <v>12.285269999999997</v>
      </c>
      <c r="S85" s="435">
        <f t="shared" si="53"/>
        <v>0.2076617647058823</v>
      </c>
      <c r="T85" s="435">
        <f t="shared" si="54"/>
        <v>0.2125479238754325</v>
      </c>
      <c r="U85" s="436"/>
      <c r="V85" s="436"/>
      <c r="W85" s="437"/>
      <c r="X85" s="436"/>
      <c r="Y85" s="33"/>
      <c r="Z85" s="33"/>
      <c r="AA85" s="33"/>
      <c r="AB85" s="438"/>
      <c r="AC85" s="33"/>
    </row>
    <row r="86" spans="1:29" x14ac:dyDescent="0.3">
      <c r="A86" s="439">
        <v>43750.625</v>
      </c>
      <c r="B86" s="439">
        <v>43753.166666666664</v>
      </c>
      <c r="C86" s="23"/>
      <c r="D86" s="23"/>
      <c r="E86" s="35" t="s">
        <v>330</v>
      </c>
      <c r="F86" s="25" t="s">
        <v>328</v>
      </c>
      <c r="G86" s="433">
        <v>66000</v>
      </c>
      <c r="H86" s="433"/>
      <c r="I86" s="433">
        <v>66000</v>
      </c>
      <c r="J86" s="26">
        <f t="shared" si="51"/>
        <v>0</v>
      </c>
      <c r="K86" s="27">
        <f t="shared" si="43"/>
        <v>2.5416666666642413</v>
      </c>
      <c r="L86" s="27">
        <f>[27]MANGARELLA!$F$109</f>
        <v>1.3958333333272701</v>
      </c>
      <c r="M86" s="434">
        <f t="shared" si="44"/>
        <v>25967.213114778879</v>
      </c>
      <c r="N86" s="434">
        <f>G86/L86</f>
        <v>47283.582089757627</v>
      </c>
      <c r="O86" s="434">
        <v>30000</v>
      </c>
      <c r="P86" s="69">
        <f>(126514/10000)*8.7</f>
        <v>110.06717999999999</v>
      </c>
      <c r="Q86" s="69">
        <f>(113128/10000)*8.7</f>
        <v>98.421359999999993</v>
      </c>
      <c r="R86" s="69">
        <f t="shared" si="52"/>
        <v>11.645820000000001</v>
      </c>
      <c r="S86" s="435">
        <f t="shared" si="53"/>
        <v>0.20281818181818184</v>
      </c>
      <c r="T86" s="435">
        <f t="shared" si="54"/>
        <v>0.20759037433155078</v>
      </c>
      <c r="U86" s="436"/>
      <c r="V86" s="436"/>
      <c r="W86" s="437"/>
      <c r="X86" s="455"/>
      <c r="Y86" s="33"/>
      <c r="Z86" s="33"/>
      <c r="AA86" s="33"/>
      <c r="AB86" s="438"/>
      <c r="AC86" s="33"/>
    </row>
    <row r="87" spans="1:29" x14ac:dyDescent="0.3">
      <c r="A87" s="439">
        <v>43754.260416666664</v>
      </c>
      <c r="B87" s="439">
        <v>43757.104166666664</v>
      </c>
      <c r="C87" s="23"/>
      <c r="D87" s="23"/>
      <c r="E87" s="35" t="s">
        <v>331</v>
      </c>
      <c r="F87" s="25" t="s">
        <v>328</v>
      </c>
      <c r="G87" s="433">
        <v>72300</v>
      </c>
      <c r="H87" s="433"/>
      <c r="I87" s="433">
        <v>72300</v>
      </c>
      <c r="J87" s="26">
        <f>(G87)-I87</f>
        <v>0</v>
      </c>
      <c r="K87" s="27">
        <f t="shared" si="43"/>
        <v>2.84375</v>
      </c>
      <c r="L87" s="27">
        <f>'[27]NENG YUAN'!$F$103</f>
        <v>1.7170138888965691</v>
      </c>
      <c r="M87" s="434">
        <f t="shared" si="44"/>
        <v>25424.175824175825</v>
      </c>
      <c r="N87" s="462">
        <f>G87/L87</f>
        <v>42107.987866343501</v>
      </c>
      <c r="O87" s="434">
        <v>30000</v>
      </c>
      <c r="P87" s="69">
        <f>(110794/10000)*8.7</f>
        <v>96.390779999999992</v>
      </c>
      <c r="Q87" s="69">
        <f>(94793/10000)*8.7</f>
        <v>82.469909999999999</v>
      </c>
      <c r="R87" s="69">
        <f t="shared" si="52"/>
        <v>13.920869999999994</v>
      </c>
      <c r="S87" s="435">
        <f t="shared" si="53"/>
        <v>0.2213139695712309</v>
      </c>
      <c r="T87" s="435">
        <f t="shared" si="54"/>
        <v>0.22652135709055396</v>
      </c>
      <c r="U87" s="436"/>
      <c r="V87" s="436"/>
      <c r="W87" s="437"/>
      <c r="X87" s="455"/>
      <c r="Y87" s="33"/>
      <c r="Z87" s="33"/>
      <c r="AA87" s="33"/>
      <c r="AB87" s="438"/>
      <c r="AC87" s="33"/>
    </row>
    <row r="88" spans="1:29" x14ac:dyDescent="0.3">
      <c r="A88" s="439">
        <v>43760.774305555555</v>
      </c>
      <c r="B88" s="439">
        <v>43762.034722222219</v>
      </c>
      <c r="C88" s="23"/>
      <c r="D88" s="23"/>
      <c r="E88" s="35" t="s">
        <v>332</v>
      </c>
      <c r="F88" s="25" t="s">
        <v>333</v>
      </c>
      <c r="G88" s="433">
        <v>11935</v>
      </c>
      <c r="H88" s="433"/>
      <c r="I88" s="433">
        <v>12000</v>
      </c>
      <c r="J88" s="26">
        <f t="shared" si="51"/>
        <v>-65</v>
      </c>
      <c r="K88" s="27">
        <f>B88-A88</f>
        <v>1.2604166666642413</v>
      </c>
      <c r="L88" s="27">
        <f>[28]DEDALOS!$F$57</f>
        <v>0.47395833332848269</v>
      </c>
      <c r="M88" s="462">
        <f>G88/K88</f>
        <v>9469.0909091091289</v>
      </c>
      <c r="N88" s="462">
        <f>G88/L88</f>
        <v>25181.538461796179</v>
      </c>
      <c r="O88" s="434">
        <v>30000</v>
      </c>
      <c r="P88" s="69">
        <f>(84941/10000)*8.7</f>
        <v>73.898669999999996</v>
      </c>
      <c r="Q88" s="69">
        <f>(78426/10000)*8.7</f>
        <v>68.230619999999988</v>
      </c>
      <c r="R88" s="69">
        <f t="shared" si="52"/>
        <v>5.668050000000008</v>
      </c>
      <c r="S88" s="435">
        <f t="shared" si="53"/>
        <v>0.54587348135735314</v>
      </c>
      <c r="T88" s="435">
        <f t="shared" si="54"/>
        <v>0.55871756327164368</v>
      </c>
      <c r="U88" s="436"/>
      <c r="V88" s="436"/>
      <c r="W88" s="437"/>
      <c r="X88" s="455"/>
      <c r="Y88" s="33"/>
      <c r="Z88" s="33"/>
      <c r="AA88" s="33"/>
      <c r="AB88" s="438"/>
      <c r="AC88" s="33"/>
    </row>
    <row r="89" spans="1:29" x14ac:dyDescent="0.3">
      <c r="A89" s="439">
        <v>43762.631944444445</v>
      </c>
      <c r="B89" s="439">
        <v>43766.125</v>
      </c>
      <c r="C89" s="23"/>
      <c r="D89" s="23"/>
      <c r="E89" s="35" t="s">
        <v>334</v>
      </c>
      <c r="F89" s="25" t="s">
        <v>328</v>
      </c>
      <c r="G89" s="433">
        <v>70060</v>
      </c>
      <c r="H89" s="433"/>
      <c r="I89" s="433">
        <v>71500</v>
      </c>
      <c r="J89" s="26">
        <f t="shared" si="51"/>
        <v>-1440</v>
      </c>
      <c r="K89" s="27">
        <f>B89-A89</f>
        <v>3.4930555555547471</v>
      </c>
      <c r="L89" s="27">
        <f>'[27]NINGBO INNOVATION'!$F$139</f>
        <v>1.9565972222214139</v>
      </c>
      <c r="M89" s="462">
        <f>G89/K89</f>
        <v>20056.938369785956</v>
      </c>
      <c r="N89" s="462">
        <f>G89/L89</f>
        <v>35807.062999127484</v>
      </c>
      <c r="O89" s="434">
        <v>30000</v>
      </c>
      <c r="P89" s="69">
        <f>(71614/10000)*8.7</f>
        <v>62.304179999999995</v>
      </c>
      <c r="Q89" s="69">
        <f>(54354/10000)*8.7</f>
        <v>47.28797999999999</v>
      </c>
      <c r="R89" s="69">
        <f t="shared" si="52"/>
        <v>15.016200000000005</v>
      </c>
      <c r="S89" s="435">
        <f t="shared" si="53"/>
        <v>0.24636026263202979</v>
      </c>
      <c r="T89" s="435">
        <f t="shared" si="54"/>
        <v>0.25215697469395987</v>
      </c>
      <c r="U89" s="436"/>
      <c r="V89" s="436"/>
      <c r="W89" s="437"/>
      <c r="X89" s="455"/>
      <c r="Y89" s="33"/>
      <c r="Z89" s="33"/>
      <c r="AA89" s="33"/>
      <c r="AB89" s="438"/>
      <c r="AC89" s="33"/>
    </row>
    <row r="90" spans="1:29" x14ac:dyDescent="0.3">
      <c r="A90" s="439">
        <v>43768.131944444445</v>
      </c>
      <c r="B90" s="439">
        <v>43770.493055555555</v>
      </c>
      <c r="C90" s="23"/>
      <c r="D90" s="23"/>
      <c r="E90" s="35" t="s">
        <v>335</v>
      </c>
      <c r="F90" s="25" t="s">
        <v>328</v>
      </c>
      <c r="G90" s="433">
        <f>63600</f>
        <v>63600</v>
      </c>
      <c r="H90" s="433"/>
      <c r="I90" s="433">
        <v>63600</v>
      </c>
      <c r="J90" s="26">
        <f t="shared" ref="J90:J95" si="55">(G90)-I90</f>
        <v>0</v>
      </c>
      <c r="K90" s="27">
        <f>B90-A90</f>
        <v>2.3611111111094942</v>
      </c>
      <c r="L90" s="27">
        <f>'[29]TINA IV'!$F$109</f>
        <v>1.4826388888892932</v>
      </c>
      <c r="M90" s="434">
        <f>(G90)/K90</f>
        <v>26936.470588253742</v>
      </c>
      <c r="N90" s="434">
        <f>(G90)/L90</f>
        <v>42896.487119426245</v>
      </c>
      <c r="O90" s="434">
        <v>30000</v>
      </c>
      <c r="P90" s="69">
        <f>(196634/10000)*8.7</f>
        <v>171.07157999999998</v>
      </c>
      <c r="Q90" s="69">
        <f>(179614/10000)*8.7</f>
        <v>156.26418000000001</v>
      </c>
      <c r="R90" s="69">
        <f>(P90)-Q90</f>
        <v>14.807399999999973</v>
      </c>
      <c r="S90" s="435">
        <f t="shared" ref="S90:S95" si="56">R90/8.7*10000/(G90)</f>
        <v>0.26761006289308131</v>
      </c>
      <c r="T90" s="435">
        <f t="shared" ref="T90:T95" si="57">R90/8.5*10000/(G90)</f>
        <v>0.27390677025527138</v>
      </c>
      <c r="U90" s="436"/>
      <c r="V90" s="436"/>
      <c r="W90" s="437"/>
      <c r="X90" s="455"/>
      <c r="Y90" s="33"/>
      <c r="Z90" s="33"/>
      <c r="AA90" s="33"/>
      <c r="AB90" s="438"/>
      <c r="AC90" s="33"/>
    </row>
    <row r="91" spans="1:29" x14ac:dyDescent="0.3">
      <c r="A91" s="439">
        <v>43766.833333333336</v>
      </c>
      <c r="B91" s="439">
        <v>43772.611111111109</v>
      </c>
      <c r="C91" s="23"/>
      <c r="D91" s="23"/>
      <c r="E91" s="35" t="s">
        <v>336</v>
      </c>
      <c r="F91" s="25" t="s">
        <v>328</v>
      </c>
      <c r="G91" s="433">
        <f>77000</f>
        <v>77000</v>
      </c>
      <c r="H91" s="433"/>
      <c r="I91" s="433">
        <v>77000</v>
      </c>
      <c r="J91" s="26">
        <f t="shared" si="55"/>
        <v>0</v>
      </c>
      <c r="K91" s="27">
        <f>'[29]MARIOLINA DE CARLINI'!$F$134</f>
        <v>2.9826388888832298</v>
      </c>
      <c r="L91" s="85">
        <f>'[29]MARIOLINA DE CARLINI'!$F$135</f>
        <v>1.809027777765247</v>
      </c>
      <c r="M91" s="434">
        <f>(G91)/K91</f>
        <v>25816.065192132799</v>
      </c>
      <c r="N91" s="434">
        <f>(G91)/L91</f>
        <v>42564.299424479097</v>
      </c>
      <c r="O91" s="434">
        <v>30000</v>
      </c>
      <c r="P91" s="69">
        <f>(202919/10000)*8.7</f>
        <v>176.53952999999996</v>
      </c>
      <c r="Q91" s="69">
        <f>P90</f>
        <v>171.07157999999998</v>
      </c>
      <c r="R91" s="69">
        <v>15.233699999999999</v>
      </c>
      <c r="S91" s="435">
        <f t="shared" si="56"/>
        <v>0.22740259740259741</v>
      </c>
      <c r="T91" s="435">
        <f t="shared" si="57"/>
        <v>0.23275324675324671</v>
      </c>
      <c r="U91" s="436"/>
      <c r="V91" s="436"/>
      <c r="W91" s="437"/>
      <c r="X91" s="463"/>
      <c r="Y91" s="33"/>
      <c r="Z91" s="464"/>
      <c r="AA91" s="33"/>
      <c r="AB91" s="82"/>
      <c r="AC91" s="82"/>
    </row>
    <row r="92" spans="1:29" x14ac:dyDescent="0.3">
      <c r="A92" s="439">
        <v>43772.927083333336</v>
      </c>
      <c r="B92" s="439">
        <v>43776.583333333336</v>
      </c>
      <c r="C92" s="23"/>
      <c r="D92" s="23"/>
      <c r="E92" s="35" t="s">
        <v>337</v>
      </c>
      <c r="F92" s="50" t="s">
        <v>333</v>
      </c>
      <c r="G92" s="433">
        <v>81500</v>
      </c>
      <c r="H92" s="433"/>
      <c r="I92" s="433">
        <v>81500</v>
      </c>
      <c r="J92" s="26">
        <f t="shared" si="55"/>
        <v>0</v>
      </c>
      <c r="K92" s="27">
        <f>B92-A92</f>
        <v>3.65625</v>
      </c>
      <c r="L92" s="85">
        <f>'[29]TEN SPRING'!$F$134</f>
        <v>1.7725694444294884</v>
      </c>
      <c r="M92" s="462">
        <f>G92/K92</f>
        <v>22290.598290598289</v>
      </c>
      <c r="N92" s="434">
        <f>G92/L92</f>
        <v>45978.452497939361</v>
      </c>
      <c r="O92" s="454">
        <v>30000</v>
      </c>
      <c r="P92" s="436">
        <f>(168079/10000)*8.7</f>
        <v>146.22872999999998</v>
      </c>
      <c r="Q92" s="436">
        <f>(136479/10000)*8.7</f>
        <v>118.73672999999999</v>
      </c>
      <c r="R92" s="436">
        <f>(P92)-Q92-13.05</f>
        <v>14.44199999999999</v>
      </c>
      <c r="S92" s="435">
        <f t="shared" si="56"/>
        <v>0.2036809815950919</v>
      </c>
      <c r="T92" s="435">
        <f t="shared" si="57"/>
        <v>0.2084734752796823</v>
      </c>
      <c r="U92" s="436"/>
      <c r="V92" s="436"/>
      <c r="W92" s="437"/>
      <c r="X92" s="463"/>
      <c r="Y92" s="33"/>
      <c r="Z92" s="464"/>
      <c r="AA92" s="33"/>
      <c r="AB92" s="82"/>
      <c r="AC92" s="82"/>
    </row>
    <row r="93" spans="1:29" x14ac:dyDescent="0.3">
      <c r="A93" s="439">
        <v>43776.840277777781</v>
      </c>
      <c r="B93" s="439">
        <v>43781.961805555555</v>
      </c>
      <c r="C93" s="23"/>
      <c r="D93" s="23"/>
      <c r="E93" s="35" t="s">
        <v>338</v>
      </c>
      <c r="F93" s="50" t="s">
        <v>328</v>
      </c>
      <c r="G93" s="433">
        <v>70354</v>
      </c>
      <c r="H93" s="433"/>
      <c r="I93" s="433">
        <v>74300</v>
      </c>
      <c r="J93" s="26">
        <f t="shared" si="55"/>
        <v>-3946</v>
      </c>
      <c r="K93" s="27">
        <f>B93-A93</f>
        <v>5.1215277777737356</v>
      </c>
      <c r="L93" s="85">
        <f>'[29]HIGH SPEED'!$F$116</f>
        <v>1.3680555555462586</v>
      </c>
      <c r="M93" s="462">
        <f>G93/K93</f>
        <v>13736.916610180333</v>
      </c>
      <c r="N93" s="434">
        <f>G93/L93</f>
        <v>51426.274112024606</v>
      </c>
      <c r="O93" s="454">
        <v>30000</v>
      </c>
      <c r="P93" s="436">
        <f>(136179/10000)*8.7</f>
        <v>118.47573</v>
      </c>
      <c r="Q93" s="436">
        <f>(119449/10000)*8.7</f>
        <v>103.92063</v>
      </c>
      <c r="R93" s="436">
        <f>(P93)-Q93</f>
        <v>14.555099999999996</v>
      </c>
      <c r="S93" s="435">
        <f t="shared" si="56"/>
        <v>0.23779742445347807</v>
      </c>
      <c r="T93" s="435">
        <f t="shared" si="57"/>
        <v>0.24339265797003048</v>
      </c>
      <c r="U93" s="436"/>
      <c r="V93" s="436"/>
      <c r="W93" s="437"/>
      <c r="X93" s="463"/>
      <c r="Y93" s="33"/>
      <c r="Z93" s="464"/>
      <c r="AA93" s="33"/>
      <c r="AB93" s="82"/>
      <c r="AC93" s="82"/>
    </row>
    <row r="94" spans="1:29" x14ac:dyDescent="0.3">
      <c r="A94" s="439">
        <v>43787.729166666664</v>
      </c>
      <c r="B94" s="439">
        <v>43791.024305555555</v>
      </c>
      <c r="C94" s="23"/>
      <c r="D94" s="23"/>
      <c r="E94" s="35" t="s">
        <v>339</v>
      </c>
      <c r="F94" s="50" t="s">
        <v>328</v>
      </c>
      <c r="G94" s="433">
        <v>74165</v>
      </c>
      <c r="H94" s="433"/>
      <c r="I94" s="433">
        <v>74165</v>
      </c>
      <c r="J94" s="26">
        <f t="shared" si="55"/>
        <v>0</v>
      </c>
      <c r="K94" s="27">
        <f>B94-A94</f>
        <v>3.2951388888905058</v>
      </c>
      <c r="L94" s="85">
        <f>'[29]SITC HENGSHAN'!$F$131</f>
        <v>1.5746527777870749</v>
      </c>
      <c r="M94" s="462">
        <f>G94/K94</f>
        <v>22507.397260262929</v>
      </c>
      <c r="N94" s="434">
        <f>G94/L94</f>
        <v>47099.272326072518</v>
      </c>
      <c r="O94" s="454">
        <v>30000</v>
      </c>
      <c r="P94" s="436">
        <f>(229119/10000)*8.7</f>
        <v>199.33352999999997</v>
      </c>
      <c r="Q94" s="436">
        <f>(211119/10000)*8.7</f>
        <v>183.67352999999997</v>
      </c>
      <c r="R94" s="436">
        <f>(P94)-Q94</f>
        <v>15.659999999999997</v>
      </c>
      <c r="S94" s="435">
        <f t="shared" si="56"/>
        <v>0.24270208319288075</v>
      </c>
      <c r="T94" s="435">
        <f t="shared" si="57"/>
        <v>0.24841272044447785</v>
      </c>
      <c r="U94" s="436"/>
      <c r="V94" s="436"/>
      <c r="W94" s="437"/>
      <c r="X94" s="463"/>
      <c r="Y94" s="33"/>
      <c r="Z94" s="464"/>
      <c r="AA94" s="33"/>
      <c r="AB94" s="82"/>
      <c r="AC94" s="82"/>
    </row>
    <row r="95" spans="1:29" x14ac:dyDescent="0.3">
      <c r="A95" s="439">
        <v>43785.020833333336</v>
      </c>
      <c r="B95" s="439">
        <v>43792.4375</v>
      </c>
      <c r="C95" s="23"/>
      <c r="D95" s="23"/>
      <c r="E95" s="35" t="s">
        <v>340</v>
      </c>
      <c r="F95" s="50" t="s">
        <v>328</v>
      </c>
      <c r="G95" s="433">
        <f>69000</f>
        <v>69000</v>
      </c>
      <c r="H95" s="433"/>
      <c r="I95" s="433">
        <v>69000</v>
      </c>
      <c r="J95" s="26">
        <f t="shared" si="55"/>
        <v>0</v>
      </c>
      <c r="K95" s="27">
        <f>B95-A95-'[29]CHANG YANG JIN HE'!$F$79</f>
        <v>3.65625</v>
      </c>
      <c r="L95" s="85">
        <f>'[29]CHANG YANG JIN HE'!$F$113</f>
        <v>1.4027777778089028</v>
      </c>
      <c r="M95" s="462">
        <f>G95/K95</f>
        <v>18871.794871794871</v>
      </c>
      <c r="N95" s="434">
        <f>G95/L95</f>
        <v>49188.118810789798</v>
      </c>
      <c r="O95" s="454">
        <v>30000</v>
      </c>
      <c r="P95" s="436">
        <f>(239209/10000)*8.7</f>
        <v>208.11182999999997</v>
      </c>
      <c r="Q95" s="436">
        <f>(203929/10000)*8.7</f>
        <v>177.41822999999999</v>
      </c>
      <c r="R95" s="436">
        <f>(P95)-Q95-R94</f>
        <v>15.033599999999979</v>
      </c>
      <c r="S95" s="435">
        <f t="shared" si="56"/>
        <v>0.25043478260869534</v>
      </c>
      <c r="T95" s="435">
        <f t="shared" si="57"/>
        <v>0.25632736572889991</v>
      </c>
      <c r="U95" s="436"/>
      <c r="V95" s="436"/>
      <c r="W95" s="437"/>
      <c r="X95" s="463"/>
      <c r="Y95" s="33"/>
      <c r="Z95" s="464"/>
      <c r="AA95" s="33"/>
      <c r="AB95" s="82"/>
      <c r="AC95" s="82"/>
    </row>
    <row r="96" spans="1:29" x14ac:dyDescent="0.3">
      <c r="A96" s="439">
        <v>43800.965277777781</v>
      </c>
      <c r="B96" s="439">
        <v>43803.458333333336</v>
      </c>
      <c r="C96" s="23"/>
      <c r="D96" s="23"/>
      <c r="E96" s="35" t="s">
        <v>341</v>
      </c>
      <c r="F96" s="50" t="s">
        <v>328</v>
      </c>
      <c r="G96" s="433">
        <v>66800</v>
      </c>
      <c r="H96" s="433"/>
      <c r="I96" s="433">
        <v>66800</v>
      </c>
      <c r="J96" s="26">
        <f t="shared" ref="J96:J101" si="58">(G96)-I96</f>
        <v>0</v>
      </c>
      <c r="K96" s="27">
        <f t="shared" ref="K96:K101" si="59">B96-A96</f>
        <v>2.4930555555547471</v>
      </c>
      <c r="L96" s="85">
        <f>'[30]HE DA'!$F$111</f>
        <v>1.4149305555462586</v>
      </c>
      <c r="M96" s="434">
        <f t="shared" ref="M96:M101" si="60">G96/K96</f>
        <v>26794.428969368022</v>
      </c>
      <c r="N96" s="434">
        <f t="shared" ref="N96:N101" si="61">G96/L96</f>
        <v>47210.797546322472</v>
      </c>
      <c r="O96" s="454">
        <v>30000</v>
      </c>
      <c r="P96" s="436">
        <f>(189429/10000)*8.7</f>
        <v>164.80323000000001</v>
      </c>
      <c r="Q96" s="436">
        <f>(176119/10000)*8.7</f>
        <v>153.22352999999998</v>
      </c>
      <c r="R96" s="436">
        <f t="shared" ref="R96:R101" si="62">(P96)-Q96</f>
        <v>11.579700000000031</v>
      </c>
      <c r="S96" s="435">
        <f t="shared" ref="S96:S101" si="63">R96/8.7*10000/(G96)</f>
        <v>0.1992514970059886</v>
      </c>
      <c r="T96" s="435">
        <f t="shared" ref="T96:T101" si="64">R96/8.5*10000/(G96)</f>
        <v>0.20393976752377654</v>
      </c>
      <c r="U96" s="436"/>
      <c r="V96" s="436"/>
      <c r="W96" s="437"/>
      <c r="X96" s="463"/>
      <c r="Y96" s="33"/>
      <c r="Z96" s="464"/>
      <c r="AA96" s="33"/>
      <c r="AB96" s="438"/>
      <c r="AC96" s="33"/>
    </row>
    <row r="97" spans="1:29" x14ac:dyDescent="0.3">
      <c r="A97" s="439">
        <v>43808.055555555555</v>
      </c>
      <c r="B97" s="439">
        <v>43809.739583333336</v>
      </c>
      <c r="E97" s="35" t="s">
        <v>342</v>
      </c>
      <c r="F97" s="50" t="s">
        <v>328</v>
      </c>
      <c r="G97" s="433">
        <v>62536</v>
      </c>
      <c r="I97" s="433">
        <v>73200</v>
      </c>
      <c r="J97" s="433">
        <f t="shared" si="58"/>
        <v>-10664</v>
      </c>
      <c r="K97" s="27">
        <f t="shared" si="59"/>
        <v>1.6840277777810115</v>
      </c>
      <c r="L97" s="85">
        <f>'[30]YUN LONG FENG'!$F$94</f>
        <v>1.1944444444549542</v>
      </c>
      <c r="M97" s="434">
        <f t="shared" si="60"/>
        <v>37134.779381371991</v>
      </c>
      <c r="N97" s="434">
        <f t="shared" si="61"/>
        <v>52355.720929771887</v>
      </c>
      <c r="O97" s="454">
        <v>30000</v>
      </c>
      <c r="P97" s="436">
        <f>(168494/10000)*8.7</f>
        <v>146.58977999999999</v>
      </c>
      <c r="Q97" s="436">
        <f>(159119/10000)*8.7</f>
        <v>138.43352999999999</v>
      </c>
      <c r="R97" s="436">
        <f t="shared" si="62"/>
        <v>8.15625</v>
      </c>
      <c r="S97" s="435">
        <f t="shared" si="63"/>
        <v>0.14991364973775109</v>
      </c>
      <c r="T97" s="435">
        <f t="shared" si="64"/>
        <v>0.1534410297315805</v>
      </c>
    </row>
    <row r="98" spans="1:29" x14ac:dyDescent="0.3">
      <c r="A98" s="439">
        <v>43810.0625</v>
      </c>
      <c r="B98" s="439">
        <v>43815.625</v>
      </c>
      <c r="C98" s="23"/>
      <c r="D98" s="23"/>
      <c r="E98" s="35" t="s">
        <v>343</v>
      </c>
      <c r="F98" s="50" t="s">
        <v>91</v>
      </c>
      <c r="G98" s="433">
        <v>160377</v>
      </c>
      <c r="H98" s="433"/>
      <c r="I98" s="433">
        <v>160360</v>
      </c>
      <c r="J98" s="26">
        <f t="shared" si="58"/>
        <v>17</v>
      </c>
      <c r="K98" s="27">
        <f t="shared" si="59"/>
        <v>5.5625</v>
      </c>
      <c r="L98" s="85">
        <f>'[31]OCEAN CORONA'!$F$199</f>
        <v>3.4843749999805973</v>
      </c>
      <c r="M98" s="434">
        <f t="shared" si="60"/>
        <v>28831.8202247191</v>
      </c>
      <c r="N98" s="434">
        <f t="shared" si="61"/>
        <v>46027.479820884109</v>
      </c>
      <c r="O98" s="454">
        <v>30000</v>
      </c>
      <c r="P98" s="436">
        <f>(153099/10000)*8.7</f>
        <v>133.19612999999998</v>
      </c>
      <c r="Q98" s="436">
        <f>(123074/10000)*8.7</f>
        <v>107.07437999999999</v>
      </c>
      <c r="R98" s="436">
        <f t="shared" si="62"/>
        <v>26.121749999999992</v>
      </c>
      <c r="S98" s="435">
        <f t="shared" si="63"/>
        <v>0.1872151243632191</v>
      </c>
      <c r="T98" s="435">
        <f t="shared" si="64"/>
        <v>0.1916201861129419</v>
      </c>
      <c r="U98" s="436"/>
      <c r="V98" s="436"/>
      <c r="W98" s="437"/>
      <c r="X98" s="463"/>
      <c r="Y98" s="33"/>
      <c r="Z98" s="464"/>
      <c r="AA98" s="33"/>
      <c r="AB98" s="438"/>
      <c r="AC98" s="33"/>
    </row>
    <row r="99" spans="1:29" x14ac:dyDescent="0.3">
      <c r="A99" s="439">
        <v>43815.947916666664</v>
      </c>
      <c r="B99" s="439">
        <v>43818.465277777781</v>
      </c>
      <c r="C99" s="23"/>
      <c r="D99" s="23"/>
      <c r="E99" s="35" t="s">
        <v>338</v>
      </c>
      <c r="F99" s="25" t="s">
        <v>32</v>
      </c>
      <c r="G99" s="433">
        <v>74600</v>
      </c>
      <c r="H99" s="433"/>
      <c r="I99" s="433">
        <v>74600</v>
      </c>
      <c r="J99" s="26">
        <f t="shared" si="58"/>
        <v>0</v>
      </c>
      <c r="K99" s="27">
        <f t="shared" si="59"/>
        <v>2.5173611111167702</v>
      </c>
      <c r="L99" s="27">
        <f>'[31]HIGH SPEED'!$F$115</f>
        <v>1.5416666666630288</v>
      </c>
      <c r="M99" s="434">
        <f t="shared" si="60"/>
        <v>29634.206896485106</v>
      </c>
      <c r="N99" s="434">
        <f t="shared" si="61"/>
        <v>48389.189189303375</v>
      </c>
      <c r="O99" s="454">
        <v>30000</v>
      </c>
      <c r="P99" s="436">
        <f>(122694/10000)*8.7</f>
        <v>106.74377999999999</v>
      </c>
      <c r="Q99" s="436">
        <f>(108454/10000)*8.7</f>
        <v>94.354979999999983</v>
      </c>
      <c r="R99" s="436">
        <f t="shared" si="62"/>
        <v>12.388800000000003</v>
      </c>
      <c r="S99" s="435">
        <f t="shared" si="63"/>
        <v>0.19088471849865959</v>
      </c>
      <c r="T99" s="435">
        <f t="shared" si="64"/>
        <v>0.1953761236398045</v>
      </c>
      <c r="U99" s="436"/>
      <c r="V99" s="436"/>
      <c r="W99" s="437"/>
      <c r="X99" s="463"/>
      <c r="Y99" s="33"/>
      <c r="Z99" s="464"/>
      <c r="AA99" s="33"/>
      <c r="AB99" s="438"/>
      <c r="AC99" s="33"/>
    </row>
    <row r="100" spans="1:29" x14ac:dyDescent="0.3">
      <c r="A100" s="439">
        <v>43820.791666666664</v>
      </c>
      <c r="B100" s="439">
        <v>43824.409722222219</v>
      </c>
      <c r="C100" s="23"/>
      <c r="D100" s="23"/>
      <c r="E100" s="35" t="s">
        <v>64</v>
      </c>
      <c r="F100" s="25" t="s">
        <v>32</v>
      </c>
      <c r="G100" s="433">
        <v>64999</v>
      </c>
      <c r="H100" s="433"/>
      <c r="I100" s="433">
        <v>64999</v>
      </c>
      <c r="J100" s="26">
        <f t="shared" si="58"/>
        <v>0</v>
      </c>
      <c r="K100" s="27">
        <f t="shared" si="59"/>
        <v>3.6180555555547471</v>
      </c>
      <c r="L100" s="27">
        <f>'[31]ZHENG HAO'!$F$103</f>
        <v>1.2256944444549542</v>
      </c>
      <c r="M100" s="434">
        <f t="shared" si="60"/>
        <v>17965.174664111499</v>
      </c>
      <c r="N100" s="434">
        <f t="shared" si="61"/>
        <v>53030.345608610442</v>
      </c>
      <c r="O100" s="454">
        <v>30000</v>
      </c>
      <c r="P100" s="436">
        <f>(219055/10000)*8.7</f>
        <v>190.57784999999998</v>
      </c>
      <c r="Q100" s="436">
        <f>(205470/10000)*8.7</f>
        <v>178.75889999999998</v>
      </c>
      <c r="R100" s="436">
        <f t="shared" si="62"/>
        <v>11.818950000000001</v>
      </c>
      <c r="S100" s="435">
        <f t="shared" si="63"/>
        <v>0.20900321543408362</v>
      </c>
      <c r="T100" s="435">
        <f t="shared" si="64"/>
        <v>0.21392093815017971</v>
      </c>
      <c r="U100" s="436"/>
      <c r="V100" s="436"/>
      <c r="W100" s="437"/>
      <c r="X100" s="463"/>
      <c r="Y100" s="33"/>
      <c r="Z100" s="464"/>
      <c r="AA100" s="33"/>
      <c r="AB100" s="438"/>
      <c r="AC100" s="33"/>
    </row>
    <row r="101" spans="1:29" x14ac:dyDescent="0.3">
      <c r="A101" s="439">
        <v>43825.722222222219</v>
      </c>
      <c r="B101" s="439">
        <v>43828.625</v>
      </c>
      <c r="C101" s="23"/>
      <c r="D101" s="23"/>
      <c r="E101" s="35" t="s">
        <v>344</v>
      </c>
      <c r="F101" s="25" t="s">
        <v>32</v>
      </c>
      <c r="G101" s="433">
        <v>77337</v>
      </c>
      <c r="H101" s="433"/>
      <c r="I101" s="433">
        <v>77337</v>
      </c>
      <c r="J101" s="26">
        <f t="shared" si="58"/>
        <v>0</v>
      </c>
      <c r="K101" s="27">
        <f t="shared" si="59"/>
        <v>2.9027777777810115</v>
      </c>
      <c r="L101" s="27">
        <f>'[31]SWEET VENUS'!$F$134</f>
        <v>1.5815972222214139</v>
      </c>
      <c r="M101" s="434">
        <f t="shared" si="60"/>
        <v>26642.411483223907</v>
      </c>
      <c r="N101" s="434">
        <f t="shared" si="61"/>
        <v>48898.037321649579</v>
      </c>
      <c r="O101" s="454">
        <v>30000</v>
      </c>
      <c r="P101" s="436">
        <f>(198130/10000)*8.7</f>
        <v>172.37309999999997</v>
      </c>
      <c r="Q101" s="436">
        <f>(182310/10000)*8.7</f>
        <v>158.6097</v>
      </c>
      <c r="R101" s="436">
        <f t="shared" si="62"/>
        <v>13.763399999999962</v>
      </c>
      <c r="S101" s="435">
        <f t="shared" si="63"/>
        <v>0.20455926658649748</v>
      </c>
      <c r="T101" s="435">
        <f t="shared" si="64"/>
        <v>0.20937242580029744</v>
      </c>
      <c r="U101" s="436"/>
      <c r="V101" s="436"/>
      <c r="W101" s="437"/>
      <c r="X101" s="463"/>
      <c r="Y101" s="33"/>
      <c r="Z101" s="464"/>
      <c r="AA101" s="33"/>
      <c r="AB101" s="438"/>
      <c r="AC101" s="33"/>
    </row>
    <row r="102" spans="1:29" x14ac:dyDescent="0.3">
      <c r="A102" s="174">
        <v>43835.048611111109</v>
      </c>
      <c r="B102" s="174">
        <v>43838.104166666664</v>
      </c>
      <c r="C102" s="23"/>
      <c r="D102" s="14"/>
      <c r="E102" s="35" t="s">
        <v>514</v>
      </c>
      <c r="F102" s="36" t="s">
        <v>32</v>
      </c>
      <c r="G102" s="433">
        <v>71500</v>
      </c>
      <c r="H102" s="433"/>
      <c r="I102" s="433">
        <v>71500</v>
      </c>
      <c r="J102" s="26">
        <f t="shared" ref="J102:J114" si="65">G102-I102</f>
        <v>0</v>
      </c>
      <c r="K102" s="27">
        <f t="shared" ref="K102:K114" si="66">B102-A102</f>
        <v>3.0555555555547471</v>
      </c>
      <c r="L102" s="27">
        <f>'[32]CHANG YANG JIN HE'!$F$120</f>
        <v>1.685763888914759</v>
      </c>
      <c r="M102" s="462">
        <f t="shared" ref="M102:M114" si="67">(G102)/K102</f>
        <v>23400.000000006192</v>
      </c>
      <c r="N102" s="462">
        <f t="shared" ref="N102:N114" si="68">G102/L102</f>
        <v>42414.006178545809</v>
      </c>
      <c r="O102" s="434">
        <v>30000</v>
      </c>
      <c r="P102" s="69">
        <f>(171920/10000)*8.7</f>
        <v>149.57039999999998</v>
      </c>
      <c r="Q102" s="69">
        <f>(154625/10000)*8.7</f>
        <v>134.52374999999998</v>
      </c>
      <c r="R102" s="69">
        <f t="shared" ref="R102:R114" si="69">P102-Q102</f>
        <v>15.04665</v>
      </c>
      <c r="S102" s="435">
        <f t="shared" ref="S102:S114" si="70">R102/8.7*10000/(G102)</f>
        <v>0.24188811188811188</v>
      </c>
      <c r="T102" s="435">
        <f>R102/8.5*10000/(G102)</f>
        <v>0.2475795968737145</v>
      </c>
      <c r="U102" s="435" t="e">
        <f>S102/8.5*10000/(H102)</f>
        <v>#DIV/0!</v>
      </c>
      <c r="V102" s="436"/>
      <c r="W102" s="32"/>
      <c r="X102" s="33"/>
      <c r="Y102" s="33"/>
      <c r="Z102" s="33"/>
      <c r="AA102" s="33"/>
      <c r="AB102" s="438"/>
      <c r="AC102" s="33"/>
    </row>
    <row r="103" spans="1:29" x14ac:dyDescent="0.3">
      <c r="A103" s="174">
        <v>43838.381944444445</v>
      </c>
      <c r="B103" s="174">
        <v>43843.270833333336</v>
      </c>
      <c r="C103" s="23"/>
      <c r="D103" s="14"/>
      <c r="E103" s="35" t="s">
        <v>515</v>
      </c>
      <c r="F103" s="36" t="s">
        <v>328</v>
      </c>
      <c r="G103" s="433">
        <v>79900</v>
      </c>
      <c r="H103" s="433"/>
      <c r="I103" s="433">
        <v>79900</v>
      </c>
      <c r="J103" s="26">
        <f t="shared" si="65"/>
        <v>0</v>
      </c>
      <c r="K103" s="27">
        <f t="shared" si="66"/>
        <v>4.8888888888905058</v>
      </c>
      <c r="L103" s="27">
        <f>'[32]THERESA GUANGDONG'!$F$139</f>
        <v>1.6232638888711033</v>
      </c>
      <c r="M103" s="462">
        <f t="shared" si="67"/>
        <v>16343.181818176414</v>
      </c>
      <c r="N103" s="434">
        <f t="shared" si="68"/>
        <v>49221.818182357492</v>
      </c>
      <c r="O103" s="434">
        <v>30000</v>
      </c>
      <c r="P103" s="69">
        <f>(149145/10000)*8.7</f>
        <v>129.75614999999999</v>
      </c>
      <c r="Q103" s="69">
        <f>(125498/10000)*8.7</f>
        <v>109.18325999999999</v>
      </c>
      <c r="R103" s="69">
        <f t="shared" si="69"/>
        <v>20.572890000000001</v>
      </c>
      <c r="S103" s="435">
        <f t="shared" si="70"/>
        <v>0.29595744680851066</v>
      </c>
      <c r="T103" s="435">
        <f t="shared" ref="T103:T115" si="71">R103/8.5*10000/(G103)</f>
        <v>0.3029211514392991</v>
      </c>
      <c r="U103" s="435"/>
      <c r="V103" s="31"/>
      <c r="W103" s="32"/>
      <c r="X103" s="33"/>
      <c r="Y103" s="33"/>
      <c r="Z103" s="33"/>
      <c r="AA103" s="33"/>
      <c r="AB103" s="438"/>
      <c r="AC103" s="33"/>
    </row>
    <row r="104" spans="1:29" x14ac:dyDescent="0.3">
      <c r="A104" s="174">
        <v>43849.527777777781</v>
      </c>
      <c r="B104" s="439">
        <v>43851.965277777781</v>
      </c>
      <c r="C104" s="23"/>
      <c r="D104" s="23"/>
      <c r="E104" s="35" t="s">
        <v>516</v>
      </c>
      <c r="F104" s="25" t="s">
        <v>328</v>
      </c>
      <c r="G104" s="433">
        <v>69500</v>
      </c>
      <c r="H104" s="433"/>
      <c r="I104" s="433">
        <v>69500</v>
      </c>
      <c r="J104" s="26">
        <f t="shared" si="65"/>
        <v>0</v>
      </c>
      <c r="K104" s="27">
        <f t="shared" si="66"/>
        <v>2.4375</v>
      </c>
      <c r="L104" s="27">
        <f>'[32]CHANG YANG JIN AN'!$F$122</f>
        <v>1.4079861110900918</v>
      </c>
      <c r="M104" s="434">
        <f t="shared" si="67"/>
        <v>28512.820512820512</v>
      </c>
      <c r="N104" s="434">
        <f t="shared" si="68"/>
        <v>49361.282368184497</v>
      </c>
      <c r="O104" s="434">
        <v>30000</v>
      </c>
      <c r="P104" s="69">
        <f>(224799/10000)*8.7</f>
        <v>195.57513</v>
      </c>
      <c r="Q104" s="69">
        <f>(211401/10000)*8.7</f>
        <v>183.91887</v>
      </c>
      <c r="R104" s="69">
        <f t="shared" si="69"/>
        <v>11.656260000000003</v>
      </c>
      <c r="S104" s="435">
        <f t="shared" si="70"/>
        <v>0.19277697841726626</v>
      </c>
      <c r="T104" s="435">
        <f t="shared" si="71"/>
        <v>0.19731290732120191</v>
      </c>
      <c r="U104" s="69">
        <f>S104-T104</f>
        <v>-4.5359289039356432E-3</v>
      </c>
      <c r="V104" s="436"/>
      <c r="W104" s="437"/>
      <c r="X104" s="33"/>
      <c r="Y104" s="33"/>
      <c r="Z104" s="33"/>
      <c r="AA104" s="33"/>
      <c r="AB104" s="438"/>
      <c r="AC104" s="33"/>
    </row>
    <row r="105" spans="1:29" x14ac:dyDescent="0.3">
      <c r="A105" s="439">
        <v>43854.138888888891</v>
      </c>
      <c r="B105" s="439">
        <v>43857.159722222219</v>
      </c>
      <c r="C105" s="23"/>
      <c r="D105" s="23"/>
      <c r="E105" s="35" t="s">
        <v>517</v>
      </c>
      <c r="F105" s="25" t="s">
        <v>328</v>
      </c>
      <c r="G105" s="433">
        <v>79896</v>
      </c>
      <c r="H105" s="433"/>
      <c r="I105" s="433">
        <v>79896</v>
      </c>
      <c r="J105" s="26">
        <f t="shared" si="65"/>
        <v>0</v>
      </c>
      <c r="K105" s="27">
        <f t="shared" si="66"/>
        <v>3.0208333333284827</v>
      </c>
      <c r="L105" s="27">
        <f>'[32]DARYA GAYATRI'!$F$129</f>
        <v>1.7656249999696836</v>
      </c>
      <c r="M105" s="434">
        <f t="shared" si="67"/>
        <v>26448.331034525228</v>
      </c>
      <c r="N105" s="462">
        <f t="shared" si="68"/>
        <v>45250.831859184051</v>
      </c>
      <c r="O105" s="434">
        <v>30000</v>
      </c>
      <c r="P105" s="69">
        <f>(208310/10000)*8.7</f>
        <v>181.22969999999998</v>
      </c>
      <c r="Q105" s="69">
        <f>(190859/10000)*8.7</f>
        <v>166.04732999999999</v>
      </c>
      <c r="R105" s="69">
        <f t="shared" si="69"/>
        <v>15.182369999999992</v>
      </c>
      <c r="S105" s="435">
        <f t="shared" si="70"/>
        <v>0.21842144788224682</v>
      </c>
      <c r="T105" s="435">
        <f t="shared" si="71"/>
        <v>0.22356077606771146</v>
      </c>
      <c r="U105" s="69"/>
      <c r="V105" s="436"/>
      <c r="W105" s="437"/>
      <c r="X105" s="33"/>
      <c r="Y105" s="33"/>
      <c r="Z105" s="33"/>
      <c r="AA105" s="33"/>
      <c r="AB105" s="438"/>
      <c r="AC105" s="33"/>
    </row>
    <row r="106" spans="1:29" x14ac:dyDescent="0.3">
      <c r="A106" s="439">
        <v>43859.71875</v>
      </c>
      <c r="B106" s="439">
        <v>43866.319444444445</v>
      </c>
      <c r="C106" s="23"/>
      <c r="D106" s="14"/>
      <c r="E106" s="35" t="s">
        <v>518</v>
      </c>
      <c r="F106" s="25" t="s">
        <v>91</v>
      </c>
      <c r="G106" s="433">
        <v>159207</v>
      </c>
      <c r="H106" s="433"/>
      <c r="I106" s="433">
        <v>155846</v>
      </c>
      <c r="J106" s="26">
        <f t="shared" si="65"/>
        <v>3361</v>
      </c>
      <c r="K106" s="27">
        <f t="shared" si="66"/>
        <v>6.6006944444452529</v>
      </c>
      <c r="L106" s="27">
        <f>'[33]CAPE PUFFIN'!$F$230</f>
        <v>3.5642361111155574</v>
      </c>
      <c r="M106" s="462">
        <f t="shared" si="67"/>
        <v>24119.734876377897</v>
      </c>
      <c r="N106" s="462">
        <f t="shared" si="68"/>
        <v>44667.916220109888</v>
      </c>
      <c r="O106" s="434">
        <v>30000</v>
      </c>
      <c r="P106" s="69">
        <f>(187130/10000)*8.7</f>
        <v>162.8031</v>
      </c>
      <c r="Q106" s="69">
        <f>(150889/10000)*8.7</f>
        <v>131.27342999999999</v>
      </c>
      <c r="R106" s="69">
        <f t="shared" si="69"/>
        <v>31.52967000000001</v>
      </c>
      <c r="S106" s="435">
        <f t="shared" si="70"/>
        <v>0.22763446330877421</v>
      </c>
      <c r="T106" s="435">
        <f t="shared" si="71"/>
        <v>0.23299056832780415</v>
      </c>
      <c r="U106" s="435" t="e">
        <f>S106/8.5*10000/(#REF!)</f>
        <v>#REF!</v>
      </c>
      <c r="V106" s="436"/>
      <c r="W106" s="32"/>
      <c r="X106" s="33"/>
      <c r="Y106" s="33"/>
      <c r="Z106" s="33"/>
      <c r="AA106" s="33"/>
      <c r="AB106" s="438"/>
      <c r="AC106" s="33"/>
    </row>
    <row r="107" spans="1:29" x14ac:dyDescent="0.3">
      <c r="A107" s="174">
        <v>43876.833333333336</v>
      </c>
      <c r="B107" s="174">
        <v>43879.958333333336</v>
      </c>
      <c r="C107" s="23"/>
      <c r="D107" s="14"/>
      <c r="E107" s="35" t="s">
        <v>519</v>
      </c>
      <c r="F107" s="36" t="s">
        <v>32</v>
      </c>
      <c r="G107" s="433">
        <v>63530</v>
      </c>
      <c r="H107" s="433"/>
      <c r="I107" s="433">
        <v>63530</v>
      </c>
      <c r="J107" s="26">
        <f t="shared" si="65"/>
        <v>0</v>
      </c>
      <c r="K107" s="27">
        <f t="shared" si="66"/>
        <v>3.125</v>
      </c>
      <c r="L107" s="27">
        <f>'[33]NINGBO PIONEER'!$F$120</f>
        <v>1.3993055555317067</v>
      </c>
      <c r="M107" s="462">
        <f t="shared" si="67"/>
        <v>20329.599999999999</v>
      </c>
      <c r="N107" s="434">
        <f t="shared" si="68"/>
        <v>45401.091812188177</v>
      </c>
      <c r="O107" s="434">
        <v>30000</v>
      </c>
      <c r="P107" s="69">
        <f>(122994/10000)*8.7</f>
        <v>107.00478</v>
      </c>
      <c r="Q107" s="69">
        <f>(107154/10000)*8.7</f>
        <v>93.223979999999997</v>
      </c>
      <c r="R107" s="69">
        <f t="shared" si="69"/>
        <v>13.780799999999999</v>
      </c>
      <c r="S107" s="435">
        <f t="shared" si="70"/>
        <v>0.24933102471273413</v>
      </c>
      <c r="T107" s="435">
        <f t="shared" si="71"/>
        <v>0.25519763705891613</v>
      </c>
      <c r="U107" s="435"/>
      <c r="V107" s="31"/>
      <c r="W107" s="32"/>
      <c r="X107" s="33"/>
      <c r="Y107" s="33"/>
      <c r="Z107" s="33"/>
      <c r="AA107" s="33"/>
      <c r="AB107" s="438"/>
      <c r="AC107" s="33"/>
    </row>
    <row r="108" spans="1:29" x14ac:dyDescent="0.3">
      <c r="A108" s="174">
        <v>43884.6875</v>
      </c>
      <c r="B108" s="174">
        <v>43888.125</v>
      </c>
      <c r="C108" s="23"/>
      <c r="D108" s="23"/>
      <c r="E108" s="35" t="s">
        <v>520</v>
      </c>
      <c r="F108" s="25" t="s">
        <v>32</v>
      </c>
      <c r="G108" s="433">
        <v>78824</v>
      </c>
      <c r="H108" s="433"/>
      <c r="I108" s="433">
        <v>78824</v>
      </c>
      <c r="J108" s="26">
        <f t="shared" si="65"/>
        <v>0</v>
      </c>
      <c r="K108" s="27">
        <f t="shared" si="66"/>
        <v>3.4375</v>
      </c>
      <c r="L108" s="27">
        <f>[33]AZUR!$F$128</f>
        <v>1.7309027777579711</v>
      </c>
      <c r="M108" s="462">
        <f t="shared" si="67"/>
        <v>22930.618181818183</v>
      </c>
      <c r="N108" s="434">
        <f t="shared" si="68"/>
        <v>45539.241725696629</v>
      </c>
      <c r="O108" s="434">
        <v>30000</v>
      </c>
      <c r="P108" s="69">
        <f>(99074/10000)*8.7</f>
        <v>86.194379999999995</v>
      </c>
      <c r="Q108" s="69">
        <f>(80454/10000)*8.7</f>
        <v>69.994979999999998</v>
      </c>
      <c r="R108" s="69">
        <f t="shared" si="69"/>
        <v>16.199399999999997</v>
      </c>
      <c r="S108" s="435">
        <f t="shared" si="70"/>
        <v>0.23622247031361007</v>
      </c>
      <c r="T108" s="435">
        <f t="shared" si="71"/>
        <v>0.24178064608569499</v>
      </c>
      <c r="U108" s="69">
        <f>S108-T108</f>
        <v>-5.5581757720849223E-3</v>
      </c>
      <c r="V108" s="436"/>
      <c r="W108" s="437"/>
      <c r="X108" s="33"/>
      <c r="Y108" s="33"/>
      <c r="Z108" s="33"/>
      <c r="AA108" s="33"/>
      <c r="AB108" s="438"/>
      <c r="AC108" s="33"/>
    </row>
    <row r="109" spans="1:29" x14ac:dyDescent="0.3">
      <c r="A109" s="174">
        <v>43891.975694444445</v>
      </c>
      <c r="B109" s="174">
        <v>43894.625</v>
      </c>
      <c r="C109" s="23"/>
      <c r="D109" s="14"/>
      <c r="E109" s="35" t="s">
        <v>521</v>
      </c>
      <c r="F109" s="36" t="s">
        <v>328</v>
      </c>
      <c r="G109" s="433">
        <v>71500</v>
      </c>
      <c r="H109" s="433"/>
      <c r="I109" s="433">
        <v>71500</v>
      </c>
      <c r="J109" s="26">
        <f t="shared" si="65"/>
        <v>0</v>
      </c>
      <c r="K109" s="27">
        <f t="shared" si="66"/>
        <v>2.6493055555547471</v>
      </c>
      <c r="L109" s="27">
        <f>'[34]PANAMAX BREEZE'!$F$111</f>
        <v>1.5729166666824312</v>
      </c>
      <c r="M109" s="434">
        <f t="shared" si="67"/>
        <v>26988.204456102601</v>
      </c>
      <c r="N109" s="434">
        <f t="shared" si="68"/>
        <v>45456.953641928514</v>
      </c>
      <c r="O109" s="434">
        <v>30000</v>
      </c>
      <c r="P109" s="69">
        <f>(73074/10000)*8.7</f>
        <v>63.574379999999998</v>
      </c>
      <c r="Q109" s="69">
        <f>(59114/10000)*8.7</f>
        <v>51.429180000000002</v>
      </c>
      <c r="R109" s="69">
        <f t="shared" si="69"/>
        <v>12.145199999999996</v>
      </c>
      <c r="S109" s="435">
        <f t="shared" si="70"/>
        <v>0.19524475524475518</v>
      </c>
      <c r="T109" s="435">
        <f t="shared" si="71"/>
        <v>0.19983874948580826</v>
      </c>
      <c r="U109" s="435" t="e">
        <f>S109/8.5*10000/(H109)</f>
        <v>#DIV/0!</v>
      </c>
      <c r="V109" s="436"/>
      <c r="W109" s="32"/>
      <c r="X109" s="33"/>
      <c r="Y109" s="33"/>
      <c r="Z109" s="33"/>
      <c r="AA109" s="33"/>
      <c r="AB109" s="438"/>
      <c r="AC109" s="33"/>
    </row>
    <row r="110" spans="1:29" x14ac:dyDescent="0.3">
      <c r="A110" s="174">
        <v>43910.305555555555</v>
      </c>
      <c r="B110" s="174">
        <v>43911.197916666664</v>
      </c>
      <c r="C110" s="23"/>
      <c r="D110" s="14"/>
      <c r="E110" s="35" t="s">
        <v>522</v>
      </c>
      <c r="F110" s="36" t="s">
        <v>328</v>
      </c>
      <c r="G110" s="433">
        <v>25681</v>
      </c>
      <c r="H110" s="433"/>
      <c r="I110" s="433">
        <v>76391</v>
      </c>
      <c r="J110" s="26">
        <f t="shared" si="65"/>
        <v>-50710</v>
      </c>
      <c r="K110" s="27">
        <f t="shared" si="66"/>
        <v>0.89236111110949423</v>
      </c>
      <c r="L110" s="27">
        <f>'[34]SCARLET ROSELLA'!$F$58</f>
        <v>0.67534722221535048</v>
      </c>
      <c r="M110" s="434">
        <f t="shared" si="67"/>
        <v>28778.708171258371</v>
      </c>
      <c r="N110" s="462">
        <f t="shared" si="68"/>
        <v>38026.365038947333</v>
      </c>
      <c r="O110" s="434">
        <v>30000</v>
      </c>
      <c r="P110" s="69">
        <f>(143287/10000)*8.7</f>
        <v>124.65968999999998</v>
      </c>
      <c r="Q110" s="69">
        <f>(138187/10000)*8.7</f>
        <v>120.22268999999999</v>
      </c>
      <c r="R110" s="69">
        <f t="shared" si="69"/>
        <v>4.4369999999999976</v>
      </c>
      <c r="S110" s="435">
        <f t="shared" si="70"/>
        <v>0.19859039757018801</v>
      </c>
      <c r="T110" s="435">
        <f t="shared" si="71"/>
        <v>0.20326311280713358</v>
      </c>
      <c r="U110" s="435"/>
      <c r="V110" s="31"/>
      <c r="W110" s="32"/>
      <c r="X110" s="33"/>
      <c r="Y110" s="33"/>
      <c r="Z110" s="33"/>
      <c r="AA110" s="33"/>
      <c r="AB110" s="438"/>
      <c r="AC110" s="33"/>
    </row>
    <row r="111" spans="1:29" x14ac:dyDescent="0.3">
      <c r="A111" s="174">
        <v>43911.482638888891</v>
      </c>
      <c r="B111" s="439">
        <v>43914.052083333336</v>
      </c>
      <c r="C111" s="23"/>
      <c r="D111" s="23"/>
      <c r="E111" s="35" t="s">
        <v>523</v>
      </c>
      <c r="F111" s="25" t="s">
        <v>328</v>
      </c>
      <c r="G111" s="433">
        <v>87893</v>
      </c>
      <c r="H111" s="433"/>
      <c r="I111" s="433">
        <v>88000</v>
      </c>
      <c r="J111" s="26">
        <f t="shared" si="65"/>
        <v>-107</v>
      </c>
      <c r="K111" s="27">
        <f t="shared" si="66"/>
        <v>2.5694444444452529</v>
      </c>
      <c r="L111" s="27">
        <f>'[34]GREAT GLEN'!$F$115</f>
        <v>1.9809027777810115</v>
      </c>
      <c r="M111" s="434">
        <f t="shared" si="67"/>
        <v>34207.005405394644</v>
      </c>
      <c r="N111" s="462">
        <f t="shared" si="68"/>
        <v>44370.173531917048</v>
      </c>
      <c r="O111" s="434">
        <v>30000</v>
      </c>
      <c r="P111" s="69">
        <f>(137187/10000)*8.7</f>
        <v>119.35269</v>
      </c>
      <c r="Q111" s="69">
        <f>(121127/10000)*8.7</f>
        <v>105.38048999999999</v>
      </c>
      <c r="R111" s="69">
        <f t="shared" si="69"/>
        <v>13.972200000000001</v>
      </c>
      <c r="S111" s="435">
        <f t="shared" si="70"/>
        <v>0.18272217355193252</v>
      </c>
      <c r="T111" s="435">
        <f t="shared" si="71"/>
        <v>0.18702151881197795</v>
      </c>
      <c r="U111" s="69">
        <f>S111-T111</f>
        <v>-4.2993452600454396E-3</v>
      </c>
      <c r="V111" s="436"/>
      <c r="W111" s="437"/>
      <c r="X111" s="33"/>
      <c r="Y111" s="33"/>
      <c r="Z111" s="33"/>
      <c r="AA111" s="33"/>
      <c r="AB111" s="438"/>
      <c r="AC111" s="33"/>
    </row>
    <row r="112" spans="1:29" x14ac:dyDescent="0.3">
      <c r="A112" s="174">
        <v>43914.395833333336</v>
      </c>
      <c r="B112" s="439">
        <v>43916.680555555555</v>
      </c>
      <c r="C112" s="23"/>
      <c r="D112" s="23"/>
      <c r="E112" s="35" t="s">
        <v>294</v>
      </c>
      <c r="F112" s="25" t="s">
        <v>328</v>
      </c>
      <c r="G112" s="433">
        <v>68026</v>
      </c>
      <c r="H112" s="433"/>
      <c r="I112" s="433">
        <v>68000</v>
      </c>
      <c r="J112" s="26">
        <f t="shared" si="65"/>
        <v>26</v>
      </c>
      <c r="K112" s="27">
        <f t="shared" si="66"/>
        <v>2.2847222222189885</v>
      </c>
      <c r="L112" s="27">
        <f>'[34]KARTINI BARUNA'!$F$100</f>
        <v>1.5190972222480923</v>
      </c>
      <c r="M112" s="434">
        <f t="shared" si="67"/>
        <v>29774.297872382569</v>
      </c>
      <c r="N112" s="462">
        <f t="shared" si="68"/>
        <v>44780.543999237394</v>
      </c>
      <c r="O112" s="434">
        <v>30000</v>
      </c>
      <c r="P112" s="69">
        <f>(138909/10000)*8.7</f>
        <v>120.85082999999999</v>
      </c>
      <c r="Q112" s="69">
        <f>(124770/10000)*8.7</f>
        <v>108.54989999999999</v>
      </c>
      <c r="R112" s="69">
        <f t="shared" si="69"/>
        <v>12.300929999999994</v>
      </c>
      <c r="S112" s="435">
        <f t="shared" si="70"/>
        <v>0.20784699967659417</v>
      </c>
      <c r="T112" s="435">
        <f t="shared" si="71"/>
        <v>0.2127375173160434</v>
      </c>
      <c r="U112" s="69"/>
      <c r="V112" s="436"/>
      <c r="W112" s="437"/>
      <c r="X112" s="33"/>
      <c r="Y112" s="33"/>
      <c r="Z112" s="33"/>
      <c r="AA112" s="33"/>
      <c r="AB112" s="438"/>
      <c r="AC112" s="33"/>
    </row>
    <row r="113" spans="1:29" x14ac:dyDescent="0.3">
      <c r="A113" s="439">
        <v>43916.881944444445</v>
      </c>
      <c r="B113" s="439">
        <v>43919.53125</v>
      </c>
      <c r="C113" s="23"/>
      <c r="D113" s="23"/>
      <c r="E113" s="35" t="s">
        <v>263</v>
      </c>
      <c r="F113" s="25" t="s">
        <v>328</v>
      </c>
      <c r="G113" s="433">
        <v>82499</v>
      </c>
      <c r="H113" s="433"/>
      <c r="I113" s="433">
        <v>82500</v>
      </c>
      <c r="J113" s="26">
        <f t="shared" si="65"/>
        <v>-1</v>
      </c>
      <c r="K113" s="27">
        <f t="shared" si="66"/>
        <v>2.6493055555547471</v>
      </c>
      <c r="L113" s="27">
        <f>'[34]LEADING GLORY'!$F$114</f>
        <v>1.8246527777882875</v>
      </c>
      <c r="M113" s="434">
        <f t="shared" si="67"/>
        <v>31139.858453482633</v>
      </c>
      <c r="N113" s="434">
        <f t="shared" si="68"/>
        <v>45213.533777094475</v>
      </c>
      <c r="O113" s="434">
        <v>30000</v>
      </c>
      <c r="P113" s="69">
        <f>(123950/10000)*8.7</f>
        <v>107.83649999999999</v>
      </c>
      <c r="Q113" s="69">
        <f>(112530/10000)*8.7</f>
        <v>97.9011</v>
      </c>
      <c r="R113" s="69">
        <f t="shared" si="69"/>
        <v>9.9353999999999871</v>
      </c>
      <c r="S113" s="435">
        <f t="shared" si="70"/>
        <v>0.13842592031418546</v>
      </c>
      <c r="T113" s="435">
        <f t="shared" si="71"/>
        <v>0.14168300079216628</v>
      </c>
      <c r="U113" s="435"/>
      <c r="V113" s="436"/>
      <c r="W113" s="437"/>
      <c r="X113" s="33"/>
      <c r="Y113" s="33"/>
      <c r="Z113" s="33"/>
      <c r="AA113" s="33"/>
      <c r="AB113" s="438"/>
      <c r="AC113" s="33"/>
    </row>
    <row r="114" spans="1:29" x14ac:dyDescent="0.3">
      <c r="A114" s="439">
        <v>43919.756944444445</v>
      </c>
      <c r="B114" s="439">
        <v>43921.1875</v>
      </c>
      <c r="C114" s="23"/>
      <c r="D114" s="23"/>
      <c r="E114" s="35" t="s">
        <v>524</v>
      </c>
      <c r="F114" s="25" t="s">
        <v>328</v>
      </c>
      <c r="G114" s="433">
        <v>38097</v>
      </c>
      <c r="H114" s="433"/>
      <c r="I114" s="433">
        <v>67000</v>
      </c>
      <c r="J114" s="26">
        <f t="shared" si="65"/>
        <v>-28903</v>
      </c>
      <c r="K114" s="27">
        <f t="shared" si="66"/>
        <v>1.4305555555547471</v>
      </c>
      <c r="L114" s="27">
        <f>'[34]KARTINI SAMUDERA'!$F$70</f>
        <v>1.0798611110985803</v>
      </c>
      <c r="M114" s="434">
        <f t="shared" si="67"/>
        <v>26630.912621374275</v>
      </c>
      <c r="N114" s="462">
        <f t="shared" si="68"/>
        <v>35279.536977901349</v>
      </c>
      <c r="O114" s="434">
        <v>30000</v>
      </c>
      <c r="P114" s="69">
        <f>(108650/10000)*8.7</f>
        <v>94.525499999999994</v>
      </c>
      <c r="Q114" s="69">
        <f>(100626/10000)*8.7</f>
        <v>87.544619999999995</v>
      </c>
      <c r="R114" s="69">
        <f t="shared" si="69"/>
        <v>6.9808799999999991</v>
      </c>
      <c r="S114" s="435">
        <f t="shared" si="70"/>
        <v>0.2106202588130299</v>
      </c>
      <c r="T114" s="435">
        <f t="shared" si="71"/>
        <v>0.21557602960863059</v>
      </c>
      <c r="U114" s="435"/>
      <c r="V114" s="436"/>
      <c r="W114" s="437"/>
      <c r="X114" s="33"/>
      <c r="Y114" s="33"/>
      <c r="Z114" s="33"/>
      <c r="AA114" s="33"/>
      <c r="AB114" s="438"/>
      <c r="AC114" s="33"/>
    </row>
    <row r="115" spans="1:29" x14ac:dyDescent="0.3">
      <c r="A115" s="439">
        <v>43921.399305555555</v>
      </c>
      <c r="B115" s="174">
        <v>43923.4375</v>
      </c>
      <c r="C115" s="23"/>
      <c r="D115" s="14"/>
      <c r="E115" s="35" t="s">
        <v>278</v>
      </c>
      <c r="F115" s="36" t="s">
        <v>32</v>
      </c>
      <c r="G115" s="433">
        <v>57036</v>
      </c>
      <c r="H115" s="433"/>
      <c r="I115" s="433">
        <v>67000</v>
      </c>
      <c r="J115" s="26">
        <f t="shared" ref="J115:J125" si="72">G115-I115</f>
        <v>-9964</v>
      </c>
      <c r="K115" s="27">
        <f t="shared" ref="K115:K125" si="73">B115-A115</f>
        <v>2.0381944444452529</v>
      </c>
      <c r="L115" s="27">
        <f>'[35]ANDHIKA KANISHKA'!$F$94</f>
        <v>1.1857638888759539</v>
      </c>
      <c r="M115" s="434">
        <f t="shared" ref="M115:M125" si="74">(G115)/K115</f>
        <v>27983.591141385834</v>
      </c>
      <c r="N115" s="434">
        <f t="shared" ref="N115:N125" si="75">G115/L115</f>
        <v>48100.63836070041</v>
      </c>
      <c r="O115" s="434">
        <v>30000</v>
      </c>
      <c r="P115" s="69">
        <f>(119763/10000)*8.7</f>
        <v>104.19381</v>
      </c>
      <c r="Q115" s="69">
        <f>(107871/10000)*8.7</f>
        <v>93.847769999999997</v>
      </c>
      <c r="R115" s="69">
        <f t="shared" ref="R115:R125" si="76">P115-Q115</f>
        <v>10.346040000000002</v>
      </c>
      <c r="S115" s="435">
        <f t="shared" ref="S115:S125" si="77">R115/8.7*10000/(G115)</f>
        <v>0.20849989480328218</v>
      </c>
      <c r="T115" s="435">
        <f t="shared" si="71"/>
        <v>0.21340577468100647</v>
      </c>
      <c r="U115" s="435" t="e">
        <f>S115/8.5*10000/(H115)</f>
        <v>#DIV/0!</v>
      </c>
      <c r="V115" s="436"/>
      <c r="W115" s="32"/>
      <c r="X115" s="33"/>
      <c r="Y115" s="33"/>
      <c r="Z115" s="33"/>
      <c r="AA115" s="33"/>
      <c r="AB115" s="438"/>
      <c r="AC115" s="33"/>
    </row>
    <row r="116" spans="1:29" x14ac:dyDescent="0.3">
      <c r="A116" s="174">
        <v>43923.697916666664</v>
      </c>
      <c r="B116" s="174">
        <v>43927.180555555555</v>
      </c>
      <c r="C116" s="23"/>
      <c r="D116" s="14"/>
      <c r="E116" s="35" t="s">
        <v>525</v>
      </c>
      <c r="F116" s="36" t="s">
        <v>328</v>
      </c>
      <c r="G116" s="433">
        <v>67701</v>
      </c>
      <c r="H116" s="433"/>
      <c r="I116" s="433">
        <v>67700</v>
      </c>
      <c r="J116" s="26">
        <f t="shared" si="72"/>
        <v>1</v>
      </c>
      <c r="K116" s="27">
        <f t="shared" si="73"/>
        <v>3.4826388888905058</v>
      </c>
      <c r="L116" s="27">
        <f>'[35]GUO YUAN 8'!$F$107</f>
        <v>1.4722222222153505</v>
      </c>
      <c r="M116" s="462">
        <f t="shared" si="74"/>
        <v>19439.569292114604</v>
      </c>
      <c r="N116" s="434">
        <f t="shared" si="75"/>
        <v>45985.584905875017</v>
      </c>
      <c r="O116" s="434">
        <v>30000</v>
      </c>
      <c r="P116" s="69">
        <f>(121589/10000)*8.7</f>
        <v>105.78242999999999</v>
      </c>
      <c r="Q116" s="69">
        <f>(104994/10000)*8.7</f>
        <v>91.344779999999986</v>
      </c>
      <c r="R116" s="69">
        <f t="shared" si="76"/>
        <v>14.437650000000005</v>
      </c>
      <c r="S116" s="435">
        <f t="shared" si="77"/>
        <v>0.24512193320630429</v>
      </c>
      <c r="T116" s="435">
        <f t="shared" ref="T116:T125" si="78">R116/8.5*10000/(G116)</f>
        <v>0.25088950810527616</v>
      </c>
      <c r="U116" s="435"/>
      <c r="V116" s="31"/>
      <c r="W116" s="32"/>
      <c r="X116" s="33"/>
      <c r="Y116" s="33"/>
      <c r="Z116" s="33"/>
      <c r="AA116" s="33"/>
      <c r="AB116" s="438"/>
      <c r="AC116" s="33"/>
    </row>
    <row r="117" spans="1:29" x14ac:dyDescent="0.3">
      <c r="A117" s="174">
        <v>43927.385416666664</v>
      </c>
      <c r="B117" s="439">
        <v>43930.4375</v>
      </c>
      <c r="C117" s="23"/>
      <c r="D117" s="23"/>
      <c r="E117" s="35" t="s">
        <v>294</v>
      </c>
      <c r="F117" s="25" t="s">
        <v>328</v>
      </c>
      <c r="G117" s="433">
        <v>67012</v>
      </c>
      <c r="H117" s="433"/>
      <c r="I117" s="433">
        <v>67000</v>
      </c>
      <c r="J117" s="26">
        <f t="shared" si="72"/>
        <v>12</v>
      </c>
      <c r="K117" s="27">
        <f t="shared" si="73"/>
        <v>3.0520833333357587</v>
      </c>
      <c r="L117" s="27">
        <f>'[35]KARTINI BARUNA'!$F$106</f>
        <v>1.4965277777810115</v>
      </c>
      <c r="M117" s="462">
        <f t="shared" si="74"/>
        <v>21956.150170631015</v>
      </c>
      <c r="N117" s="462">
        <f t="shared" si="75"/>
        <v>44778.320185518089</v>
      </c>
      <c r="O117" s="434">
        <v>30000</v>
      </c>
      <c r="P117" s="69">
        <f>(124174/10000)*8.7</f>
        <v>108.03138</v>
      </c>
      <c r="Q117" s="69">
        <f>(103094/10000)*8.7</f>
        <v>89.691779999999994</v>
      </c>
      <c r="R117" s="69">
        <f t="shared" si="76"/>
        <v>18.339600000000004</v>
      </c>
      <c r="S117" s="435">
        <f t="shared" si="77"/>
        <v>0.31457052468214652</v>
      </c>
      <c r="T117" s="435">
        <f t="shared" si="78"/>
        <v>0.32197218408643236</v>
      </c>
      <c r="U117" s="69">
        <f>S117-T117</f>
        <v>-7.4016594042858319E-3</v>
      </c>
      <c r="V117" s="436"/>
      <c r="W117" s="437"/>
      <c r="X117" s="33"/>
      <c r="Y117" s="33"/>
      <c r="Z117" s="33"/>
      <c r="AA117" s="33"/>
      <c r="AB117" s="438"/>
      <c r="AC117" s="33"/>
    </row>
    <row r="118" spans="1:29" x14ac:dyDescent="0.3">
      <c r="A118" s="439">
        <v>43930.75</v>
      </c>
      <c r="B118" s="439">
        <v>43934.055555555555</v>
      </c>
      <c r="C118" s="23"/>
      <c r="D118" s="23"/>
      <c r="E118" s="35" t="s">
        <v>495</v>
      </c>
      <c r="F118" s="25" t="s">
        <v>328</v>
      </c>
      <c r="G118" s="433">
        <v>68026</v>
      </c>
      <c r="H118" s="433"/>
      <c r="I118" s="433">
        <v>68000</v>
      </c>
      <c r="J118" s="26">
        <f t="shared" si="72"/>
        <v>26</v>
      </c>
      <c r="K118" s="27">
        <f t="shared" si="73"/>
        <v>3.3055555555547471</v>
      </c>
      <c r="L118" s="27">
        <f>'[35]ARIMBI BARUNA'!$F$100</f>
        <v>1.734374999992724</v>
      </c>
      <c r="M118" s="462">
        <f t="shared" si="74"/>
        <v>20579.294117652091</v>
      </c>
      <c r="N118" s="462">
        <f t="shared" si="75"/>
        <v>39222.198198362741</v>
      </c>
      <c r="O118" s="434">
        <v>30000</v>
      </c>
      <c r="P118" s="69">
        <f>(117532/10000)*8.7</f>
        <v>102.25283999999999</v>
      </c>
      <c r="Q118" s="69">
        <f>(97992/10000)*8.7</f>
        <v>85.253039999999999</v>
      </c>
      <c r="R118" s="69">
        <f t="shared" si="76"/>
        <v>16.999799999999993</v>
      </c>
      <c r="S118" s="435">
        <f t="shared" si="77"/>
        <v>0.28724311292741</v>
      </c>
      <c r="T118" s="435">
        <f t="shared" si="78"/>
        <v>0.29400177440805497</v>
      </c>
      <c r="U118" s="435"/>
      <c r="V118" s="436"/>
      <c r="W118" s="437"/>
      <c r="X118" s="33"/>
      <c r="Y118" s="33"/>
      <c r="Z118" s="33"/>
      <c r="AA118" s="33"/>
      <c r="AB118" s="438"/>
      <c r="AC118" s="33"/>
    </row>
    <row r="119" spans="1:29" x14ac:dyDescent="0.3">
      <c r="A119" s="439">
        <v>43934.3125</v>
      </c>
      <c r="B119" s="439">
        <v>43938.013888888891</v>
      </c>
      <c r="C119" s="23"/>
      <c r="D119" s="23"/>
      <c r="E119" s="35" t="s">
        <v>526</v>
      </c>
      <c r="F119" s="25" t="s">
        <v>32</v>
      </c>
      <c r="G119" s="433">
        <v>67036</v>
      </c>
      <c r="H119" s="433"/>
      <c r="I119" s="433">
        <v>67000</v>
      </c>
      <c r="J119" s="26">
        <f t="shared" si="72"/>
        <v>36</v>
      </c>
      <c r="K119" s="27">
        <f t="shared" si="73"/>
        <v>3.7013888888905058</v>
      </c>
      <c r="L119" s="27">
        <f>'[35]ANDHIKA KANISHKA (2)'!$F$102</f>
        <v>1.6597222222080745</v>
      </c>
      <c r="M119" s="462">
        <f t="shared" si="74"/>
        <v>18111.039399616853</v>
      </c>
      <c r="N119" s="462">
        <f t="shared" si="75"/>
        <v>40389.891213733412</v>
      </c>
      <c r="O119" s="434">
        <v>30000</v>
      </c>
      <c r="P119" s="69">
        <f>(117732/10000)*8.7</f>
        <v>102.42683999999998</v>
      </c>
      <c r="Q119" s="69">
        <f>(94855/10000)*8.7</f>
        <v>82.523849999999996</v>
      </c>
      <c r="R119" s="69">
        <f t="shared" si="76"/>
        <v>19.902989999999988</v>
      </c>
      <c r="S119" s="435">
        <f t="shared" si="77"/>
        <v>0.3412643952503131</v>
      </c>
      <c r="T119" s="435">
        <f t="shared" si="78"/>
        <v>0.34929414572679107</v>
      </c>
      <c r="U119" s="435"/>
      <c r="V119" s="436"/>
      <c r="W119" s="437"/>
      <c r="X119" s="33"/>
      <c r="Y119" s="33"/>
      <c r="Z119" s="33"/>
      <c r="AA119" s="33"/>
      <c r="AB119" s="438"/>
      <c r="AC119" s="33"/>
    </row>
    <row r="120" spans="1:29" x14ac:dyDescent="0.3">
      <c r="A120" s="439">
        <v>43938.305555555555</v>
      </c>
      <c r="B120" s="439">
        <v>43940.618055555555</v>
      </c>
      <c r="C120" s="23"/>
      <c r="D120" s="23"/>
      <c r="E120" s="35" t="s">
        <v>527</v>
      </c>
      <c r="F120" s="25" t="s">
        <v>328</v>
      </c>
      <c r="G120" s="433">
        <v>67018</v>
      </c>
      <c r="H120" s="433"/>
      <c r="I120" s="433">
        <v>67000</v>
      </c>
      <c r="J120" s="26">
        <f t="shared" si="72"/>
        <v>18</v>
      </c>
      <c r="K120" s="27">
        <f t="shared" si="73"/>
        <v>2.3125</v>
      </c>
      <c r="L120" s="27">
        <f>'[35]MANALAGI PRITA'!$F$98</f>
        <v>1.5503472222226264</v>
      </c>
      <c r="M120" s="434">
        <f t="shared" si="74"/>
        <v>28980.756756756757</v>
      </c>
      <c r="N120" s="462">
        <f t="shared" si="75"/>
        <v>43227.735722273166</v>
      </c>
      <c r="O120" s="434">
        <v>30000</v>
      </c>
      <c r="P120" s="69">
        <f>(109438/10000)*8.7</f>
        <v>95.211059999999989</v>
      </c>
      <c r="Q120" s="69">
        <f>(91256/10000)*8.7</f>
        <v>79.392719999999997</v>
      </c>
      <c r="R120" s="69">
        <f t="shared" si="76"/>
        <v>15.818339999999992</v>
      </c>
      <c r="S120" s="435">
        <f t="shared" si="77"/>
        <v>0.27130024769464911</v>
      </c>
      <c r="T120" s="435">
        <f t="shared" si="78"/>
        <v>0.27768378293452312</v>
      </c>
      <c r="U120" s="435"/>
      <c r="V120" s="436"/>
      <c r="W120" s="437"/>
      <c r="X120" s="33"/>
      <c r="Y120" s="33"/>
      <c r="Z120" s="33"/>
      <c r="AA120" s="33"/>
      <c r="AB120" s="438"/>
      <c r="AC120" s="33"/>
    </row>
    <row r="121" spans="1:29" x14ac:dyDescent="0.3">
      <c r="A121" s="439">
        <v>43940.819444444445</v>
      </c>
      <c r="B121" s="439">
        <v>43943.4375</v>
      </c>
      <c r="C121" s="23"/>
      <c r="D121" s="23"/>
      <c r="E121" s="35" t="s">
        <v>317</v>
      </c>
      <c r="F121" s="25" t="s">
        <v>328</v>
      </c>
      <c r="G121" s="433">
        <v>68021</v>
      </c>
      <c r="H121" s="433"/>
      <c r="I121" s="433">
        <v>68000</v>
      </c>
      <c r="J121" s="26">
        <f t="shared" si="72"/>
        <v>21</v>
      </c>
      <c r="K121" s="27">
        <f t="shared" si="73"/>
        <v>2.6180555555547471</v>
      </c>
      <c r="L121" s="27">
        <f>'[35]KARTINI SAMUDERA'!$F$100</f>
        <v>1.6336805555511091</v>
      </c>
      <c r="M121" s="434">
        <f t="shared" si="74"/>
        <v>25981.49602122818</v>
      </c>
      <c r="N121" s="462">
        <f t="shared" si="75"/>
        <v>41636.658873652115</v>
      </c>
      <c r="O121" s="434">
        <v>30000</v>
      </c>
      <c r="P121" s="69">
        <f>(111120/10000)*8.7</f>
        <v>96.674399999999991</v>
      </c>
      <c r="Q121" s="69">
        <f>(95993/10000)*8.7</f>
        <v>83.513909999999996</v>
      </c>
      <c r="R121" s="69">
        <f t="shared" si="76"/>
        <v>13.160489999999996</v>
      </c>
      <c r="S121" s="435">
        <f t="shared" si="77"/>
        <v>0.22238720395172074</v>
      </c>
      <c r="T121" s="435">
        <f t="shared" si="78"/>
        <v>0.22761984404470237</v>
      </c>
      <c r="U121" s="435"/>
      <c r="V121" s="436"/>
      <c r="W121" s="437"/>
      <c r="X121" s="33"/>
      <c r="Y121" s="33"/>
      <c r="Z121" s="33"/>
      <c r="AA121" s="33"/>
      <c r="AB121" s="438"/>
      <c r="AC121" s="33"/>
    </row>
    <row r="122" spans="1:29" x14ac:dyDescent="0.3">
      <c r="A122" s="439">
        <v>43943.638888888891</v>
      </c>
      <c r="B122" s="439">
        <v>43945.965277777781</v>
      </c>
      <c r="C122" s="23"/>
      <c r="D122" s="23"/>
      <c r="E122" s="35" t="s">
        <v>528</v>
      </c>
      <c r="F122" s="25" t="s">
        <v>328</v>
      </c>
      <c r="G122" s="433">
        <v>70301</v>
      </c>
      <c r="H122" s="433"/>
      <c r="I122" s="433">
        <v>70300</v>
      </c>
      <c r="J122" s="26">
        <f t="shared" si="72"/>
        <v>1</v>
      </c>
      <c r="K122" s="27">
        <f t="shared" si="73"/>
        <v>2.3263888888905058</v>
      </c>
      <c r="L122" s="27">
        <f>'[35]XIE HAI FA ZHAN'!$F$104</f>
        <v>1.5798611111094942</v>
      </c>
      <c r="M122" s="434">
        <f t="shared" si="74"/>
        <v>30218.937313411832</v>
      </c>
      <c r="N122" s="462">
        <f t="shared" si="75"/>
        <v>44498.215384660929</v>
      </c>
      <c r="O122" s="434">
        <v>30000</v>
      </c>
      <c r="P122" s="69">
        <f>(95741/10000)*8.7</f>
        <v>83.294669999999996</v>
      </c>
      <c r="Q122" s="69">
        <f>(81923/10000)*8.7</f>
        <v>71.273009999999985</v>
      </c>
      <c r="R122" s="69">
        <f t="shared" si="76"/>
        <v>12.021660000000011</v>
      </c>
      <c r="S122" s="435">
        <f t="shared" si="77"/>
        <v>0.19655481429851659</v>
      </c>
      <c r="T122" s="435">
        <f t="shared" si="78"/>
        <v>0.20117963345848167</v>
      </c>
      <c r="U122" s="435"/>
      <c r="V122" s="436"/>
      <c r="W122" s="437"/>
      <c r="X122" s="33"/>
      <c r="Y122" s="33"/>
      <c r="Z122" s="33"/>
      <c r="AA122" s="33"/>
      <c r="AB122" s="438"/>
      <c r="AC122" s="33"/>
    </row>
    <row r="123" spans="1:29" x14ac:dyDescent="0.3">
      <c r="A123" s="439">
        <v>43946.236111111109</v>
      </c>
      <c r="B123" s="439">
        <v>43946.899305555555</v>
      </c>
      <c r="C123" s="23"/>
      <c r="D123" s="23"/>
      <c r="E123" s="35" t="s">
        <v>519</v>
      </c>
      <c r="F123" s="25" t="s">
        <v>328</v>
      </c>
      <c r="G123" s="433">
        <v>21985</v>
      </c>
      <c r="H123" s="433"/>
      <c r="I123" s="433">
        <v>68788</v>
      </c>
      <c r="J123" s="26">
        <f t="shared" si="72"/>
        <v>-46803</v>
      </c>
      <c r="K123" s="27">
        <f t="shared" si="73"/>
        <v>0.66319444444525288</v>
      </c>
      <c r="L123" s="27">
        <f>'[35]NINGBO PIONEER'!$F$47</f>
        <v>0.42881944444161491</v>
      </c>
      <c r="M123" s="434">
        <f t="shared" si="74"/>
        <v>33150.157068022418</v>
      </c>
      <c r="N123" s="567">
        <f t="shared" si="75"/>
        <v>51268.663967949629</v>
      </c>
      <c r="O123" s="434">
        <v>30000</v>
      </c>
      <c r="P123" s="69">
        <f>(96477/10000)*8.7</f>
        <v>83.934989999999999</v>
      </c>
      <c r="Q123" s="69">
        <f>(92517/10000)*8.7</f>
        <v>80.489789999999985</v>
      </c>
      <c r="R123" s="69">
        <f t="shared" si="76"/>
        <v>3.445200000000014</v>
      </c>
      <c r="S123" s="435">
        <f t="shared" si="77"/>
        <v>0.18012281100750585</v>
      </c>
      <c r="T123" s="435">
        <f t="shared" si="78"/>
        <v>0.18436099479591775</v>
      </c>
      <c r="U123" s="435"/>
      <c r="V123" s="436"/>
      <c r="W123" s="437"/>
      <c r="X123" s="33"/>
      <c r="Y123" s="33"/>
      <c r="Z123" s="33"/>
      <c r="AA123" s="33"/>
      <c r="AB123" s="438"/>
      <c r="AC123" s="33"/>
    </row>
    <row r="124" spans="1:29" x14ac:dyDescent="0.3">
      <c r="A124" s="439">
        <v>43947.204861111109</v>
      </c>
      <c r="B124" s="439">
        <v>43949.361111111109</v>
      </c>
      <c r="C124" s="23"/>
      <c r="D124" s="23"/>
      <c r="E124" s="35" t="s">
        <v>529</v>
      </c>
      <c r="F124" s="25" t="s">
        <v>328</v>
      </c>
      <c r="G124" s="433">
        <v>67012</v>
      </c>
      <c r="H124" s="433"/>
      <c r="I124" s="433">
        <v>67000</v>
      </c>
      <c r="J124" s="26">
        <f t="shared" si="72"/>
        <v>12</v>
      </c>
      <c r="K124" s="27">
        <f t="shared" si="73"/>
        <v>2.15625</v>
      </c>
      <c r="L124" s="27">
        <f>'[35]ANDHIKA KANISHKA (3)'!$F$98</f>
        <v>1.5572916666496894</v>
      </c>
      <c r="M124" s="434">
        <f t="shared" si="74"/>
        <v>31078.028985507248</v>
      </c>
      <c r="N124" s="462">
        <f t="shared" si="75"/>
        <v>43031.117057325304</v>
      </c>
      <c r="O124" s="434">
        <v>30000</v>
      </c>
      <c r="P124" s="69">
        <f>(91310/10000)*8.7</f>
        <v>79.439700000000002</v>
      </c>
      <c r="Q124" s="69">
        <f>(79128/10000)*8.7</f>
        <v>68.841359999999995</v>
      </c>
      <c r="R124" s="69">
        <f t="shared" si="76"/>
        <v>10.598340000000007</v>
      </c>
      <c r="S124" s="435">
        <f t="shared" si="77"/>
        <v>0.18178833641735825</v>
      </c>
      <c r="T124" s="435">
        <f t="shared" si="78"/>
        <v>0.18606570903894309</v>
      </c>
      <c r="U124" s="435"/>
      <c r="V124" s="436"/>
      <c r="W124" s="437"/>
      <c r="X124" s="33"/>
      <c r="Y124" s="33"/>
      <c r="Z124" s="33"/>
      <c r="AA124" s="33"/>
      <c r="AB124" s="438"/>
      <c r="AC124" s="33"/>
    </row>
    <row r="125" spans="1:29" x14ac:dyDescent="0.3">
      <c r="A125" s="439">
        <v>43949.583333333336</v>
      </c>
      <c r="B125" s="439">
        <v>43951.065972222219</v>
      </c>
      <c r="C125" s="23"/>
      <c r="D125" s="23"/>
      <c r="E125" s="35" t="s">
        <v>111</v>
      </c>
      <c r="F125" s="25" t="s">
        <v>328</v>
      </c>
      <c r="G125" s="433">
        <v>40151</v>
      </c>
      <c r="H125" s="433"/>
      <c r="I125" s="433">
        <v>67000</v>
      </c>
      <c r="J125" s="26">
        <f t="shared" si="72"/>
        <v>-26849</v>
      </c>
      <c r="K125" s="27">
        <f t="shared" si="73"/>
        <v>1.4826388888832298</v>
      </c>
      <c r="L125" s="27">
        <f>'[35]ANDHIKA PARAMESTI'!$F$71</f>
        <v>0.90625000000363798</v>
      </c>
      <c r="M125" s="434">
        <f t="shared" si="74"/>
        <v>27080.76814998627</v>
      </c>
      <c r="N125" s="462">
        <f t="shared" si="75"/>
        <v>44304.551723960081</v>
      </c>
      <c r="O125" s="434">
        <v>30000</v>
      </c>
      <c r="P125" s="69">
        <f>(98827/10000)*8.7</f>
        <v>85.979489999999998</v>
      </c>
      <c r="Q125" s="69">
        <f>(91556/10000)*8.7</f>
        <v>79.653719999999993</v>
      </c>
      <c r="R125" s="69">
        <f t="shared" si="76"/>
        <v>6.3257700000000057</v>
      </c>
      <c r="S125" s="435">
        <f t="shared" si="77"/>
        <v>0.18109138004034786</v>
      </c>
      <c r="T125" s="435">
        <f t="shared" si="78"/>
        <v>0.18535235368835604</v>
      </c>
      <c r="U125" s="435"/>
      <c r="V125" s="436"/>
      <c r="W125" s="437"/>
      <c r="X125" s="33"/>
      <c r="Y125" s="33"/>
      <c r="Z125" s="33"/>
      <c r="AA125" s="33"/>
      <c r="AB125" s="438"/>
      <c r="AC125" s="33"/>
    </row>
    <row r="126" spans="1:29" x14ac:dyDescent="0.3">
      <c r="A126" s="439">
        <v>43951.263888888891</v>
      </c>
      <c r="B126" s="439">
        <v>43952.638888888891</v>
      </c>
      <c r="C126" s="23"/>
      <c r="D126" s="14"/>
      <c r="E126" s="35" t="s">
        <v>530</v>
      </c>
      <c r="F126" s="25" t="s">
        <v>328</v>
      </c>
      <c r="G126" s="433">
        <v>35302</v>
      </c>
      <c r="H126" s="433"/>
      <c r="I126" s="433">
        <v>88000</v>
      </c>
      <c r="J126" s="26">
        <f t="shared" ref="J126:J135" si="79">G126-I126</f>
        <v>-52698</v>
      </c>
      <c r="K126" s="27">
        <f t="shared" ref="K126:K135" si="80">B126-A126</f>
        <v>1.375</v>
      </c>
      <c r="L126" s="27">
        <f>'[36]D SKALKEAS'!$F$56</f>
        <v>1.0416666666642413</v>
      </c>
      <c r="M126" s="434">
        <f t="shared" ref="M126:M135" si="81">(G126)/K126</f>
        <v>25674.18181818182</v>
      </c>
      <c r="N126" s="462">
        <f t="shared" ref="N126:N135" si="82">G126/L126</f>
        <v>33889.920000078906</v>
      </c>
      <c r="O126" s="434">
        <v>30000</v>
      </c>
      <c r="P126" s="69">
        <f>(111263/10000)*8.7</f>
        <v>96.798810000000003</v>
      </c>
      <c r="Q126" s="69">
        <f>(102908/10000)*8.7</f>
        <v>89.529960000000003</v>
      </c>
      <c r="R126" s="69">
        <f t="shared" ref="R126:R135" si="83">P126-Q126</f>
        <v>7.2688500000000005</v>
      </c>
      <c r="S126" s="435">
        <f t="shared" ref="S126:S135" si="84">R126/8.7*10000/(G126)</f>
        <v>0.23667214322134728</v>
      </c>
      <c r="T126" s="435">
        <f t="shared" ref="T126:T135" si="85">R126/8.5*10000/(G126)</f>
        <v>0.2422408995324378</v>
      </c>
      <c r="U126" s="435"/>
      <c r="V126" s="436"/>
      <c r="W126" s="437"/>
      <c r="X126" s="33"/>
      <c r="Y126" s="33"/>
      <c r="Z126" s="33"/>
      <c r="AA126" s="33"/>
      <c r="AB126" s="438"/>
      <c r="AC126" s="33"/>
    </row>
    <row r="127" spans="1:29" x14ac:dyDescent="0.3">
      <c r="A127" s="439">
        <v>43952.840277777781</v>
      </c>
      <c r="B127" s="439">
        <v>43955.71875</v>
      </c>
      <c r="C127" s="23"/>
      <c r="D127" s="14"/>
      <c r="E127" s="35" t="s">
        <v>531</v>
      </c>
      <c r="F127" s="25" t="s">
        <v>328</v>
      </c>
      <c r="G127" s="433">
        <v>73028</v>
      </c>
      <c r="H127" s="433"/>
      <c r="I127" s="433">
        <v>75200</v>
      </c>
      <c r="J127" s="26">
        <f t="shared" si="79"/>
        <v>-2172</v>
      </c>
      <c r="K127" s="27">
        <f t="shared" si="80"/>
        <v>2.8784722222189885</v>
      </c>
      <c r="L127" s="27">
        <f>'[36]YUE GUAN FENG'!$F$105</f>
        <v>2.1909722222068617</v>
      </c>
      <c r="M127" s="434">
        <f t="shared" si="81"/>
        <v>25370.402895082785</v>
      </c>
      <c r="N127" s="462">
        <f t="shared" si="82"/>
        <v>33331.321711802615</v>
      </c>
      <c r="O127" s="434">
        <v>30000</v>
      </c>
      <c r="P127" s="69">
        <f>(102008/10000)*8.7</f>
        <v>88.746959999999987</v>
      </c>
      <c r="Q127" s="69">
        <f>(85440/10000)*8.7</f>
        <v>74.332799999999992</v>
      </c>
      <c r="R127" s="69">
        <f t="shared" si="83"/>
        <v>14.414159999999995</v>
      </c>
      <c r="S127" s="435">
        <f t="shared" si="84"/>
        <v>0.22687188475653169</v>
      </c>
      <c r="T127" s="435">
        <f t="shared" si="85"/>
        <v>0.23221004675080301</v>
      </c>
      <c r="U127" s="435"/>
      <c r="V127" s="436"/>
      <c r="W127" s="437"/>
      <c r="X127" s="33"/>
      <c r="Y127" s="33"/>
      <c r="Z127" s="33"/>
      <c r="AA127" s="33"/>
      <c r="AB127" s="438"/>
      <c r="AC127" s="33"/>
    </row>
    <row r="128" spans="1:29" x14ac:dyDescent="0.3">
      <c r="A128" s="439">
        <v>43955.982638888891</v>
      </c>
      <c r="B128" s="439">
        <v>43958.704861111109</v>
      </c>
      <c r="C128" s="23"/>
      <c r="D128" s="14"/>
      <c r="E128" s="35" t="s">
        <v>532</v>
      </c>
      <c r="F128" s="25" t="s">
        <v>328</v>
      </c>
      <c r="G128" s="433">
        <v>77000</v>
      </c>
      <c r="H128" s="433"/>
      <c r="I128" s="433">
        <v>77000</v>
      </c>
      <c r="J128" s="26">
        <f t="shared" si="79"/>
        <v>0</v>
      </c>
      <c r="K128" s="27">
        <f t="shared" si="80"/>
        <v>2.7222222222189885</v>
      </c>
      <c r="L128" s="27">
        <f>'[36]DUTA AZZAM'!$F$113</f>
        <v>1.6336805555935523</v>
      </c>
      <c r="M128" s="434">
        <f t="shared" si="81"/>
        <v>28285.714285747887</v>
      </c>
      <c r="N128" s="567">
        <f t="shared" si="82"/>
        <v>47132.837405917584</v>
      </c>
      <c r="O128" s="434">
        <v>30000</v>
      </c>
      <c r="P128" s="69">
        <f>(105142/10000)*8.7</f>
        <v>91.47354</v>
      </c>
      <c r="Q128" s="69">
        <f>(89853/10000)*8.7</f>
        <v>78.172110000000004</v>
      </c>
      <c r="R128" s="69">
        <f t="shared" si="83"/>
        <v>13.301429999999996</v>
      </c>
      <c r="S128" s="435">
        <f t="shared" si="84"/>
        <v>0.19855844155844152</v>
      </c>
      <c r="T128" s="435">
        <f t="shared" si="85"/>
        <v>0.20323040488922836</v>
      </c>
      <c r="U128" s="435"/>
      <c r="V128" s="436"/>
      <c r="W128" s="437"/>
      <c r="X128" s="33"/>
      <c r="Y128" s="33"/>
      <c r="Z128" s="33"/>
      <c r="AA128" s="33"/>
      <c r="AB128" s="438"/>
      <c r="AC128" s="33"/>
    </row>
    <row r="129" spans="1:29" x14ac:dyDescent="0.3">
      <c r="A129" s="439">
        <v>43958.902777777781</v>
      </c>
      <c r="B129" s="439">
        <v>43961.184027777781</v>
      </c>
      <c r="C129" s="23"/>
      <c r="D129" s="14"/>
      <c r="E129" s="35" t="s">
        <v>278</v>
      </c>
      <c r="F129" s="25" t="s">
        <v>328</v>
      </c>
      <c r="G129" s="433">
        <v>67019</v>
      </c>
      <c r="H129" s="433"/>
      <c r="I129" s="433">
        <v>67000</v>
      </c>
      <c r="J129" s="26">
        <f t="shared" si="79"/>
        <v>19</v>
      </c>
      <c r="K129" s="27">
        <f t="shared" si="80"/>
        <v>2.28125</v>
      </c>
      <c r="L129" s="27">
        <f>'[36]ANDHIKA KANISHKA'!$F$112</f>
        <v>1.5000000000351672</v>
      </c>
      <c r="M129" s="434">
        <f t="shared" si="81"/>
        <v>29378.191780821919</v>
      </c>
      <c r="N129" s="462">
        <f t="shared" si="82"/>
        <v>44679.333332285838</v>
      </c>
      <c r="O129" s="434">
        <v>30000</v>
      </c>
      <c r="P129" s="69">
        <f>(104618/10000)*8.7</f>
        <v>91.017659999999992</v>
      </c>
      <c r="Q129" s="69">
        <f>(92525/10000)*8.7</f>
        <v>80.496749999999992</v>
      </c>
      <c r="R129" s="69">
        <f t="shared" si="83"/>
        <v>10.520910000000001</v>
      </c>
      <c r="S129" s="435">
        <f t="shared" si="84"/>
        <v>0.18044136737343144</v>
      </c>
      <c r="T129" s="435">
        <f t="shared" si="85"/>
        <v>0.18468704660574747</v>
      </c>
      <c r="U129" s="435"/>
      <c r="V129" s="436"/>
      <c r="W129" s="437"/>
      <c r="X129" s="33"/>
      <c r="Y129" s="33"/>
      <c r="Z129" s="33"/>
      <c r="AA129" s="33"/>
      <c r="AB129" s="438"/>
      <c r="AC129" s="33"/>
    </row>
    <row r="130" spans="1:29" x14ac:dyDescent="0.3">
      <c r="A130" s="439">
        <v>43961.708333333336</v>
      </c>
      <c r="B130" s="439">
        <v>43964.388888888891</v>
      </c>
      <c r="C130" s="23"/>
      <c r="D130" s="14"/>
      <c r="E130" s="35" t="s">
        <v>533</v>
      </c>
      <c r="F130" s="25" t="s">
        <v>32</v>
      </c>
      <c r="G130" s="433">
        <v>70078</v>
      </c>
      <c r="H130" s="433"/>
      <c r="I130" s="433">
        <v>70077</v>
      </c>
      <c r="J130" s="26">
        <f t="shared" si="79"/>
        <v>1</v>
      </c>
      <c r="K130" s="27">
        <f t="shared" si="80"/>
        <v>2.6805555555547471</v>
      </c>
      <c r="L130" s="27">
        <f>[36]VITAHORIZON!$F$107</f>
        <v>1.762152777768885</v>
      </c>
      <c r="M130" s="434">
        <f t="shared" si="81"/>
        <v>26143.088082909439</v>
      </c>
      <c r="N130" s="462">
        <f t="shared" si="82"/>
        <v>39768.401970644045</v>
      </c>
      <c r="O130" s="434">
        <v>30000</v>
      </c>
      <c r="P130" s="69">
        <f>(111729/10000)*8.7</f>
        <v>97.204229999999995</v>
      </c>
      <c r="Q130" s="69">
        <f>(97109/10000)*8.7</f>
        <v>84.484830000000002</v>
      </c>
      <c r="R130" s="69">
        <f t="shared" si="83"/>
        <v>12.719399999999993</v>
      </c>
      <c r="S130" s="435">
        <f t="shared" si="84"/>
        <v>0.20862467536173968</v>
      </c>
      <c r="T130" s="435">
        <f t="shared" si="85"/>
        <v>0.21353349125260412</v>
      </c>
      <c r="U130" s="435"/>
      <c r="V130" s="436"/>
      <c r="W130" s="437"/>
      <c r="X130" s="33"/>
      <c r="Y130" s="33"/>
      <c r="Z130" s="33"/>
      <c r="AA130" s="33"/>
      <c r="AB130" s="438"/>
      <c r="AC130" s="33"/>
    </row>
    <row r="131" spans="1:29" x14ac:dyDescent="0.3">
      <c r="A131" s="439">
        <v>43965.388888888891</v>
      </c>
      <c r="B131" s="439">
        <v>43967.638888888891</v>
      </c>
      <c r="C131" s="23"/>
      <c r="D131" s="14"/>
      <c r="E131" s="35" t="s">
        <v>534</v>
      </c>
      <c r="F131" s="25" t="s">
        <v>328</v>
      </c>
      <c r="G131" s="433">
        <v>67008</v>
      </c>
      <c r="H131" s="433"/>
      <c r="I131" s="433">
        <v>67000</v>
      </c>
      <c r="J131" s="26">
        <f t="shared" si="79"/>
        <v>8</v>
      </c>
      <c r="K131" s="27">
        <f t="shared" si="80"/>
        <v>2.25</v>
      </c>
      <c r="L131" s="27">
        <f>'[36]KARTINI BARUNA'!$F$104</f>
        <v>1.4288194444222124</v>
      </c>
      <c r="M131" s="434">
        <f t="shared" si="81"/>
        <v>29781.333333333332</v>
      </c>
      <c r="N131" s="567">
        <f t="shared" si="82"/>
        <v>46897.458080924123</v>
      </c>
      <c r="O131" s="434">
        <v>30000</v>
      </c>
      <c r="P131" s="69">
        <f>(110685/10000)*8.7</f>
        <v>96.295949999999991</v>
      </c>
      <c r="Q131" s="69">
        <f>(99310/10000)*8.7</f>
        <v>86.399699999999982</v>
      </c>
      <c r="R131" s="69">
        <f t="shared" si="83"/>
        <v>9.8962500000000091</v>
      </c>
      <c r="S131" s="435">
        <f t="shared" si="84"/>
        <v>0.16975585004775565</v>
      </c>
      <c r="T131" s="435">
        <f t="shared" si="85"/>
        <v>0.17375010534299695</v>
      </c>
      <c r="U131" s="435"/>
      <c r="V131" s="436"/>
      <c r="W131" s="437"/>
      <c r="X131" s="33"/>
      <c r="Y131" s="33"/>
      <c r="Z131" s="33"/>
      <c r="AA131" s="33"/>
      <c r="AB131" s="438"/>
      <c r="AC131" s="33"/>
    </row>
    <row r="132" spans="1:29" x14ac:dyDescent="0.3">
      <c r="A132" s="439">
        <v>43967.826388888891</v>
      </c>
      <c r="B132" s="439">
        <v>43970.451388888891</v>
      </c>
      <c r="C132" s="23"/>
      <c r="D132" s="14"/>
      <c r="E132" s="35" t="s">
        <v>535</v>
      </c>
      <c r="F132" s="25" t="s">
        <v>328</v>
      </c>
      <c r="G132" s="433">
        <v>74716</v>
      </c>
      <c r="H132" s="433"/>
      <c r="I132" s="433">
        <v>74860</v>
      </c>
      <c r="J132" s="26">
        <f t="shared" si="79"/>
        <v>-144</v>
      </c>
      <c r="K132" s="27">
        <f t="shared" si="80"/>
        <v>2.625</v>
      </c>
      <c r="L132" s="27">
        <f>'[36]SITC HENGSHAN'!$F$106</f>
        <v>1.7881944444440403</v>
      </c>
      <c r="M132" s="434">
        <f t="shared" si="81"/>
        <v>28463.238095238095</v>
      </c>
      <c r="N132" s="462">
        <f t="shared" si="82"/>
        <v>41782.928155349247</v>
      </c>
      <c r="O132" s="434">
        <v>30000</v>
      </c>
      <c r="P132" s="69">
        <f>(99122/10000)*8.7</f>
        <v>86.236139999999992</v>
      </c>
      <c r="Q132" s="69">
        <f>(84313/10000)*8.7</f>
        <v>73.352310000000003</v>
      </c>
      <c r="R132" s="69">
        <f t="shared" si="83"/>
        <v>12.883829999999989</v>
      </c>
      <c r="S132" s="435">
        <f t="shared" si="84"/>
        <v>0.1982038653032816</v>
      </c>
      <c r="T132" s="435">
        <f t="shared" si="85"/>
        <v>0.2028674856633588</v>
      </c>
      <c r="U132" s="435"/>
      <c r="V132" s="436"/>
      <c r="W132" s="437"/>
      <c r="X132" s="33"/>
      <c r="Y132" s="33"/>
      <c r="Z132" s="33"/>
      <c r="AA132" s="33"/>
      <c r="AB132" s="438"/>
      <c r="AC132" s="33"/>
    </row>
    <row r="133" spans="1:29" x14ac:dyDescent="0.3">
      <c r="A133" s="439">
        <v>43973.673611111109</v>
      </c>
      <c r="B133" s="439">
        <v>43976.256944444445</v>
      </c>
      <c r="C133" s="23"/>
      <c r="D133" s="14"/>
      <c r="E133" s="35" t="s">
        <v>385</v>
      </c>
      <c r="F133" s="25" t="s">
        <v>328</v>
      </c>
      <c r="G133" s="433">
        <v>64199</v>
      </c>
      <c r="H133" s="433"/>
      <c r="I133" s="433">
        <v>64200</v>
      </c>
      <c r="J133" s="26">
        <f t="shared" si="79"/>
        <v>-1</v>
      </c>
      <c r="K133" s="27">
        <f t="shared" si="80"/>
        <v>2.5833333333357587</v>
      </c>
      <c r="L133" s="27">
        <f>'[36]ASIAN MAJESTY'!$F$100</f>
        <v>1.5138888888856552</v>
      </c>
      <c r="M133" s="434">
        <f t="shared" si="81"/>
        <v>24851.225806428283</v>
      </c>
      <c r="N133" s="462">
        <f t="shared" si="82"/>
        <v>42406.678899173152</v>
      </c>
      <c r="O133" s="434">
        <v>30000</v>
      </c>
      <c r="P133" s="69">
        <f>(119545/10000)*8.7</f>
        <v>104.00414999999998</v>
      </c>
      <c r="Q133" s="69">
        <f>(105056/10000)*8.7</f>
        <v>91.398719999999983</v>
      </c>
      <c r="R133" s="69">
        <f t="shared" si="83"/>
        <v>12.605429999999998</v>
      </c>
      <c r="S133" s="435">
        <f t="shared" si="84"/>
        <v>0.22568887365846818</v>
      </c>
      <c r="T133" s="435">
        <f t="shared" si="85"/>
        <v>0.23099920009749095</v>
      </c>
      <c r="U133" s="435"/>
      <c r="V133" s="436"/>
      <c r="W133" s="437" t="s">
        <v>536</v>
      </c>
      <c r="X133" s="33"/>
      <c r="Y133" s="33"/>
      <c r="Z133" s="33"/>
      <c r="AA133" s="33"/>
      <c r="AB133" s="438"/>
      <c r="AC133" s="33"/>
    </row>
    <row r="134" spans="1:29" x14ac:dyDescent="0.3">
      <c r="A134" s="439">
        <v>43976.451388888891</v>
      </c>
      <c r="B134" s="439">
        <v>43978.618055555555</v>
      </c>
      <c r="C134" s="23"/>
      <c r="D134" s="14"/>
      <c r="E134" s="35" t="s">
        <v>534</v>
      </c>
      <c r="F134" s="36" t="s">
        <v>328</v>
      </c>
      <c r="G134" s="433">
        <v>67012</v>
      </c>
      <c r="H134" s="433"/>
      <c r="I134" s="433">
        <v>67000</v>
      </c>
      <c r="J134" s="26">
        <f t="shared" si="79"/>
        <v>12</v>
      </c>
      <c r="K134" s="27">
        <f t="shared" si="80"/>
        <v>2.1666666666642413</v>
      </c>
      <c r="L134" s="27">
        <f>'[36]KARTINI BARUNA 2'!$F$100</f>
        <v>1.661458333338184</v>
      </c>
      <c r="M134" s="434">
        <f t="shared" si="81"/>
        <v>30928.615384650006</v>
      </c>
      <c r="N134" s="462">
        <f t="shared" si="82"/>
        <v>40333.241379192586</v>
      </c>
      <c r="O134" s="434">
        <v>30000</v>
      </c>
      <c r="P134" s="69">
        <f>(104381/10000)*8.7</f>
        <v>90.81147</v>
      </c>
      <c r="Q134" s="69">
        <f>(93566/10000)*8.7</f>
        <v>81.402419999999992</v>
      </c>
      <c r="R134" s="69">
        <f t="shared" si="83"/>
        <v>9.4090500000000077</v>
      </c>
      <c r="S134" s="435">
        <f t="shared" si="84"/>
        <v>0.1613890049543367</v>
      </c>
      <c r="T134" s="435">
        <f t="shared" si="85"/>
        <v>0.16518639330620344</v>
      </c>
      <c r="U134" s="435" t="e">
        <f>S134/8.5*10000/(H134)</f>
        <v>#DIV/0!</v>
      </c>
      <c r="V134" s="436"/>
      <c r="W134" s="32"/>
      <c r="X134" s="33"/>
      <c r="Y134" s="33"/>
      <c r="Z134" s="33"/>
      <c r="AA134" s="33"/>
      <c r="AB134" s="438"/>
      <c r="AC134" s="33"/>
    </row>
    <row r="135" spans="1:29" x14ac:dyDescent="0.3">
      <c r="A135" s="439">
        <v>43979.118055555555</v>
      </c>
      <c r="B135" s="439">
        <v>43982.5</v>
      </c>
      <c r="C135" s="23"/>
      <c r="D135" s="14"/>
      <c r="E135" s="35" t="s">
        <v>257</v>
      </c>
      <c r="F135" s="36" t="s">
        <v>328</v>
      </c>
      <c r="G135" s="433">
        <v>82499</v>
      </c>
      <c r="H135" s="433"/>
      <c r="I135" s="433">
        <v>82500</v>
      </c>
      <c r="J135" s="26">
        <f t="shared" si="79"/>
        <v>-1</v>
      </c>
      <c r="K135" s="27">
        <f t="shared" si="80"/>
        <v>3.3819444444452529</v>
      </c>
      <c r="L135" s="27">
        <f>'[36]PACIFIC ENERGY'!$F$114</f>
        <v>1.8489583333309081</v>
      </c>
      <c r="M135" s="434">
        <f t="shared" si="81"/>
        <v>24393.954825456181</v>
      </c>
      <c r="N135" s="462">
        <f t="shared" si="82"/>
        <v>44619.177464847256</v>
      </c>
      <c r="O135" s="434">
        <v>30000</v>
      </c>
      <c r="P135" s="69">
        <f>(112826/10000)*8.7</f>
        <v>98.158619999999999</v>
      </c>
      <c r="Q135" s="69">
        <f>(96267/10000)*8.7</f>
        <v>83.752289999999988</v>
      </c>
      <c r="R135" s="69">
        <f t="shared" si="83"/>
        <v>14.406330000000011</v>
      </c>
      <c r="S135" s="435">
        <f t="shared" si="84"/>
        <v>0.20071758445556934</v>
      </c>
      <c r="T135" s="435">
        <f t="shared" si="85"/>
        <v>0.20544035114864151</v>
      </c>
      <c r="U135" s="435"/>
      <c r="V135" s="31"/>
      <c r="W135" s="32"/>
      <c r="X135" s="33"/>
      <c r="Y135" s="33"/>
      <c r="Z135" s="33"/>
      <c r="AA135" s="33"/>
      <c r="AB135" s="438"/>
      <c r="AC135" s="33"/>
    </row>
    <row r="136" spans="1:29" x14ac:dyDescent="0.3">
      <c r="A136" s="439">
        <v>43982.736111111109</v>
      </c>
      <c r="B136" s="439">
        <v>43986.829861111109</v>
      </c>
      <c r="C136" s="23"/>
      <c r="D136" s="14"/>
      <c r="E136" s="35" t="s">
        <v>537</v>
      </c>
      <c r="F136" s="36" t="s">
        <v>328</v>
      </c>
      <c r="G136" s="433">
        <v>67906</v>
      </c>
      <c r="H136" s="433"/>
      <c r="I136" s="433">
        <v>79150</v>
      </c>
      <c r="J136" s="26">
        <f t="shared" ref="J136:J151" si="86">G136-I136</f>
        <v>-11244</v>
      </c>
      <c r="K136" s="27">
        <f t="shared" ref="K136:K147" si="87">B136-A136</f>
        <v>4.09375</v>
      </c>
      <c r="L136" s="27">
        <f>'[37]VISHVA VINAY'!$F$111</f>
        <v>1.4687499999696836</v>
      </c>
      <c r="M136" s="462">
        <f t="shared" ref="M136:M151" si="88">(G136)/K136</f>
        <v>16587.725190839694</v>
      </c>
      <c r="N136" s="462">
        <f t="shared" ref="N136:N147" si="89">G136/L136</f>
        <v>46233.872341379843</v>
      </c>
      <c r="O136" s="434">
        <v>30000</v>
      </c>
      <c r="P136" s="69">
        <f>(135909/10000)*8.7</f>
        <v>118.24082999999999</v>
      </c>
      <c r="Q136" s="69">
        <f>(119093/10000)*8.7</f>
        <v>103.61090999999999</v>
      </c>
      <c r="R136" s="69">
        <f t="shared" ref="R136:R143" si="90">P136-Q136</f>
        <v>14.629919999999998</v>
      </c>
      <c r="S136" s="435">
        <f t="shared" ref="S136:S143" si="91">R136/8.7*10000/(G136)</f>
        <v>0.24763643860630871</v>
      </c>
      <c r="T136" s="435">
        <f>R136/8.5*10000/(G136)</f>
        <v>0.25346317833822185</v>
      </c>
      <c r="U136" s="435" t="e">
        <f>S136/8.5*10000/(H136)</f>
        <v>#DIV/0!</v>
      </c>
      <c r="V136" s="436"/>
      <c r="W136" s="32"/>
      <c r="X136" s="33"/>
      <c r="Y136" s="33"/>
      <c r="Z136" s="33"/>
      <c r="AA136" s="33"/>
      <c r="AB136" s="438"/>
      <c r="AC136" s="33"/>
    </row>
    <row r="137" spans="1:29" x14ac:dyDescent="0.3">
      <c r="A137" s="439">
        <v>44004.784722222219</v>
      </c>
      <c r="B137" s="439">
        <v>44010.291666666664</v>
      </c>
      <c r="C137" s="23"/>
      <c r="D137" s="14"/>
      <c r="E137" s="35" t="s">
        <v>344</v>
      </c>
      <c r="F137" s="36" t="s">
        <v>328</v>
      </c>
      <c r="G137" s="433">
        <v>77564</v>
      </c>
      <c r="H137" s="433"/>
      <c r="I137" s="433">
        <v>89761</v>
      </c>
      <c r="J137" s="26">
        <f t="shared" si="86"/>
        <v>-12197</v>
      </c>
      <c r="K137" s="27">
        <f t="shared" si="87"/>
        <v>5.5069444444452529</v>
      </c>
      <c r="L137" s="27">
        <f>'[38]SWEET VENUS'!$F$124</f>
        <v>2.1840277777725228</v>
      </c>
      <c r="M137" s="462">
        <f t="shared" si="88"/>
        <v>14084.761664562875</v>
      </c>
      <c r="N137" s="462">
        <f t="shared" si="89"/>
        <v>35514.200318050476</v>
      </c>
      <c r="O137" s="434">
        <v>30000</v>
      </c>
      <c r="P137" s="69">
        <f>(84100/10000)*8.7</f>
        <v>73.167000000000002</v>
      </c>
      <c r="Q137" s="69">
        <f>(56030/10000)*8.7</f>
        <v>48.746099999999991</v>
      </c>
      <c r="R137" s="69">
        <f t="shared" si="90"/>
        <v>24.42090000000001</v>
      </c>
      <c r="S137" s="435">
        <f t="shared" si="91"/>
        <v>0.36189469341447078</v>
      </c>
      <c r="T137" s="435">
        <f t="shared" ref="T137:T143" si="92">R137/8.5*10000/(G137)</f>
        <v>0.37040986267128184</v>
      </c>
      <c r="U137" s="435"/>
      <c r="V137" s="31"/>
      <c r="W137" s="32"/>
      <c r="X137" s="33">
        <v>1.25</v>
      </c>
      <c r="Y137" s="33">
        <f t="shared" ref="Y137:Y143" si="93">X137*G137</f>
        <v>96955</v>
      </c>
      <c r="Z137" s="33"/>
      <c r="AA137" s="33"/>
      <c r="AB137" s="438"/>
      <c r="AC137" s="33"/>
    </row>
    <row r="138" spans="1:29" x14ac:dyDescent="0.3">
      <c r="A138" s="439">
        <v>44011.53125</v>
      </c>
      <c r="B138" s="439">
        <v>44020.321527777778</v>
      </c>
      <c r="C138" s="23"/>
      <c r="D138" s="14"/>
      <c r="E138" s="35" t="s">
        <v>538</v>
      </c>
      <c r="F138" s="25" t="s">
        <v>328</v>
      </c>
      <c r="G138" s="433">
        <v>73800</v>
      </c>
      <c r="H138" s="433"/>
      <c r="I138" s="433">
        <v>78937</v>
      </c>
      <c r="J138" s="26">
        <f t="shared" si="86"/>
        <v>-5137</v>
      </c>
      <c r="K138" s="27">
        <f t="shared" si="87"/>
        <v>8.7902777777781012</v>
      </c>
      <c r="L138" s="27">
        <f>'[39]IKAN BANGAT'!$F$107</f>
        <v>1.7274305555583851</v>
      </c>
      <c r="M138" s="462">
        <f t="shared" si="88"/>
        <v>8395.6391215038784</v>
      </c>
      <c r="N138" s="434">
        <f t="shared" si="89"/>
        <v>42722.412060231531</v>
      </c>
      <c r="O138" s="434">
        <v>30000</v>
      </c>
      <c r="P138" s="69">
        <f>(253315/10000)*8.7</f>
        <v>220.38404999999997</v>
      </c>
      <c r="Q138" s="69">
        <f>(229083/10000)*8.7</f>
        <v>199.30221</v>
      </c>
      <c r="R138" s="69">
        <f t="shared" si="90"/>
        <v>21.081839999999971</v>
      </c>
      <c r="S138" s="435">
        <f t="shared" si="91"/>
        <v>0.32834688346883428</v>
      </c>
      <c r="T138" s="435">
        <f t="shared" si="92"/>
        <v>0.33607269249163035</v>
      </c>
      <c r="U138" s="435" t="e">
        <f>S138/8.5*10000/(H138)</f>
        <v>#DIV/0!</v>
      </c>
      <c r="V138" s="436"/>
      <c r="W138" s="32"/>
      <c r="X138" s="33">
        <v>1.25</v>
      </c>
      <c r="Y138" s="33">
        <f t="shared" si="93"/>
        <v>92250</v>
      </c>
      <c r="Z138" s="33"/>
      <c r="AA138" s="33"/>
      <c r="AB138" s="438"/>
      <c r="AC138" s="33"/>
    </row>
    <row r="139" spans="1:29" x14ac:dyDescent="0.3">
      <c r="A139" s="439">
        <v>44042.864583333336</v>
      </c>
      <c r="B139" s="439">
        <v>44047.479166666664</v>
      </c>
      <c r="C139" s="23"/>
      <c r="D139" s="14"/>
      <c r="E139" s="35" t="s">
        <v>539</v>
      </c>
      <c r="F139" s="36" t="s">
        <v>328</v>
      </c>
      <c r="G139" s="433">
        <v>78264</v>
      </c>
      <c r="H139" s="433"/>
      <c r="I139" s="433">
        <v>79500</v>
      </c>
      <c r="J139" s="26">
        <f t="shared" si="86"/>
        <v>-1236</v>
      </c>
      <c r="K139" s="27">
        <f t="shared" si="87"/>
        <v>4.6145833333284827</v>
      </c>
      <c r="L139" s="27">
        <v>1.7517361111410235</v>
      </c>
      <c r="M139" s="567">
        <f t="shared" si="88"/>
        <v>16960.144469543786</v>
      </c>
      <c r="N139" s="434">
        <f t="shared" si="89"/>
        <v>44677.962338186539</v>
      </c>
      <c r="O139" s="434">
        <v>30000</v>
      </c>
      <c r="P139" s="69">
        <f>(176847/10000)*8.7</f>
        <v>153.85688999999999</v>
      </c>
      <c r="Q139" s="69">
        <f>(157153/10000)*8.7</f>
        <v>136.72310999999999</v>
      </c>
      <c r="R139" s="69">
        <f t="shared" si="90"/>
        <v>17.133780000000002</v>
      </c>
      <c r="S139" s="435">
        <f t="shared" si="91"/>
        <v>0.25163549013595016</v>
      </c>
      <c r="T139" s="435">
        <f t="shared" si="92"/>
        <v>0.2575563251979725</v>
      </c>
      <c r="U139" s="435" t="e">
        <f>S139/8.5*10000/(H139)</f>
        <v>#DIV/0!</v>
      </c>
      <c r="V139" s="436"/>
      <c r="W139" s="32"/>
      <c r="X139" s="33">
        <v>1.25</v>
      </c>
      <c r="Y139" s="33">
        <f t="shared" si="93"/>
        <v>97830</v>
      </c>
      <c r="Z139" s="33"/>
      <c r="AA139" s="33"/>
      <c r="AB139" s="438"/>
      <c r="AC139" s="33"/>
    </row>
    <row r="140" spans="1:29" x14ac:dyDescent="0.3">
      <c r="A140" s="439">
        <v>44059.135416666664</v>
      </c>
      <c r="B140" s="439">
        <v>44063.791666666664</v>
      </c>
      <c r="C140" s="23"/>
      <c r="D140" s="14"/>
      <c r="E140" s="35" t="s">
        <v>540</v>
      </c>
      <c r="F140" s="36" t="s">
        <v>328</v>
      </c>
      <c r="G140" s="433">
        <v>72860</v>
      </c>
      <c r="H140" s="433"/>
      <c r="I140" s="433">
        <v>72860</v>
      </c>
      <c r="J140" s="26">
        <f t="shared" si="86"/>
        <v>0</v>
      </c>
      <c r="K140" s="27">
        <f t="shared" si="87"/>
        <v>4.65625</v>
      </c>
      <c r="L140" s="27">
        <f>[40]AURILIA!$F$140</f>
        <v>1.6520833333367289</v>
      </c>
      <c r="M140" s="567">
        <f t="shared" si="88"/>
        <v>15647.785234899329</v>
      </c>
      <c r="N140" s="434">
        <f t="shared" si="89"/>
        <v>44101.891550981236</v>
      </c>
      <c r="O140" s="434">
        <v>30000</v>
      </c>
      <c r="P140" s="69">
        <f>(139701/10000)*8.7</f>
        <v>121.53986999999999</v>
      </c>
      <c r="Q140" s="69">
        <f>(121960/10000)*8.7</f>
        <v>106.10519999999998</v>
      </c>
      <c r="R140" s="69">
        <f t="shared" si="90"/>
        <v>15.434670000000011</v>
      </c>
      <c r="S140" s="435">
        <f t="shared" si="91"/>
        <v>0.24349437276969552</v>
      </c>
      <c r="T140" s="435">
        <f t="shared" si="92"/>
        <v>0.24922365212898245</v>
      </c>
      <c r="U140" s="435"/>
      <c r="V140" s="31"/>
      <c r="W140" s="32"/>
      <c r="X140" s="33">
        <v>1.25</v>
      </c>
      <c r="Y140" s="33">
        <f t="shared" si="93"/>
        <v>91075</v>
      </c>
      <c r="Z140" s="33"/>
      <c r="AA140" s="33"/>
      <c r="AB140" s="438"/>
      <c r="AC140" s="33"/>
    </row>
    <row r="141" spans="1:29" x14ac:dyDescent="0.3">
      <c r="A141" s="439">
        <v>44065.46875</v>
      </c>
      <c r="B141" s="439">
        <v>44078.625</v>
      </c>
      <c r="C141" s="23"/>
      <c r="D141" s="14"/>
      <c r="E141" s="35" t="s">
        <v>541</v>
      </c>
      <c r="F141" s="25" t="s">
        <v>39</v>
      </c>
      <c r="G141" s="433">
        <v>162082</v>
      </c>
      <c r="H141" s="433"/>
      <c r="I141" s="433">
        <v>163300</v>
      </c>
      <c r="J141" s="26">
        <f t="shared" si="86"/>
        <v>-1218</v>
      </c>
      <c r="K141" s="27">
        <f t="shared" si="87"/>
        <v>13.15625</v>
      </c>
      <c r="L141" s="27">
        <f>[41]SHIRARA!$F$287</f>
        <v>3.9114583332945281</v>
      </c>
      <c r="M141" s="567">
        <f t="shared" si="88"/>
        <v>12319.771971496437</v>
      </c>
      <c r="N141" s="434">
        <f t="shared" si="89"/>
        <v>41437.741678174083</v>
      </c>
      <c r="O141" s="434">
        <v>30000</v>
      </c>
      <c r="P141" s="69">
        <f>(84100/10000)*8.7</f>
        <v>73.167000000000002</v>
      </c>
      <c r="Q141" s="69">
        <f>(58779/10000)*8.7</f>
        <v>51.137729999999998</v>
      </c>
      <c r="R141" s="69">
        <f t="shared" si="90"/>
        <v>22.029270000000004</v>
      </c>
      <c r="S141" s="435">
        <f t="shared" si="91"/>
        <v>0.15622339309732117</v>
      </c>
      <c r="T141" s="435">
        <f t="shared" si="92"/>
        <v>0.15989923764078751</v>
      </c>
      <c r="U141" s="435" t="e">
        <f>S141/8.5*10000/(#REF!)</f>
        <v>#REF!</v>
      </c>
      <c r="V141" s="436"/>
      <c r="W141" s="32"/>
      <c r="X141" s="33">
        <v>1.25</v>
      </c>
      <c r="Y141" s="33">
        <f t="shared" si="93"/>
        <v>202602.5</v>
      </c>
      <c r="Z141" s="33"/>
      <c r="AA141" s="33"/>
      <c r="AB141" s="438"/>
      <c r="AC141" s="33"/>
    </row>
    <row r="142" spans="1:29" x14ac:dyDescent="0.3">
      <c r="A142" s="439">
        <v>44091.041666666664</v>
      </c>
      <c r="B142" s="439">
        <v>44094.659722222219</v>
      </c>
      <c r="C142" s="23"/>
      <c r="D142" s="14"/>
      <c r="E142" s="35" t="s">
        <v>542</v>
      </c>
      <c r="F142" s="36" t="s">
        <v>543</v>
      </c>
      <c r="G142" s="433">
        <v>77260</v>
      </c>
      <c r="H142" s="433"/>
      <c r="I142" s="433">
        <v>78960</v>
      </c>
      <c r="J142" s="26">
        <f t="shared" si="86"/>
        <v>-1700</v>
      </c>
      <c r="K142" s="27">
        <f t="shared" si="87"/>
        <v>3.6180555555547471</v>
      </c>
      <c r="L142" s="27">
        <f>'[41]SUNNY YOUNG'!$F$143</f>
        <v>2.0763888888965689</v>
      </c>
      <c r="M142" s="567">
        <f t="shared" si="88"/>
        <v>21354.011516319551</v>
      </c>
      <c r="N142" s="462">
        <f t="shared" si="89"/>
        <v>37208.829431300503</v>
      </c>
      <c r="O142" s="434">
        <v>30000</v>
      </c>
      <c r="P142" s="69">
        <f>(214681/10000)*8.7</f>
        <v>186.77246999999997</v>
      </c>
      <c r="Q142" s="69">
        <f>(194902/10000)*8.7</f>
        <v>169.56474</v>
      </c>
      <c r="R142" s="69">
        <f t="shared" si="90"/>
        <v>17.20772999999997</v>
      </c>
      <c r="S142" s="435">
        <f t="shared" si="91"/>
        <v>0.25600569505565579</v>
      </c>
      <c r="T142" s="435">
        <f t="shared" si="92"/>
        <v>0.26202935846873004</v>
      </c>
      <c r="U142" s="435"/>
      <c r="V142" s="31"/>
      <c r="W142" s="32"/>
      <c r="X142" s="33">
        <v>1.25</v>
      </c>
      <c r="Y142" s="33">
        <f t="shared" si="93"/>
        <v>96575</v>
      </c>
      <c r="Z142" s="33"/>
      <c r="AA142" s="33"/>
      <c r="AB142" s="438"/>
      <c r="AC142" s="33"/>
    </row>
    <row r="143" spans="1:29" x14ac:dyDescent="0.3">
      <c r="A143" s="439">
        <v>44108.986111111109</v>
      </c>
      <c r="B143" s="439">
        <v>44111.875</v>
      </c>
      <c r="C143" s="23"/>
      <c r="D143" s="14"/>
      <c r="E143" s="35" t="s">
        <v>544</v>
      </c>
      <c r="F143" s="36" t="s">
        <v>328</v>
      </c>
      <c r="G143" s="433">
        <v>79504</v>
      </c>
      <c r="H143" s="433"/>
      <c r="I143" s="433">
        <v>79500</v>
      </c>
      <c r="J143" s="26">
        <f t="shared" si="86"/>
        <v>4</v>
      </c>
      <c r="K143" s="27">
        <f t="shared" si="87"/>
        <v>2.8888888888905058</v>
      </c>
      <c r="L143" s="27">
        <f>'[42]BEIJING 2008'!$F$135</f>
        <v>1.7465277777943509</v>
      </c>
      <c r="M143" s="567">
        <f t="shared" si="88"/>
        <v>27520.615384599983</v>
      </c>
      <c r="N143" s="434">
        <f t="shared" si="89"/>
        <v>45521.176937937824</v>
      </c>
      <c r="O143" s="434">
        <v>30000</v>
      </c>
      <c r="P143" s="24">
        <v>140.65725</v>
      </c>
      <c r="Q143" s="24">
        <v>127.24706999999998</v>
      </c>
      <c r="R143" s="69">
        <f t="shared" si="90"/>
        <v>13.410180000000025</v>
      </c>
      <c r="S143" s="435">
        <f t="shared" si="91"/>
        <v>0.193877037633327</v>
      </c>
      <c r="T143" s="435">
        <f t="shared" si="92"/>
        <v>0.19843885028352293</v>
      </c>
      <c r="U143" s="435" t="e">
        <f>S143/8.5*10000/(H143)</f>
        <v>#DIV/0!</v>
      </c>
      <c r="V143" s="436"/>
      <c r="W143" s="32"/>
      <c r="X143" s="33">
        <v>1.25</v>
      </c>
      <c r="Y143" s="33">
        <f t="shared" si="93"/>
        <v>99380</v>
      </c>
      <c r="Z143" s="33"/>
      <c r="AA143" s="33"/>
      <c r="AB143" s="438"/>
      <c r="AC143" s="33"/>
    </row>
    <row r="144" spans="1:29" x14ac:dyDescent="0.3">
      <c r="A144" s="439">
        <v>44117.434027777781</v>
      </c>
      <c r="B144" s="439">
        <v>44120.694444444445</v>
      </c>
      <c r="C144" s="23"/>
      <c r="D144" s="14"/>
      <c r="E144" s="35" t="s">
        <v>344</v>
      </c>
      <c r="F144" s="36" t="s">
        <v>328</v>
      </c>
      <c r="G144" s="433">
        <v>77223</v>
      </c>
      <c r="H144" s="433"/>
      <c r="I144" s="433">
        <v>77223</v>
      </c>
      <c r="J144" s="26">
        <f t="shared" si="86"/>
        <v>0</v>
      </c>
      <c r="K144" s="27">
        <f t="shared" si="87"/>
        <v>3.2604166666642413</v>
      </c>
      <c r="L144" s="27">
        <f>'[42]SWEET VENUS'!$F$133</f>
        <v>1.6302083333163562</v>
      </c>
      <c r="M144" s="567">
        <f t="shared" si="88"/>
        <v>23685.009584682157</v>
      </c>
      <c r="N144" s="434">
        <f t="shared" si="89"/>
        <v>47370.019169822393</v>
      </c>
      <c r="O144" s="434">
        <v>30000</v>
      </c>
      <c r="P144" s="24">
        <v>119.91471</v>
      </c>
      <c r="Q144" s="24">
        <v>103.7214</v>
      </c>
      <c r="R144" s="69">
        <f t="shared" ref="R144:R146" si="94">P144-Q144</f>
        <v>16.193309999999997</v>
      </c>
      <c r="S144" s="435">
        <f t="shared" ref="S144:S146" si="95">R144/8.7*10000/(G144)</f>
        <v>0.24102922704375634</v>
      </c>
      <c r="T144" s="435">
        <f t="shared" ref="T144:T146" si="96">R144/8.5*10000/(G144)</f>
        <v>0.24670050297419768</v>
      </c>
      <c r="U144" s="435"/>
      <c r="V144" s="31"/>
      <c r="W144" s="32"/>
      <c r="X144" s="33">
        <v>1.25</v>
      </c>
      <c r="Y144" s="33">
        <f t="shared" ref="Y144:Y146" si="97">X144*G144</f>
        <v>96528.75</v>
      </c>
      <c r="Z144" s="33"/>
      <c r="AA144" s="33"/>
      <c r="AB144" s="438"/>
      <c r="AC144" s="33"/>
    </row>
    <row r="145" spans="1:29" x14ac:dyDescent="0.3">
      <c r="A145" s="439">
        <v>44121.569444444445</v>
      </c>
      <c r="B145" s="439">
        <v>44124.0625</v>
      </c>
      <c r="C145" s="23"/>
      <c r="D145" s="23"/>
      <c r="E145" s="35" t="s">
        <v>545</v>
      </c>
      <c r="F145" s="25" t="s">
        <v>328</v>
      </c>
      <c r="G145" s="433">
        <v>66500</v>
      </c>
      <c r="H145" s="433"/>
      <c r="I145" s="433">
        <v>66500</v>
      </c>
      <c r="J145" s="26">
        <f t="shared" si="86"/>
        <v>0</v>
      </c>
      <c r="K145" s="27">
        <f t="shared" si="87"/>
        <v>2.4930555555547471</v>
      </c>
      <c r="L145" s="27">
        <f>[42]HEDA!$F$125</f>
        <v>1.4444444444585922</v>
      </c>
      <c r="M145" s="567">
        <f t="shared" si="88"/>
        <v>26674.094707529541</v>
      </c>
      <c r="N145" s="434">
        <f t="shared" si="89"/>
        <v>46038.461538010612</v>
      </c>
      <c r="O145" s="434">
        <v>30000</v>
      </c>
      <c r="P145" s="24">
        <v>93.927809999999994</v>
      </c>
      <c r="Q145" s="24">
        <v>81.367620000000002</v>
      </c>
      <c r="R145" s="69">
        <f t="shared" si="94"/>
        <v>12.560189999999992</v>
      </c>
      <c r="S145" s="435">
        <f t="shared" si="95"/>
        <v>0.21709774436090212</v>
      </c>
      <c r="T145" s="435">
        <f t="shared" si="96"/>
        <v>0.22220592658115862</v>
      </c>
      <c r="U145" s="69">
        <f>S145-T145</f>
        <v>-5.1081822202564964E-3</v>
      </c>
      <c r="V145" s="436"/>
      <c r="W145" s="437"/>
      <c r="X145" s="33">
        <v>1.25</v>
      </c>
      <c r="Y145" s="33">
        <f t="shared" si="97"/>
        <v>83125</v>
      </c>
      <c r="Z145" s="33"/>
      <c r="AA145" s="33"/>
      <c r="AB145" s="438"/>
      <c r="AC145" s="33"/>
    </row>
    <row r="146" spans="1:29" x14ac:dyDescent="0.3">
      <c r="A146" s="439">
        <v>44129.684027777781</v>
      </c>
      <c r="B146" s="439">
        <v>44131.534722222219</v>
      </c>
      <c r="C146" s="23"/>
      <c r="D146" s="23"/>
      <c r="E146" s="35" t="s">
        <v>546</v>
      </c>
      <c r="F146" s="25" t="s">
        <v>328</v>
      </c>
      <c r="G146" s="433">
        <v>60150</v>
      </c>
      <c r="H146" s="433"/>
      <c r="I146" s="433">
        <v>60550</v>
      </c>
      <c r="J146" s="26">
        <f t="shared" si="86"/>
        <v>-400</v>
      </c>
      <c r="K146" s="27">
        <f t="shared" si="87"/>
        <v>1.8506944444379769</v>
      </c>
      <c r="L146" s="27">
        <f>'[42]JIN RUN'!$F$100</f>
        <v>1.300347222199586</v>
      </c>
      <c r="M146" s="567">
        <f t="shared" si="88"/>
        <v>32501.313320939098</v>
      </c>
      <c r="N146" s="434">
        <f t="shared" si="89"/>
        <v>46256.875835251158</v>
      </c>
      <c r="O146" s="434">
        <v>30000</v>
      </c>
      <c r="P146" s="24">
        <v>74.206649999999996</v>
      </c>
      <c r="Q146" s="24">
        <v>65.775479999999988</v>
      </c>
      <c r="R146" s="69">
        <f t="shared" si="94"/>
        <v>8.4311700000000087</v>
      </c>
      <c r="S146" s="435">
        <f t="shared" si="95"/>
        <v>0.16111388196176243</v>
      </c>
      <c r="T146" s="435">
        <f t="shared" si="96"/>
        <v>0.16490479683145093</v>
      </c>
      <c r="U146" s="435"/>
      <c r="V146" s="436"/>
      <c r="W146" s="437"/>
      <c r="X146" s="33">
        <v>1.25</v>
      </c>
      <c r="Y146" s="33">
        <f t="shared" si="97"/>
        <v>75187.5</v>
      </c>
      <c r="Z146" s="33"/>
      <c r="AA146" s="33"/>
      <c r="AB146" s="438"/>
      <c r="AC146" s="33"/>
    </row>
    <row r="147" spans="1:29" x14ac:dyDescent="0.3">
      <c r="A147" s="439">
        <v>44189.097222222219</v>
      </c>
      <c r="B147" s="439">
        <v>44191.069444444445</v>
      </c>
      <c r="C147" s="23"/>
      <c r="D147" s="14"/>
      <c r="E147" s="35" t="s">
        <v>507</v>
      </c>
      <c r="F147" s="36" t="s">
        <v>328</v>
      </c>
      <c r="G147" s="433">
        <v>60600</v>
      </c>
      <c r="H147" s="433"/>
      <c r="I147" s="433">
        <v>83100</v>
      </c>
      <c r="J147" s="26">
        <f t="shared" si="86"/>
        <v>-22500</v>
      </c>
      <c r="K147" s="27">
        <f t="shared" si="87"/>
        <v>1.9722222222262644</v>
      </c>
      <c r="L147" s="27">
        <f>'[43]CEMTEX HUNTER'!$F$95</f>
        <v>1.2916666666739427</v>
      </c>
      <c r="M147" s="567">
        <f t="shared" si="88"/>
        <v>30726.760563317304</v>
      </c>
      <c r="N147" s="434">
        <f t="shared" si="89"/>
        <v>46916.129031993783</v>
      </c>
      <c r="O147" s="434">
        <v>30000</v>
      </c>
      <c r="P147" s="69">
        <f>(126339/10000)*8.7</f>
        <v>109.91493</v>
      </c>
      <c r="Q147" s="69">
        <f>(115621/10000)*8.7</f>
        <v>100.59026999999999</v>
      </c>
      <c r="R147" s="69">
        <f t="shared" ref="R147" si="98">P147-Q147</f>
        <v>9.3246600000000086</v>
      </c>
      <c r="S147" s="435">
        <f t="shared" ref="S147" si="99">R147/8.7*10000/(G147)</f>
        <v>0.176864686468647</v>
      </c>
      <c r="T147" s="435">
        <f t="shared" ref="T147" si="100">R147/8.5*10000/(G147)</f>
        <v>0.18102620850320342</v>
      </c>
      <c r="U147" s="435"/>
      <c r="V147" s="31"/>
      <c r="W147" s="32"/>
      <c r="X147" s="33"/>
      <c r="Y147" s="33"/>
      <c r="Z147" s="33"/>
      <c r="AA147" s="33"/>
      <c r="AB147" s="438"/>
      <c r="AC147" s="33"/>
    </row>
    <row r="148" spans="1:29" x14ac:dyDescent="0.3">
      <c r="A148" s="174">
        <v>44198.875</v>
      </c>
      <c r="B148" s="174">
        <v>44210.28125</v>
      </c>
      <c r="C148" s="23"/>
      <c r="D148" s="14"/>
      <c r="E148" s="35" t="s">
        <v>740</v>
      </c>
      <c r="F148" s="36" t="s">
        <v>328</v>
      </c>
      <c r="G148" s="433">
        <f>40909+7666</f>
        <v>48575</v>
      </c>
      <c r="H148" s="433"/>
      <c r="I148" s="433">
        <v>71500</v>
      </c>
      <c r="J148" s="26">
        <f t="shared" si="86"/>
        <v>-22925</v>
      </c>
      <c r="K148" s="27">
        <f>B148-A148-'[44]KING LAN'!$F$65</f>
        <v>1.5625</v>
      </c>
      <c r="L148" s="27">
        <f>'[45]KING LAN'!$F$74</f>
        <v>1.1788194444488909</v>
      </c>
      <c r="M148" s="434">
        <f t="shared" si="88"/>
        <v>31088</v>
      </c>
      <c r="N148" s="434">
        <f>(G148)/L148</f>
        <v>41206.480117664898</v>
      </c>
      <c r="O148" s="434">
        <v>30000</v>
      </c>
      <c r="P148" s="69">
        <f>(104092/10000)*8.7</f>
        <v>90.560040000000001</v>
      </c>
      <c r="Q148" s="69">
        <f>(96812/10000)*8.7</f>
        <v>84.226439999999997</v>
      </c>
      <c r="R148" s="69">
        <v>8.4485700000000108</v>
      </c>
      <c r="S148" s="435">
        <f>(R148)/8.7*10000/(G148)</f>
        <v>0.19991765311374191</v>
      </c>
      <c r="T148" s="435">
        <f>(R148)/8.5*10000/(G148)</f>
        <v>0.20462159789288875</v>
      </c>
      <c r="U148" s="435" t="e">
        <f>S148/8.5*10000/(H148)</f>
        <v>#DIV/0!</v>
      </c>
      <c r="V148" s="436"/>
      <c r="W148" s="32"/>
      <c r="X148" s="637">
        <v>13208.489</v>
      </c>
      <c r="Y148" s="33">
        <f>Z148/14500</f>
        <v>44248.438149999994</v>
      </c>
      <c r="Z148" s="638">
        <f>X148*G148</f>
        <v>641602353.17499995</v>
      </c>
      <c r="AA148" s="638"/>
      <c r="AB148" s="438"/>
      <c r="AC148" s="33"/>
    </row>
    <row r="149" spans="1:29" x14ac:dyDescent="0.3">
      <c r="A149" s="174">
        <v>44200.767361111109</v>
      </c>
      <c r="B149" s="174">
        <v>44204.9375</v>
      </c>
      <c r="C149" s="23"/>
      <c r="D149" s="14"/>
      <c r="E149" s="35" t="s">
        <v>741</v>
      </c>
      <c r="F149" s="36" t="s">
        <v>328</v>
      </c>
      <c r="G149" s="433">
        <v>86650</v>
      </c>
      <c r="H149" s="433"/>
      <c r="I149" s="433">
        <v>86650</v>
      </c>
      <c r="J149" s="26">
        <f t="shared" si="86"/>
        <v>0</v>
      </c>
      <c r="K149" s="27">
        <f t="shared" ref="K149:K155" si="101">B149-A149</f>
        <v>4.1701388888905058</v>
      </c>
      <c r="L149" s="27">
        <f>'[45]RISING HIMEJI'!$F$124</f>
        <v>1.7934027777846495</v>
      </c>
      <c r="M149" s="434">
        <f t="shared" si="88"/>
        <v>20778.684429633908</v>
      </c>
      <c r="N149" s="434">
        <f>(G149)/L149</f>
        <v>48315.97289429696</v>
      </c>
      <c r="O149" s="434">
        <v>30000</v>
      </c>
      <c r="P149" s="69">
        <f>(95750/10000)*8.7</f>
        <v>83.302499999999981</v>
      </c>
      <c r="Q149" s="69">
        <f>(78188/10000)*8.7</f>
        <v>68.023560000000003</v>
      </c>
      <c r="R149" s="69">
        <f>P149-Q149</f>
        <v>15.278939999999977</v>
      </c>
      <c r="S149" s="435">
        <f>R149/8.7*10000/(G149)</f>
        <v>0.20267743796883986</v>
      </c>
      <c r="T149" s="435">
        <f>R149/8.5*10000/(G149)</f>
        <v>0.20744631886222434</v>
      </c>
      <c r="U149" s="435"/>
      <c r="V149" s="31"/>
      <c r="W149" s="32"/>
      <c r="X149" s="637">
        <v>13416.606</v>
      </c>
      <c r="Y149" s="33">
        <f t="shared" ref="Y149:Y151" si="102">Z149/14500</f>
        <v>80175.786889655181</v>
      </c>
      <c r="Z149" s="638">
        <f t="shared" ref="Z149:Z151" si="103">X149*G149</f>
        <v>1162548909.9000001</v>
      </c>
      <c r="AA149" s="638"/>
      <c r="AB149" s="438"/>
      <c r="AC149" s="33"/>
    </row>
    <row r="150" spans="1:29" x14ac:dyDescent="0.3">
      <c r="A150" s="174">
        <v>44210.694444444445</v>
      </c>
      <c r="B150" s="174">
        <v>44213.375</v>
      </c>
      <c r="C150" s="23"/>
      <c r="D150" s="14"/>
      <c r="E150" s="35" t="s">
        <v>742</v>
      </c>
      <c r="F150" s="36" t="s">
        <v>328</v>
      </c>
      <c r="G150" s="433">
        <v>80200</v>
      </c>
      <c r="H150" s="433"/>
      <c r="I150" s="433">
        <v>80200</v>
      </c>
      <c r="J150" s="26">
        <f t="shared" si="86"/>
        <v>0</v>
      </c>
      <c r="K150" s="27">
        <f t="shared" si="101"/>
        <v>2.6805555555547471</v>
      </c>
      <c r="L150" s="27">
        <f>'[45]JP CORAL '!$F$112</f>
        <v>1.6215277778028394</v>
      </c>
      <c r="M150" s="434">
        <f t="shared" si="88"/>
        <v>29919.170984464981</v>
      </c>
      <c r="N150" s="434">
        <f>(G150)/L150</f>
        <v>49459.528907158485</v>
      </c>
      <c r="O150" s="434">
        <v>30000</v>
      </c>
      <c r="P150" s="69">
        <f>(65975/10000)*8.7</f>
        <v>57.398249999999997</v>
      </c>
      <c r="Q150" s="69">
        <f>(52404/10000)*8.7</f>
        <v>45.591479999999997</v>
      </c>
      <c r="R150" s="69">
        <f>P150-Q150</f>
        <v>11.80677</v>
      </c>
      <c r="S150" s="435">
        <f>R150/8.7*10000/(G150)</f>
        <v>0.16921446384039904</v>
      </c>
      <c r="T150" s="435">
        <f>R150/8.5*10000/(G150)</f>
        <v>0.17319598063664368</v>
      </c>
      <c r="U150" s="435"/>
      <c r="V150" s="31"/>
      <c r="W150" s="32"/>
      <c r="X150" s="637">
        <v>13158.751</v>
      </c>
      <c r="Y150" s="33">
        <f t="shared" si="102"/>
        <v>72781.505531034491</v>
      </c>
      <c r="Z150" s="638">
        <f t="shared" si="103"/>
        <v>1055331830.2</v>
      </c>
      <c r="AA150" s="638"/>
      <c r="AB150" s="438"/>
      <c r="AC150" s="33"/>
    </row>
    <row r="151" spans="1:29" x14ac:dyDescent="0.3">
      <c r="A151" s="174">
        <v>44213.947916666664</v>
      </c>
      <c r="B151" s="174">
        <v>44218.895833333336</v>
      </c>
      <c r="C151" s="23"/>
      <c r="D151" s="14"/>
      <c r="E151" s="35" t="s">
        <v>743</v>
      </c>
      <c r="F151" s="36" t="s">
        <v>328</v>
      </c>
      <c r="G151" s="433">
        <v>64774</v>
      </c>
      <c r="H151" s="433"/>
      <c r="I151" s="433">
        <v>79105</v>
      </c>
      <c r="J151" s="26">
        <f t="shared" si="86"/>
        <v>-14331</v>
      </c>
      <c r="K151" s="27">
        <f t="shared" si="101"/>
        <v>4.9479166666715173</v>
      </c>
      <c r="L151" s="27">
        <f>[45]ANTWERPIA!$F$119</f>
        <v>1.3194444444695062</v>
      </c>
      <c r="M151" s="434">
        <f t="shared" si="88"/>
        <v>13091.16631577664</v>
      </c>
      <c r="N151" s="434">
        <f>(G151)/L151</f>
        <v>49091.873683278071</v>
      </c>
      <c r="O151" s="434">
        <v>30000</v>
      </c>
      <c r="P151" s="69">
        <f>(50590/10000)*8.7</f>
        <v>44.013300000000001</v>
      </c>
      <c r="Q151" s="69">
        <f>(32476/10000)*8.7</f>
        <v>28.254119999999997</v>
      </c>
      <c r="R151" s="69">
        <f>P151-Q151</f>
        <v>15.759180000000004</v>
      </c>
      <c r="S151" s="435">
        <f>R151/8.7*10000/(G151)</f>
        <v>0.27964924197980684</v>
      </c>
      <c r="T151" s="435">
        <f>R151/8.5*10000/(G151)</f>
        <v>0.28622922414403756</v>
      </c>
      <c r="U151" s="435"/>
      <c r="V151" s="31"/>
      <c r="W151" s="32"/>
      <c r="X151" s="637">
        <v>13099.665000000001</v>
      </c>
      <c r="Y151" s="33">
        <f t="shared" si="102"/>
        <v>58518.462117931034</v>
      </c>
      <c r="Z151" s="638">
        <f t="shared" si="103"/>
        <v>848517700.71000004</v>
      </c>
      <c r="AA151" s="638"/>
      <c r="AB151" s="438"/>
      <c r="AC151" s="33"/>
    </row>
    <row r="152" spans="1:29" x14ac:dyDescent="0.3">
      <c r="A152" s="174">
        <v>44227.552083333336</v>
      </c>
      <c r="B152" s="174">
        <v>44229.402777777781</v>
      </c>
      <c r="C152" s="23"/>
      <c r="D152" s="14"/>
      <c r="E152" s="35" t="s">
        <v>744</v>
      </c>
      <c r="F152" s="25" t="s">
        <v>32</v>
      </c>
      <c r="G152" s="433">
        <v>52750</v>
      </c>
      <c r="H152" s="433"/>
      <c r="I152" s="433">
        <v>52750</v>
      </c>
      <c r="J152" s="26">
        <f t="shared" ref="J152:J157" si="104">G152-I152</f>
        <v>0</v>
      </c>
      <c r="K152" s="27">
        <f t="shared" si="101"/>
        <v>1.8506944444452529</v>
      </c>
      <c r="L152" s="27">
        <f>[46]HERMES!$F$97</f>
        <v>1.1284722222250518</v>
      </c>
      <c r="M152" s="434">
        <f t="shared" ref="M152:M157" si="105">(G152)/K152</f>
        <v>28502.814258899369</v>
      </c>
      <c r="N152" s="434">
        <f t="shared" ref="N152:N157" si="106">(G152)/L152</f>
        <v>46744.615384498175</v>
      </c>
      <c r="O152" s="434">
        <v>30000</v>
      </c>
      <c r="P152" s="69">
        <f>(216758/10000)*8.7</f>
        <v>188.57945999999998</v>
      </c>
      <c r="Q152" s="69">
        <f>(208581/10000)*8.7</f>
        <v>181.46546999999998</v>
      </c>
      <c r="R152" s="69">
        <f t="shared" ref="R152:R157" si="107">P152-Q152</f>
        <v>7.1139900000000011</v>
      </c>
      <c r="S152" s="435">
        <f t="shared" ref="S152:S157" si="108">R152/8.7*10000/(G152)</f>
        <v>0.1550142180094787</v>
      </c>
      <c r="T152" s="435">
        <f t="shared" ref="T152:T157" si="109">R152/8.5*10000/(G152)</f>
        <v>0.15866161137440762</v>
      </c>
      <c r="U152" s="435"/>
      <c r="V152" s="436"/>
      <c r="W152" s="32"/>
      <c r="X152" s="637">
        <v>13159.554</v>
      </c>
      <c r="Y152" s="33">
        <f t="shared" ref="Y152:Y157" si="110">Z152/14500</f>
        <v>47873.549896551725</v>
      </c>
      <c r="Z152" s="638">
        <f t="shared" ref="Z152:Z157" si="111">X152*G152</f>
        <v>694166473.5</v>
      </c>
      <c r="AA152" s="638"/>
      <c r="AB152" s="438"/>
      <c r="AC152" s="33"/>
    </row>
    <row r="153" spans="1:29" x14ac:dyDescent="0.3">
      <c r="A153" s="174">
        <v>44231.822916666664</v>
      </c>
      <c r="B153" s="174">
        <v>44235.34375</v>
      </c>
      <c r="C153" s="23"/>
      <c r="D153" s="14"/>
      <c r="E153" s="35" t="s">
        <v>745</v>
      </c>
      <c r="F153" s="36" t="s">
        <v>328</v>
      </c>
      <c r="G153" s="433">
        <v>74765</v>
      </c>
      <c r="H153" s="433"/>
      <c r="I153" s="433">
        <v>74765</v>
      </c>
      <c r="J153" s="26">
        <f t="shared" si="104"/>
        <v>0</v>
      </c>
      <c r="K153" s="27">
        <f t="shared" si="101"/>
        <v>3.5208333333357587</v>
      </c>
      <c r="L153" s="27">
        <f>'[46]LUCKY LOONG'!$F$137</f>
        <v>1.4340277777579711</v>
      </c>
      <c r="M153" s="434">
        <f t="shared" si="105"/>
        <v>21235.029585784188</v>
      </c>
      <c r="N153" s="434">
        <f t="shared" si="106"/>
        <v>52136.368039461027</v>
      </c>
      <c r="O153" s="434">
        <v>30000</v>
      </c>
      <c r="P153" s="69">
        <f>(204923/10000)*8.7</f>
        <v>178.28300999999999</v>
      </c>
      <c r="Q153" s="69">
        <f>(190255/10000)*8.7</f>
        <v>165.52185</v>
      </c>
      <c r="R153" s="69">
        <f t="shared" si="107"/>
        <v>12.76115999999999</v>
      </c>
      <c r="S153" s="435">
        <f t="shared" si="108"/>
        <v>0.19618805590851321</v>
      </c>
      <c r="T153" s="435">
        <f t="shared" si="109"/>
        <v>0.20080424545930173</v>
      </c>
      <c r="U153" s="435"/>
      <c r="V153" s="31"/>
      <c r="W153" s="32"/>
      <c r="X153" s="637">
        <v>13055.407999999999</v>
      </c>
      <c r="Y153" s="33">
        <f t="shared" si="110"/>
        <v>67316.384766896546</v>
      </c>
      <c r="Z153" s="638">
        <f t="shared" si="111"/>
        <v>976087579.12</v>
      </c>
      <c r="AA153" s="638"/>
      <c r="AB153" s="438"/>
      <c r="AC153" s="33"/>
    </row>
    <row r="154" spans="1:29" x14ac:dyDescent="0.3">
      <c r="A154" s="174">
        <v>44236.645833333336</v>
      </c>
      <c r="B154" s="174">
        <v>44239.256944444445</v>
      </c>
      <c r="C154" s="23"/>
      <c r="D154" s="14"/>
      <c r="E154" s="35" t="s">
        <v>743</v>
      </c>
      <c r="F154" s="36" t="s">
        <v>328</v>
      </c>
      <c r="G154" s="433">
        <v>80700</v>
      </c>
      <c r="H154" s="433"/>
      <c r="I154" s="433">
        <v>80700</v>
      </c>
      <c r="J154" s="26">
        <f t="shared" si="104"/>
        <v>0</v>
      </c>
      <c r="K154" s="27">
        <f t="shared" si="101"/>
        <v>2.6111111111094942</v>
      </c>
      <c r="L154" s="27">
        <f>[46]ANTWERPIA!$F$138</f>
        <v>1.6458333333272701</v>
      </c>
      <c r="M154" s="434">
        <f t="shared" si="105"/>
        <v>30906.382978742542</v>
      </c>
      <c r="N154" s="434">
        <f t="shared" si="106"/>
        <v>49032.911392585702</v>
      </c>
      <c r="O154" s="434">
        <v>30000</v>
      </c>
      <c r="P154" s="69">
        <f>(187216/10000)*8.7</f>
        <v>162.87791999999999</v>
      </c>
      <c r="Q154" s="69">
        <f>(174016/10000)*8.7</f>
        <v>151.39391999999998</v>
      </c>
      <c r="R154" s="69">
        <f t="shared" si="107"/>
        <v>11.484000000000009</v>
      </c>
      <c r="S154" s="435">
        <f t="shared" si="108"/>
        <v>0.16356877323420088</v>
      </c>
      <c r="T154" s="435">
        <f t="shared" si="109"/>
        <v>0.1674174502514762</v>
      </c>
      <c r="U154" s="435"/>
      <c r="V154" s="31"/>
      <c r="W154" s="32"/>
      <c r="X154" s="637">
        <v>13073.852000000001</v>
      </c>
      <c r="Y154" s="33">
        <f t="shared" si="110"/>
        <v>72762.748717241382</v>
      </c>
      <c r="Z154" s="638">
        <f t="shared" si="111"/>
        <v>1055059856.4000001</v>
      </c>
      <c r="AA154" s="638"/>
      <c r="AB154" s="438"/>
      <c r="AC154" s="33"/>
    </row>
    <row r="155" spans="1:29" x14ac:dyDescent="0.3">
      <c r="A155" s="174">
        <v>44244.166666666664</v>
      </c>
      <c r="B155" s="174">
        <v>44247.034722222219</v>
      </c>
      <c r="C155" s="23"/>
      <c r="D155" s="14"/>
      <c r="E155" s="35" t="s">
        <v>507</v>
      </c>
      <c r="F155" s="36" t="s">
        <v>328</v>
      </c>
      <c r="G155" s="433">
        <v>83100</v>
      </c>
      <c r="H155" s="433"/>
      <c r="I155" s="433">
        <v>83100</v>
      </c>
      <c r="J155" s="26">
        <f t="shared" si="104"/>
        <v>0</v>
      </c>
      <c r="K155" s="27">
        <f t="shared" si="101"/>
        <v>2.8680555555547471</v>
      </c>
      <c r="L155" s="27">
        <f>'[46]CEMTEX HUNTER'!$F$130</f>
        <v>1.7413194444367643</v>
      </c>
      <c r="M155" s="434">
        <f t="shared" si="105"/>
        <v>28974.334140444003</v>
      </c>
      <c r="N155" s="434">
        <f t="shared" si="106"/>
        <v>47722.432702104794</v>
      </c>
      <c r="O155" s="434">
        <v>30000</v>
      </c>
      <c r="P155" s="69">
        <f>(164855/10000)*8.7</f>
        <v>143.42384999999999</v>
      </c>
      <c r="Q155" s="69">
        <f>(150005/10000)*8.7</f>
        <v>130.50434999999999</v>
      </c>
      <c r="R155" s="69">
        <f t="shared" si="107"/>
        <v>12.919499999999999</v>
      </c>
      <c r="S155" s="435">
        <f t="shared" si="108"/>
        <v>0.17870036101083034</v>
      </c>
      <c r="T155" s="435">
        <f t="shared" si="109"/>
        <v>0.18290507538755574</v>
      </c>
      <c r="U155" s="435"/>
      <c r="V155" s="31"/>
      <c r="W155" s="32"/>
      <c r="X155" s="637">
        <v>13453.752</v>
      </c>
      <c r="Y155" s="33">
        <f t="shared" si="110"/>
        <v>77103.916634482768</v>
      </c>
      <c r="Z155" s="638">
        <f t="shared" si="111"/>
        <v>1118006791.2</v>
      </c>
      <c r="AA155" s="638"/>
      <c r="AB155" s="438"/>
      <c r="AC155" s="33"/>
    </row>
    <row r="156" spans="1:29" x14ac:dyDescent="0.3">
      <c r="A156" s="174">
        <v>44247.875</v>
      </c>
      <c r="B156" s="174">
        <v>44253.392361111109</v>
      </c>
      <c r="C156" s="23"/>
      <c r="D156" s="23"/>
      <c r="E156" s="35" t="s">
        <v>746</v>
      </c>
      <c r="F156" s="25" t="s">
        <v>328</v>
      </c>
      <c r="G156" s="433">
        <v>54750</v>
      </c>
      <c r="H156" s="433"/>
      <c r="I156" s="433">
        <v>83100</v>
      </c>
      <c r="J156" s="26">
        <f t="shared" si="104"/>
        <v>-28350</v>
      </c>
      <c r="K156" s="27">
        <f>[46]SEASTRENGTH!$F$85</f>
        <v>3.9097222222189885</v>
      </c>
      <c r="L156" s="27">
        <f>[46]SEASTRENGTH!$F$86</f>
        <v>1.3142361110900918</v>
      </c>
      <c r="M156" s="434">
        <f t="shared" si="105"/>
        <v>14003.552397880143</v>
      </c>
      <c r="N156" s="434">
        <f t="shared" si="106"/>
        <v>41659.18097820921</v>
      </c>
      <c r="O156" s="434">
        <v>30000</v>
      </c>
      <c r="P156" s="69">
        <f>(149153/10000)*8.7</f>
        <v>129.76310999999998</v>
      </c>
      <c r="Q156" s="69">
        <f>(SUM(130465+5000)/10000)*8.7</f>
        <v>117.85454999999999</v>
      </c>
      <c r="R156" s="69">
        <f t="shared" si="107"/>
        <v>11.908559999999994</v>
      </c>
      <c r="S156" s="435">
        <f t="shared" si="108"/>
        <v>0.25000913242009121</v>
      </c>
      <c r="T156" s="435">
        <f t="shared" si="109"/>
        <v>0.25589170024174041</v>
      </c>
      <c r="U156" s="69"/>
      <c r="V156" s="436"/>
      <c r="W156" s="437"/>
      <c r="X156" s="637">
        <v>13453.752</v>
      </c>
      <c r="Y156" s="33">
        <f t="shared" si="110"/>
        <v>50799.511862068968</v>
      </c>
      <c r="Z156" s="638">
        <f t="shared" si="111"/>
        <v>736592922</v>
      </c>
      <c r="AA156" s="638"/>
      <c r="AB156" s="438"/>
      <c r="AC156" s="33"/>
    </row>
    <row r="157" spans="1:29" x14ac:dyDescent="0.3">
      <c r="A157" s="174">
        <v>44251.635416666664</v>
      </c>
      <c r="B157" s="174">
        <v>44254.458333333336</v>
      </c>
      <c r="C157" s="23"/>
      <c r="D157" s="23"/>
      <c r="E157" s="35" t="s">
        <v>387</v>
      </c>
      <c r="F157" s="25" t="s">
        <v>328</v>
      </c>
      <c r="G157" s="433">
        <v>50998</v>
      </c>
      <c r="H157" s="433"/>
      <c r="I157" s="433">
        <v>66000</v>
      </c>
      <c r="J157" s="26">
        <f t="shared" si="104"/>
        <v>-15002</v>
      </c>
      <c r="K157" s="27">
        <f>'[46]YUN MI FENG'!$F$82</f>
        <v>1.5972222222262644</v>
      </c>
      <c r="L157" s="27">
        <f>'[46]YUN MI FENG'!$F$83</f>
        <v>1.2118055555790004</v>
      </c>
      <c r="M157" s="434">
        <f t="shared" si="105"/>
        <v>31929.182608614847</v>
      </c>
      <c r="N157" s="434">
        <f t="shared" si="106"/>
        <v>42084.309454773189</v>
      </c>
      <c r="O157" s="434">
        <v>30000</v>
      </c>
      <c r="P157" s="69">
        <f>(138672/10000)*8.7</f>
        <v>120.64464</v>
      </c>
      <c r="Q157" s="69">
        <f>(SUM(126836)/10000)*8.7</f>
        <v>110.34732</v>
      </c>
      <c r="R157" s="69">
        <f t="shared" si="107"/>
        <v>10.297319999999999</v>
      </c>
      <c r="S157" s="435">
        <f t="shared" si="108"/>
        <v>0.23208753284442526</v>
      </c>
      <c r="T157" s="435">
        <f t="shared" si="109"/>
        <v>0.23754841597017645</v>
      </c>
      <c r="U157" s="69"/>
      <c r="V157" s="436"/>
      <c r="W157" s="437"/>
      <c r="X157" s="637">
        <v>13711.647999999999</v>
      </c>
      <c r="Y157" s="33">
        <f t="shared" si="110"/>
        <v>48225.284462344825</v>
      </c>
      <c r="Z157" s="638">
        <f t="shared" si="111"/>
        <v>699266624.704</v>
      </c>
      <c r="AA157" s="638"/>
      <c r="AB157" s="438"/>
      <c r="AC157" s="33"/>
    </row>
    <row r="158" spans="1:29" x14ac:dyDescent="0.3">
      <c r="A158" s="174">
        <v>44261.829861111109</v>
      </c>
      <c r="B158" s="174">
        <v>44264.458333333336</v>
      </c>
      <c r="C158" s="23"/>
      <c r="D158" s="14"/>
      <c r="E158" s="35" t="s">
        <v>747</v>
      </c>
      <c r="F158" s="36" t="s">
        <v>328</v>
      </c>
      <c r="G158" s="433">
        <v>64334</v>
      </c>
      <c r="H158" s="433"/>
      <c r="I158" s="433">
        <v>64334</v>
      </c>
      <c r="J158" s="26">
        <f t="shared" ref="J158:J164" si="112">G158-I158</f>
        <v>0</v>
      </c>
      <c r="K158" s="27">
        <f t="shared" ref="K158:K164" si="113">B158-A158</f>
        <v>2.6284722222262644</v>
      </c>
      <c r="L158" s="27">
        <f>'[47]HENG MAO'!$F$88</f>
        <v>1.538194444430701</v>
      </c>
      <c r="M158" s="434">
        <f t="shared" ref="M158:M159" si="114">(G158)/K158</f>
        <v>24475.815059407538</v>
      </c>
      <c r="N158" s="434">
        <f t="shared" ref="N158:N164" si="115">(G158)/L158</f>
        <v>41824.361174188591</v>
      </c>
      <c r="O158" s="434">
        <v>30000</v>
      </c>
      <c r="P158" s="69">
        <f>(102347/10000)*8.7</f>
        <v>89.041889999999995</v>
      </c>
      <c r="Q158" s="69">
        <f>(SUM(92153)/10000)*8.7</f>
        <v>80.17310999999998</v>
      </c>
      <c r="R158" s="69">
        <f t="shared" ref="R158:R164" si="116">P158-Q158</f>
        <v>8.8687800000000152</v>
      </c>
      <c r="S158" s="435">
        <f t="shared" ref="S158:S164" si="117">R158/8.7*10000/(G158)</f>
        <v>0.15845431653558023</v>
      </c>
      <c r="T158" s="435">
        <f t="shared" ref="T158:T164" si="118">R158/8.5*10000/(G158)</f>
        <v>0.16218265339524093</v>
      </c>
      <c r="U158" s="435"/>
      <c r="V158" s="436"/>
      <c r="W158" s="32"/>
      <c r="X158" s="637">
        <v>13919.673000000001</v>
      </c>
      <c r="Y158" s="33">
        <f t="shared" ref="Y158:Y164" si="119">Z158/14500</f>
        <v>61759.189157379318</v>
      </c>
      <c r="Z158" s="638">
        <f t="shared" ref="Z158:Z163" si="120">X158*G158</f>
        <v>895508242.78200006</v>
      </c>
      <c r="AA158" s="33"/>
      <c r="AB158" s="438"/>
      <c r="AC158" s="33"/>
    </row>
    <row r="159" spans="1:29" x14ac:dyDescent="0.3">
      <c r="A159" s="174">
        <v>44264.791666666664</v>
      </c>
      <c r="B159" s="174">
        <v>44267.541666666664</v>
      </c>
      <c r="C159" s="23"/>
      <c r="D159" s="14"/>
      <c r="E159" s="35" t="s">
        <v>748</v>
      </c>
      <c r="F159" s="36" t="s">
        <v>328</v>
      </c>
      <c r="G159" s="433">
        <v>79355</v>
      </c>
      <c r="H159" s="433"/>
      <c r="I159" s="433">
        <v>79355</v>
      </c>
      <c r="J159" s="26">
        <f t="shared" si="112"/>
        <v>0</v>
      </c>
      <c r="K159" s="27">
        <f t="shared" si="113"/>
        <v>2.75</v>
      </c>
      <c r="L159" s="27">
        <f>'[47]KM SYDNEY'!$F$135</f>
        <v>1.5590277777870749</v>
      </c>
      <c r="M159" s="434">
        <f t="shared" si="114"/>
        <v>28856.363636363636</v>
      </c>
      <c r="N159" s="434">
        <f t="shared" si="115"/>
        <v>50900.311803705372</v>
      </c>
      <c r="O159" s="434">
        <v>30000</v>
      </c>
      <c r="P159" s="69">
        <f>(91839/10000)*8.7</f>
        <v>79.899929999999983</v>
      </c>
      <c r="Q159" s="69">
        <f>(SUM(76360)/10000)*8.7</f>
        <v>66.433199999999999</v>
      </c>
      <c r="R159" s="69">
        <f t="shared" si="116"/>
        <v>13.466729999999984</v>
      </c>
      <c r="S159" s="435">
        <f t="shared" si="117"/>
        <v>0.19506017264192532</v>
      </c>
      <c r="T159" s="435">
        <f t="shared" si="118"/>
        <v>0.19964982376291177</v>
      </c>
      <c r="U159" s="435"/>
      <c r="V159" s="31"/>
      <c r="W159" s="32"/>
      <c r="X159" s="637">
        <v>13833.5</v>
      </c>
      <c r="Y159" s="33">
        <f t="shared" si="119"/>
        <v>75707.406379310341</v>
      </c>
      <c r="Z159" s="638">
        <f t="shared" si="120"/>
        <v>1097757392.5</v>
      </c>
      <c r="AA159" s="33"/>
      <c r="AB159" s="438"/>
      <c r="AC159" s="33"/>
    </row>
    <row r="160" spans="1:29" x14ac:dyDescent="0.3">
      <c r="A160" s="174">
        <v>44270.277777777781</v>
      </c>
      <c r="B160" s="174">
        <v>44271.954861111109</v>
      </c>
      <c r="C160" s="23"/>
      <c r="D160" s="23"/>
      <c r="E160" s="35" t="s">
        <v>749</v>
      </c>
      <c r="F160" s="25" t="s">
        <v>328</v>
      </c>
      <c r="G160" s="433">
        <v>29644</v>
      </c>
      <c r="H160" s="433"/>
      <c r="I160" s="433">
        <v>29347</v>
      </c>
      <c r="J160" s="26">
        <f t="shared" si="112"/>
        <v>297</v>
      </c>
      <c r="K160" s="27">
        <f t="shared" si="113"/>
        <v>1.6770833333284827</v>
      </c>
      <c r="L160" s="27">
        <f>'[47]NEW LEONIDAS'!$F$65</f>
        <v>1.1111111110985803</v>
      </c>
      <c r="M160" s="434">
        <f>(G160)/K160</f>
        <v>17675.925465889635</v>
      </c>
      <c r="N160" s="434">
        <f t="shared" si="115"/>
        <v>26679.600000300885</v>
      </c>
      <c r="O160" s="434">
        <v>30000</v>
      </c>
      <c r="P160" s="69">
        <f>(265568/10000)*8.7</f>
        <v>231.04415999999998</v>
      </c>
      <c r="Q160" s="69">
        <f>(255728/10000)*8.7</f>
        <v>222.48335999999998</v>
      </c>
      <c r="R160" s="69">
        <f t="shared" si="116"/>
        <v>8.5608000000000004</v>
      </c>
      <c r="S160" s="435">
        <f t="shared" si="117"/>
        <v>0.33193900958035361</v>
      </c>
      <c r="T160" s="435">
        <f t="shared" si="118"/>
        <v>0.3397493392175383</v>
      </c>
      <c r="U160" s="69"/>
      <c r="V160" s="436"/>
      <c r="W160" s="437"/>
      <c r="X160" s="637">
        <v>14065.075999999999</v>
      </c>
      <c r="Y160" s="33">
        <f t="shared" si="119"/>
        <v>28754.83537544827</v>
      </c>
      <c r="Z160" s="638">
        <f t="shared" si="120"/>
        <v>416945112.94399995</v>
      </c>
      <c r="AA160" s="33"/>
      <c r="AB160" s="438"/>
      <c r="AC160" s="33"/>
    </row>
    <row r="161" spans="1:29" x14ac:dyDescent="0.3">
      <c r="A161" s="174">
        <v>44272.263888888891</v>
      </c>
      <c r="B161" s="174">
        <v>44274.854166666664</v>
      </c>
      <c r="C161" s="23"/>
      <c r="D161" s="23"/>
      <c r="E161" s="35" t="s">
        <v>750</v>
      </c>
      <c r="F161" s="25" t="s">
        <v>328</v>
      </c>
      <c r="G161" s="433">
        <v>53564</v>
      </c>
      <c r="H161" s="433"/>
      <c r="I161" s="433">
        <v>55000</v>
      </c>
      <c r="J161" s="26">
        <f t="shared" si="112"/>
        <v>-1436</v>
      </c>
      <c r="K161" s="27">
        <f t="shared" si="113"/>
        <v>2.5902777777737356</v>
      </c>
      <c r="L161" s="27">
        <f>'[47]STAR OPHELIA'!$F$119</f>
        <v>1.4652777777810115</v>
      </c>
      <c r="M161" s="434">
        <f>(G161)/K161</f>
        <v>20678.86327080975</v>
      </c>
      <c r="N161" s="434">
        <f t="shared" si="115"/>
        <v>36555.526066270038</v>
      </c>
      <c r="O161" s="434">
        <v>30000</v>
      </c>
      <c r="P161" s="69">
        <f>(255413/10000)*8.7</f>
        <v>222.20930999999999</v>
      </c>
      <c r="Q161" s="69">
        <f>(243299/10000)*8.7</f>
        <v>211.67012999999997</v>
      </c>
      <c r="R161" s="69">
        <f t="shared" si="116"/>
        <v>10.539180000000016</v>
      </c>
      <c r="S161" s="435">
        <f t="shared" si="117"/>
        <v>0.22615936076469309</v>
      </c>
      <c r="T161" s="435">
        <f t="shared" si="118"/>
        <v>0.2314807574885682</v>
      </c>
      <c r="U161" s="69"/>
      <c r="V161" s="436"/>
      <c r="W161" s="437"/>
      <c r="X161" s="637">
        <v>14059.883</v>
      </c>
      <c r="Y161" s="33">
        <f t="shared" si="119"/>
        <v>51938.177449103445</v>
      </c>
      <c r="Z161" s="638">
        <f t="shared" si="120"/>
        <v>753103573.01199996</v>
      </c>
      <c r="AA161" s="33"/>
      <c r="AB161" s="438"/>
      <c r="AC161" s="33"/>
    </row>
    <row r="162" spans="1:29" x14ac:dyDescent="0.3">
      <c r="A162" s="174">
        <v>44275.291666666664</v>
      </c>
      <c r="B162" s="174">
        <v>44275.847222222219</v>
      </c>
      <c r="C162" s="23"/>
      <c r="D162" s="23"/>
      <c r="E162" s="35" t="s">
        <v>751</v>
      </c>
      <c r="F162" s="25" t="s">
        <v>328</v>
      </c>
      <c r="G162" s="433">
        <v>15019</v>
      </c>
      <c r="H162" s="433"/>
      <c r="I162" s="433">
        <v>15019</v>
      </c>
      <c r="J162" s="26">
        <f t="shared" si="112"/>
        <v>0</v>
      </c>
      <c r="K162" s="27">
        <f t="shared" si="113"/>
        <v>0.55555555555474712</v>
      </c>
      <c r="L162" s="27">
        <f>'[47]DE YUAN'!$F$33</f>
        <v>0.43923611110100563</v>
      </c>
      <c r="M162" s="434">
        <f>(G162)/K162</f>
        <v>27034.200000039338</v>
      </c>
      <c r="N162" s="434">
        <f t="shared" si="115"/>
        <v>34193.454546241235</v>
      </c>
      <c r="O162" s="434">
        <v>30000</v>
      </c>
      <c r="P162" s="69">
        <f>(241241/10000)*8.7</f>
        <v>209.87966999999998</v>
      </c>
      <c r="Q162" s="69">
        <f>(238441/10000)*8.7</f>
        <v>207.44367</v>
      </c>
      <c r="R162" s="69">
        <f t="shared" si="116"/>
        <v>2.4359999999999786</v>
      </c>
      <c r="S162" s="435">
        <f t="shared" si="117"/>
        <v>0.18643052133963486</v>
      </c>
      <c r="T162" s="435">
        <f t="shared" si="118"/>
        <v>0.1908171218417439</v>
      </c>
      <c r="U162" s="435"/>
      <c r="V162" s="436"/>
      <c r="W162" s="437"/>
      <c r="X162" s="637">
        <v>14059.883</v>
      </c>
      <c r="Y162" s="33">
        <f t="shared" si="119"/>
        <v>14563.129846689655</v>
      </c>
      <c r="Z162" s="638">
        <f t="shared" si="120"/>
        <v>211165382.77700001</v>
      </c>
      <c r="AA162" s="33"/>
      <c r="AB162" s="438"/>
      <c r="AC162" s="33"/>
    </row>
    <row r="163" spans="1:29" x14ac:dyDescent="0.3">
      <c r="A163" s="174">
        <v>44276.104166666664</v>
      </c>
      <c r="B163" s="174">
        <v>44281.53125</v>
      </c>
      <c r="C163" s="23"/>
      <c r="D163" s="23"/>
      <c r="E163" s="35" t="s">
        <v>752</v>
      </c>
      <c r="F163" s="25" t="s">
        <v>91</v>
      </c>
      <c r="G163" s="433">
        <v>148300</v>
      </c>
      <c r="H163" s="433"/>
      <c r="I163" s="433">
        <v>148300</v>
      </c>
      <c r="J163" s="26">
        <f t="shared" si="112"/>
        <v>0</v>
      </c>
      <c r="K163" s="27">
        <f t="shared" si="113"/>
        <v>5.4270833333357587</v>
      </c>
      <c r="L163" s="27">
        <f>'[47]MINERAL TIANJIN'!$F$201</f>
        <v>3.1892361111519372</v>
      </c>
      <c r="M163" s="434">
        <f>(G163)/K163</f>
        <v>27325.911708241147</v>
      </c>
      <c r="N163" s="434">
        <f t="shared" si="115"/>
        <v>46500.163309148891</v>
      </c>
      <c r="O163" s="434">
        <v>30000</v>
      </c>
      <c r="P163" s="69">
        <f>(237407/10000)*8.7</f>
        <v>206.54408999999998</v>
      </c>
      <c r="Q163" s="69">
        <f>(209771/10000)*8.7</f>
        <v>182.50076999999999</v>
      </c>
      <c r="R163" s="69">
        <f t="shared" si="116"/>
        <v>24.043319999999994</v>
      </c>
      <c r="S163" s="435">
        <f t="shared" si="117"/>
        <v>0.18635198921105861</v>
      </c>
      <c r="T163" s="435">
        <f t="shared" si="118"/>
        <v>0.19073674189837767</v>
      </c>
      <c r="U163" s="435"/>
      <c r="V163" s="436"/>
      <c r="W163" s="437"/>
      <c r="X163" s="637">
        <v>14021.838</v>
      </c>
      <c r="Y163" s="33">
        <f t="shared" si="119"/>
        <v>143409.55692413793</v>
      </c>
      <c r="Z163" s="638">
        <f t="shared" si="120"/>
        <v>2079438575.3999999</v>
      </c>
      <c r="AA163" s="33"/>
      <c r="AB163" s="438"/>
      <c r="AC163" s="33"/>
    </row>
    <row r="164" spans="1:29" x14ac:dyDescent="0.3">
      <c r="A164" s="174">
        <v>44281.791666666664</v>
      </c>
      <c r="B164" s="174">
        <v>44284.555555555555</v>
      </c>
      <c r="C164" s="23"/>
      <c r="D164" s="23"/>
      <c r="E164" s="35" t="s">
        <v>753</v>
      </c>
      <c r="F164" s="25" t="s">
        <v>328</v>
      </c>
      <c r="G164" s="433">
        <v>60134</v>
      </c>
      <c r="H164" s="433"/>
      <c r="I164" s="433">
        <v>60134</v>
      </c>
      <c r="J164" s="26">
        <f t="shared" si="112"/>
        <v>0</v>
      </c>
      <c r="K164" s="27">
        <f t="shared" si="113"/>
        <v>2.7638888888905058</v>
      </c>
      <c r="L164" s="27">
        <f>'[47]ALPHA BRAVERY'!$F$108</f>
        <v>1.5729166666314995</v>
      </c>
      <c r="M164" s="434">
        <f>(G164)/K164</f>
        <v>21757.025125615412</v>
      </c>
      <c r="N164" s="434">
        <f t="shared" si="115"/>
        <v>38230.887418073304</v>
      </c>
      <c r="O164" s="434">
        <v>30000</v>
      </c>
      <c r="P164" s="69">
        <f>(209457/10000)*8.7</f>
        <v>182.22758999999996</v>
      </c>
      <c r="Q164" s="69">
        <f>(197746/10000)*8.7</f>
        <v>172.03901999999999</v>
      </c>
      <c r="R164" s="69">
        <f t="shared" si="116"/>
        <v>10.18856999999997</v>
      </c>
      <c r="S164" s="435">
        <f t="shared" si="117"/>
        <v>0.19474839525060644</v>
      </c>
      <c r="T164" s="435">
        <f t="shared" si="118"/>
        <v>0.19933071043297362</v>
      </c>
      <c r="U164" s="435"/>
      <c r="V164" s="436"/>
      <c r="W164" s="437"/>
      <c r="X164" s="637">
        <v>14103.187</v>
      </c>
      <c r="Y164" s="33">
        <f t="shared" si="119"/>
        <v>58488.348072965513</v>
      </c>
      <c r="Z164" s="638">
        <f>X164*G164</f>
        <v>848081047.05799997</v>
      </c>
      <c r="AA164" s="33"/>
      <c r="AB164" s="438"/>
      <c r="AC164" s="33"/>
    </row>
    <row r="165" spans="1:29" x14ac:dyDescent="0.3">
      <c r="A165" s="174">
        <v>44288.729166666664</v>
      </c>
      <c r="B165" s="174">
        <v>44289.024305555555</v>
      </c>
      <c r="C165" s="23"/>
      <c r="D165" s="14"/>
      <c r="E165" s="35" t="s">
        <v>136</v>
      </c>
      <c r="F165" s="36" t="s">
        <v>91</v>
      </c>
      <c r="G165" s="433">
        <v>10403</v>
      </c>
      <c r="H165" s="433"/>
      <c r="I165" s="433">
        <v>10403</v>
      </c>
      <c r="J165" s="26">
        <f t="shared" ref="J165:J172" si="121">G165-I165</f>
        <v>0</v>
      </c>
      <c r="K165" s="27">
        <f t="shared" ref="K165:K170" si="122">B165-A165</f>
        <v>0.29513888889050577</v>
      </c>
      <c r="L165" s="27">
        <f>[48]ALIKI!$F$35</f>
        <v>0.21875000000363798</v>
      </c>
      <c r="M165" s="434">
        <f t="shared" ref="M165:M170" si="123">(G165)/K165</f>
        <v>35247.811764512779</v>
      </c>
      <c r="N165" s="434">
        <f t="shared" ref="N165:N172" si="124">(G165)/L165</f>
        <v>47556.571427780524</v>
      </c>
      <c r="O165" s="434">
        <v>30000</v>
      </c>
      <c r="P165" s="69">
        <f>(184083/10000)*8.7</f>
        <v>160.15221</v>
      </c>
      <c r="Q165" s="69">
        <f>(181899/10000)*8.7</f>
        <v>158.25212999999999</v>
      </c>
      <c r="R165" s="69">
        <f t="shared" ref="R165:R172" si="125">P165-Q165</f>
        <v>1.9000800000000027</v>
      </c>
      <c r="S165" s="435">
        <f t="shared" ref="S165:S172" si="126">R165/8.7*10000/(G165)</f>
        <v>0.20993944054599664</v>
      </c>
      <c r="T165" s="435">
        <f t="shared" ref="T165:T172" si="127">R165/8.5*10000/(G165)</f>
        <v>0.21487919208825534</v>
      </c>
      <c r="U165" s="435"/>
      <c r="V165" s="436"/>
      <c r="W165" s="32"/>
      <c r="X165" s="639">
        <v>14282.387000000001</v>
      </c>
      <c r="Y165" s="33">
        <f t="shared" ref="Y165:Y172" si="128">Z165/14500</f>
        <v>10246.873928344827</v>
      </c>
      <c r="Z165" s="638">
        <f>X165*G165</f>
        <v>148579671.961</v>
      </c>
      <c r="AA165" s="33"/>
      <c r="AB165" s="438"/>
      <c r="AC165" s="33"/>
    </row>
    <row r="166" spans="1:29" x14ac:dyDescent="0.3">
      <c r="A166" s="174">
        <v>44289.576388888891</v>
      </c>
      <c r="B166" s="174">
        <v>44291.59375</v>
      </c>
      <c r="C166" s="23"/>
      <c r="D166" s="14"/>
      <c r="E166" s="35" t="s">
        <v>754</v>
      </c>
      <c r="F166" s="36" t="s">
        <v>328</v>
      </c>
      <c r="G166" s="433">
        <v>67000</v>
      </c>
      <c r="H166" s="433"/>
      <c r="I166" s="433">
        <v>67000</v>
      </c>
      <c r="J166" s="26">
        <f t="shared" si="121"/>
        <v>0</v>
      </c>
      <c r="K166" s="27">
        <f t="shared" si="122"/>
        <v>2.0173611111094942</v>
      </c>
      <c r="L166" s="27">
        <f>'[48]ORIENTAL GLORY'!$F$104</f>
        <v>1.451388888925673</v>
      </c>
      <c r="M166" s="434">
        <f t="shared" si="123"/>
        <v>33211.703958718528</v>
      </c>
      <c r="N166" s="434">
        <f t="shared" si="124"/>
        <v>46162.679424667374</v>
      </c>
      <c r="O166" s="434">
        <v>30000</v>
      </c>
      <c r="P166" s="69">
        <f>(181217/10000)*8.7</f>
        <v>157.65878999999998</v>
      </c>
      <c r="Q166" s="69">
        <f>(171235/10000)*8.7</f>
        <v>148.97444999999999</v>
      </c>
      <c r="R166" s="69">
        <f t="shared" si="125"/>
        <v>8.6843399999999917</v>
      </c>
      <c r="S166" s="435">
        <f t="shared" si="126"/>
        <v>0.14898507462686553</v>
      </c>
      <c r="T166" s="435">
        <f t="shared" si="127"/>
        <v>0.15249060579455648</v>
      </c>
      <c r="U166" s="435"/>
      <c r="V166" s="31"/>
      <c r="W166" s="32"/>
      <c r="X166" s="637">
        <v>14193.498</v>
      </c>
      <c r="Y166" s="33">
        <f t="shared" si="128"/>
        <v>65583.749379310349</v>
      </c>
      <c r="Z166" s="638">
        <f t="shared" ref="Z166:Z172" si="129">X166*G166</f>
        <v>950964366</v>
      </c>
      <c r="AA166" s="33"/>
      <c r="AB166" s="438"/>
      <c r="AC166" s="33"/>
    </row>
    <row r="167" spans="1:29" x14ac:dyDescent="0.3">
      <c r="A167" s="174">
        <v>44295.555555555555</v>
      </c>
      <c r="B167" s="174">
        <v>44298.763888888891</v>
      </c>
      <c r="C167" s="23"/>
      <c r="D167" s="23"/>
      <c r="E167" s="35" t="s">
        <v>755</v>
      </c>
      <c r="F167" s="25" t="s">
        <v>328</v>
      </c>
      <c r="G167" s="433">
        <v>80338</v>
      </c>
      <c r="H167" s="433"/>
      <c r="I167" s="433">
        <v>80535</v>
      </c>
      <c r="J167" s="26">
        <f t="shared" si="121"/>
        <v>-197</v>
      </c>
      <c r="K167" s="27">
        <f t="shared" si="122"/>
        <v>3.2083333333357587</v>
      </c>
      <c r="L167" s="27">
        <f>[48]FORTUNA!$F$123</f>
        <v>1.706597222199586</v>
      </c>
      <c r="M167" s="434">
        <f t="shared" si="123"/>
        <v>25040.415584396655</v>
      </c>
      <c r="N167" s="434">
        <f t="shared" si="124"/>
        <v>47074.962360746475</v>
      </c>
      <c r="O167" s="434">
        <v>30000</v>
      </c>
      <c r="P167" s="69">
        <f>(163525/10000)*8.7</f>
        <v>142.26674999999997</v>
      </c>
      <c r="Q167" s="69">
        <f>(149395/10000)*8.7</f>
        <v>129.97364999999999</v>
      </c>
      <c r="R167" s="69">
        <f t="shared" si="125"/>
        <v>12.293099999999981</v>
      </c>
      <c r="S167" s="435">
        <f t="shared" si="126"/>
        <v>0.17588189897682269</v>
      </c>
      <c r="T167" s="435">
        <f t="shared" si="127"/>
        <v>0.18002029659980673</v>
      </c>
      <c r="U167" s="69"/>
      <c r="V167" s="436"/>
      <c r="W167" s="437"/>
      <c r="X167" s="637">
        <v>14364.58</v>
      </c>
      <c r="Y167" s="33">
        <f t="shared" si="128"/>
        <v>79587.698485517234</v>
      </c>
      <c r="Z167" s="638">
        <f t="shared" si="129"/>
        <v>1154021628.04</v>
      </c>
      <c r="AA167" s="33"/>
      <c r="AB167" s="438"/>
      <c r="AC167" s="33"/>
    </row>
    <row r="168" spans="1:29" x14ac:dyDescent="0.3">
      <c r="A168" s="174">
        <v>44301.576388888891</v>
      </c>
      <c r="B168" s="174">
        <v>44305.166666666664</v>
      </c>
      <c r="C168" s="23"/>
      <c r="D168" s="23"/>
      <c r="E168" s="35" t="s">
        <v>756</v>
      </c>
      <c r="F168" s="25" t="s">
        <v>328</v>
      </c>
      <c r="G168" s="433">
        <v>71500</v>
      </c>
      <c r="H168" s="433"/>
      <c r="I168" s="433">
        <v>71500</v>
      </c>
      <c r="J168" s="26">
        <f t="shared" si="121"/>
        <v>0</v>
      </c>
      <c r="K168" s="27">
        <f t="shared" si="122"/>
        <v>3.5902777777737356</v>
      </c>
      <c r="L168" s="27">
        <f>'[48]JIAN MING'!$F$156</f>
        <v>2.2986111111191954</v>
      </c>
      <c r="M168" s="434">
        <f t="shared" si="123"/>
        <v>19914.893617043697</v>
      </c>
      <c r="N168" s="434">
        <f t="shared" si="124"/>
        <v>31105.740181159483</v>
      </c>
      <c r="O168" s="434">
        <v>30000</v>
      </c>
      <c r="P168" s="69">
        <f>(144461/10000)*8.7</f>
        <v>125.68106999999999</v>
      </c>
      <c r="Q168" s="69">
        <f>(124821/10000)*8.7</f>
        <v>108.59426999999999</v>
      </c>
      <c r="R168" s="69">
        <f t="shared" si="125"/>
        <v>17.086799999999997</v>
      </c>
      <c r="S168" s="435">
        <f t="shared" si="126"/>
        <v>0.27468531468531465</v>
      </c>
      <c r="T168" s="435">
        <f t="shared" si="127"/>
        <v>0.28114849856026325</v>
      </c>
      <c r="U168" s="435"/>
      <c r="V168" s="436"/>
      <c r="W168" s="437"/>
      <c r="X168" s="637">
        <v>14220.305</v>
      </c>
      <c r="Y168" s="33">
        <f t="shared" si="128"/>
        <v>70120.814310344824</v>
      </c>
      <c r="Z168" s="638">
        <f t="shared" si="129"/>
        <v>1016751807.5</v>
      </c>
      <c r="AA168" s="33"/>
      <c r="AB168" s="438"/>
      <c r="AC168" s="33"/>
    </row>
    <row r="169" spans="1:29" x14ac:dyDescent="0.3">
      <c r="A169" s="174">
        <v>44305.423611111109</v>
      </c>
      <c r="B169" s="174">
        <v>44308.479166666664</v>
      </c>
      <c r="C169" s="23"/>
      <c r="D169" s="23"/>
      <c r="E169" s="35" t="s">
        <v>227</v>
      </c>
      <c r="F169" s="25" t="s">
        <v>328</v>
      </c>
      <c r="G169" s="433">
        <v>45019</v>
      </c>
      <c r="H169" s="433"/>
      <c r="I169" s="433">
        <v>60500</v>
      </c>
      <c r="J169" s="26">
        <f t="shared" si="121"/>
        <v>-15481</v>
      </c>
      <c r="K169" s="27">
        <f t="shared" si="122"/>
        <v>3.0555555555547471</v>
      </c>
      <c r="L169" s="27">
        <f>'[48]MINERAL BRUGGE'!$F$102</f>
        <v>1.4288194444452529</v>
      </c>
      <c r="M169" s="434">
        <f t="shared" si="123"/>
        <v>14733.490909094808</v>
      </c>
      <c r="N169" s="434">
        <f t="shared" si="124"/>
        <v>31507.829890626159</v>
      </c>
      <c r="O169" s="434">
        <v>30000</v>
      </c>
      <c r="P169" s="69">
        <f>(124573/10000)*8.7</f>
        <v>108.37850999999999</v>
      </c>
      <c r="Q169" s="69">
        <f>(112195/10000)*8.7</f>
        <v>97.609649999999988</v>
      </c>
      <c r="R169" s="69">
        <f t="shared" si="125"/>
        <v>10.768860000000004</v>
      </c>
      <c r="S169" s="435">
        <f t="shared" si="126"/>
        <v>0.27495057642328807</v>
      </c>
      <c r="T169" s="435">
        <f t="shared" si="127"/>
        <v>0.28142000175089482</v>
      </c>
      <c r="U169" s="435"/>
      <c r="V169" s="436"/>
      <c r="W169" s="437"/>
      <c r="X169" s="637">
        <v>14154.117</v>
      </c>
      <c r="Y169" s="33">
        <f t="shared" si="128"/>
        <v>43945.116774000002</v>
      </c>
      <c r="Z169" s="638">
        <f t="shared" si="129"/>
        <v>637204193.22300005</v>
      </c>
      <c r="AA169" s="33"/>
      <c r="AB169" s="438"/>
      <c r="AC169" s="33"/>
    </row>
    <row r="170" spans="1:29" x14ac:dyDescent="0.3">
      <c r="A170" s="174">
        <v>44308.791666666664</v>
      </c>
      <c r="B170" s="174">
        <v>44312.1875</v>
      </c>
      <c r="C170" s="23"/>
      <c r="D170" s="23"/>
      <c r="E170" s="35" t="s">
        <v>757</v>
      </c>
      <c r="F170" s="25" t="s">
        <v>328</v>
      </c>
      <c r="G170" s="433">
        <v>76500</v>
      </c>
      <c r="H170" s="433"/>
      <c r="I170" s="433">
        <v>76500</v>
      </c>
      <c r="J170" s="26">
        <f t="shared" si="121"/>
        <v>0</v>
      </c>
      <c r="K170" s="27">
        <f t="shared" si="122"/>
        <v>3.3958333333357587</v>
      </c>
      <c r="L170" s="27">
        <f>'[48]ZAMPA BLUE'!$F$104</f>
        <v>2.4513888888977817</v>
      </c>
      <c r="M170" s="434">
        <f t="shared" si="123"/>
        <v>22527.607361947103</v>
      </c>
      <c r="N170" s="434">
        <f t="shared" si="124"/>
        <v>31206.798866742316</v>
      </c>
      <c r="O170" s="434">
        <v>30000</v>
      </c>
      <c r="P170" s="69">
        <f>(111823/10000)*8.7</f>
        <v>97.28600999999999</v>
      </c>
      <c r="Q170" s="69">
        <f>(96859/10000)*8.7</f>
        <v>84.267330000000001</v>
      </c>
      <c r="R170" s="69">
        <f t="shared" si="125"/>
        <v>13.018679999999989</v>
      </c>
      <c r="S170" s="435">
        <f t="shared" si="126"/>
        <v>0.19560784313725477</v>
      </c>
      <c r="T170" s="435">
        <f t="shared" si="127"/>
        <v>0.20021038062283719</v>
      </c>
      <c r="U170" s="435"/>
      <c r="V170" s="436"/>
      <c r="W170" s="437"/>
      <c r="X170" s="637">
        <v>14082.897999999999</v>
      </c>
      <c r="Y170" s="33">
        <f t="shared" si="128"/>
        <v>74299.427379310349</v>
      </c>
      <c r="Z170" s="638">
        <f t="shared" si="129"/>
        <v>1077341697</v>
      </c>
      <c r="AA170" s="33"/>
      <c r="AB170" s="438"/>
      <c r="AC170" s="33"/>
    </row>
    <row r="171" spans="1:29" x14ac:dyDescent="0.3">
      <c r="A171" s="174">
        <v>44312.517361111109</v>
      </c>
      <c r="B171" s="174">
        <v>44313.184027777781</v>
      </c>
      <c r="C171" s="23"/>
      <c r="D171" s="23"/>
      <c r="E171" s="35" t="s">
        <v>495</v>
      </c>
      <c r="F171" s="25" t="s">
        <v>328</v>
      </c>
      <c r="G171" s="433">
        <v>26502</v>
      </c>
      <c r="H171" s="433"/>
      <c r="I171" s="433">
        <v>68000</v>
      </c>
      <c r="J171" s="26">
        <f t="shared" si="121"/>
        <v>-41498</v>
      </c>
      <c r="K171" s="27">
        <f>B171-A171</f>
        <v>0.66666666667151731</v>
      </c>
      <c r="L171" s="27">
        <f>'[48]ARIMBI BARUNA'!$F$48</f>
        <v>0.49826388889778173</v>
      </c>
      <c r="M171" s="434">
        <f>(G171)/K171</f>
        <v>39752.999999710759</v>
      </c>
      <c r="N171" s="434">
        <f t="shared" si="124"/>
        <v>53188.682925879977</v>
      </c>
      <c r="O171" s="434">
        <v>30000</v>
      </c>
      <c r="P171" s="69">
        <f>(94193/10000)*8.7</f>
        <v>81.947909999999993</v>
      </c>
      <c r="Q171" s="69">
        <f>(89793/10000)*8.7</f>
        <v>78.11990999999999</v>
      </c>
      <c r="R171" s="69">
        <f t="shared" si="125"/>
        <v>3.828000000000003</v>
      </c>
      <c r="S171" s="435">
        <f t="shared" si="126"/>
        <v>0.16602520564485712</v>
      </c>
      <c r="T171" s="435">
        <f t="shared" si="127"/>
        <v>0.16993168107179496</v>
      </c>
      <c r="U171" s="435"/>
      <c r="V171" s="436"/>
      <c r="W171" s="437"/>
      <c r="X171" s="637">
        <v>14096.779</v>
      </c>
      <c r="Y171" s="33">
        <f t="shared" si="128"/>
        <v>25765.023245379311</v>
      </c>
      <c r="Z171" s="638">
        <f t="shared" si="129"/>
        <v>373592837.05800003</v>
      </c>
      <c r="AA171" s="33"/>
      <c r="AB171" s="438"/>
      <c r="AC171" s="33"/>
    </row>
    <row r="172" spans="1:29" x14ac:dyDescent="0.3">
      <c r="A172" s="174">
        <v>44313.5625</v>
      </c>
      <c r="B172" s="174">
        <v>44316.899305555555</v>
      </c>
      <c r="C172" s="23"/>
      <c r="D172" s="23"/>
      <c r="E172" s="35" t="s">
        <v>758</v>
      </c>
      <c r="F172" s="25" t="s">
        <v>328</v>
      </c>
      <c r="G172" s="433">
        <v>68512</v>
      </c>
      <c r="H172" s="433"/>
      <c r="I172" s="433">
        <v>68512</v>
      </c>
      <c r="J172" s="26">
        <f t="shared" si="121"/>
        <v>0</v>
      </c>
      <c r="K172" s="27">
        <f t="shared" ref="K172" si="130">B172-A172</f>
        <v>3.3368055555547471</v>
      </c>
      <c r="L172" s="27">
        <f>'[48]GUANG YUAN'!$F$136</f>
        <v>1.5017361111119196</v>
      </c>
      <c r="M172" s="434">
        <f t="shared" ref="M172" si="131">(G172)/K172</f>
        <v>20532.212278881147</v>
      </c>
      <c r="N172" s="434">
        <f t="shared" si="124"/>
        <v>45621.863583790466</v>
      </c>
      <c r="O172" s="434">
        <v>30000</v>
      </c>
      <c r="P172" s="69">
        <f>(88799/10000)*8.7</f>
        <v>77.255129999999994</v>
      </c>
      <c r="Q172" s="69">
        <f>(74207/10000)*8.7</f>
        <v>64.560090000000002</v>
      </c>
      <c r="R172" s="69">
        <f t="shared" si="125"/>
        <v>12.695039999999992</v>
      </c>
      <c r="S172" s="435">
        <f t="shared" si="126"/>
        <v>0.21298458664175607</v>
      </c>
      <c r="T172" s="435">
        <f t="shared" si="127"/>
        <v>0.21799598868038558</v>
      </c>
      <c r="U172" s="435"/>
      <c r="V172" s="436"/>
      <c r="W172" s="437"/>
      <c r="X172" s="637">
        <v>14046.498</v>
      </c>
      <c r="Y172" s="33">
        <f t="shared" si="128"/>
        <v>66369.218687999994</v>
      </c>
      <c r="Z172" s="638">
        <f t="shared" si="129"/>
        <v>962353670.97599995</v>
      </c>
      <c r="AA172" s="33"/>
      <c r="AB172" s="438"/>
      <c r="AC172" s="33"/>
    </row>
    <row r="173" spans="1:29" x14ac:dyDescent="0.3">
      <c r="A173" s="174">
        <v>44317.989583333336</v>
      </c>
      <c r="B173" s="174">
        <v>44321.4375</v>
      </c>
      <c r="C173" s="23"/>
      <c r="D173" s="14"/>
      <c r="E173" s="35" t="s">
        <v>759</v>
      </c>
      <c r="F173" s="25" t="s">
        <v>328</v>
      </c>
      <c r="G173" s="433">
        <v>68115</v>
      </c>
      <c r="H173" s="433"/>
      <c r="I173" s="433">
        <v>75000</v>
      </c>
      <c r="J173" s="26">
        <f t="shared" ref="J173" si="132">G173-I173</f>
        <v>-6885</v>
      </c>
      <c r="K173" s="27">
        <f t="shared" ref="K173:K178" si="133">B173-A173</f>
        <v>3.4479166666642413</v>
      </c>
      <c r="L173" s="27">
        <f>[49]MAY!$F$165</f>
        <v>1.6840277777943509</v>
      </c>
      <c r="M173" s="434">
        <f t="shared" ref="M173:M178" si="134">(G173)/K173</f>
        <v>19755.40785499879</v>
      </c>
      <c r="N173" s="434">
        <f t="shared" ref="N173:N178" si="135">(G173)/L173</f>
        <v>40447.670102694727</v>
      </c>
      <c r="O173" s="434">
        <v>30000</v>
      </c>
      <c r="P173" s="69">
        <f>(270089/10000)*8.7</f>
        <v>234.97743</v>
      </c>
      <c r="Q173" s="69">
        <f>(251965/10000)*8.7</f>
        <v>219.20954999999998</v>
      </c>
      <c r="R173" s="69">
        <f t="shared" ref="R173:R178" si="136">P173-Q173</f>
        <v>15.767880000000019</v>
      </c>
      <c r="S173" s="435">
        <f t="shared" ref="S173:S178" si="137">R173/8.7*10000/(G173)</f>
        <v>0.26607942450267968</v>
      </c>
      <c r="T173" s="435">
        <f t="shared" ref="T173:T178" si="138">R173/8.5*10000/(G173)</f>
        <v>0.27234011684391912</v>
      </c>
      <c r="U173" s="435"/>
      <c r="V173" s="436"/>
      <c r="W173" s="437"/>
      <c r="X173" s="637">
        <v>14064.642</v>
      </c>
      <c r="Y173" s="33">
        <f t="shared" ref="Y173:Y178" si="139">Z173/14500</f>
        <v>66069.868264137927</v>
      </c>
      <c r="Z173" s="638">
        <f t="shared" ref="Z173:Z178" si="140">X173*G173</f>
        <v>958013089.83000004</v>
      </c>
      <c r="AA173" s="33"/>
      <c r="AB173" s="438"/>
      <c r="AC173" s="33"/>
    </row>
    <row r="174" spans="1:29" x14ac:dyDescent="0.3">
      <c r="A174" s="174">
        <v>44324.791666666664</v>
      </c>
      <c r="B174" s="174">
        <v>44328.3125</v>
      </c>
      <c r="C174" s="23"/>
      <c r="D174" s="14"/>
      <c r="E174" s="35" t="s">
        <v>760</v>
      </c>
      <c r="F174" s="25" t="s">
        <v>328</v>
      </c>
      <c r="G174" s="433">
        <v>54350</v>
      </c>
      <c r="H174" s="433"/>
      <c r="I174" s="433">
        <v>54350</v>
      </c>
      <c r="J174" s="26">
        <f>G174-I174</f>
        <v>0</v>
      </c>
      <c r="K174" s="27">
        <f t="shared" si="133"/>
        <v>3.5208333333357587</v>
      </c>
      <c r="L174" s="27">
        <f>[49]MIYAMA!$F$95</f>
        <v>1.1562500000024254</v>
      </c>
      <c r="M174" s="434">
        <f t="shared" si="134"/>
        <v>15436.686390521911</v>
      </c>
      <c r="N174" s="434">
        <f t="shared" si="135"/>
        <v>47005.405405306803</v>
      </c>
      <c r="O174" s="434">
        <v>30000</v>
      </c>
      <c r="P174" s="69">
        <f>(245287/10000)*8.7</f>
        <v>213.39968999999999</v>
      </c>
      <c r="Q174" s="69">
        <f>(232121/10000)*8.7</f>
        <v>201.94526999999997</v>
      </c>
      <c r="R174" s="69">
        <f t="shared" si="136"/>
        <v>11.454420000000027</v>
      </c>
      <c r="S174" s="435">
        <f t="shared" si="137"/>
        <v>0.24224471021159213</v>
      </c>
      <c r="T174" s="435">
        <f t="shared" si="138"/>
        <v>0.24794458574598252</v>
      </c>
      <c r="U174" s="435"/>
      <c r="V174" s="436"/>
      <c r="W174" s="437"/>
      <c r="X174" s="637">
        <v>13651.522999999999</v>
      </c>
      <c r="Y174" s="33">
        <f t="shared" si="139"/>
        <v>51169.674141379306</v>
      </c>
      <c r="Z174" s="638">
        <f t="shared" si="140"/>
        <v>741960275.04999995</v>
      </c>
      <c r="AA174" s="33"/>
      <c r="AB174" s="438"/>
      <c r="AC174" s="33"/>
    </row>
    <row r="175" spans="1:29" x14ac:dyDescent="0.3">
      <c r="A175" s="174">
        <v>44331.652777777781</v>
      </c>
      <c r="B175" s="174">
        <v>44334.083333333336</v>
      </c>
      <c r="C175" s="23"/>
      <c r="D175" s="14"/>
      <c r="E175" s="35" t="s">
        <v>761</v>
      </c>
      <c r="F175" s="25" t="s">
        <v>328</v>
      </c>
      <c r="G175" s="433">
        <v>75000</v>
      </c>
      <c r="H175" s="433"/>
      <c r="I175" s="433">
        <v>75000</v>
      </c>
      <c r="J175" s="26">
        <f>G175-I175</f>
        <v>0</v>
      </c>
      <c r="K175" s="27">
        <f t="shared" si="133"/>
        <v>2.4305555555547471</v>
      </c>
      <c r="L175" s="27">
        <f>[49]SILVERMINE!$F$122</f>
        <v>1.4288194444476783</v>
      </c>
      <c r="M175" s="434">
        <f t="shared" si="134"/>
        <v>30857.142857153121</v>
      </c>
      <c r="N175" s="434">
        <f t="shared" si="135"/>
        <v>52490.88699866613</v>
      </c>
      <c r="O175" s="434">
        <v>30000</v>
      </c>
      <c r="P175" s="69">
        <f>(226939/10000)*8.7</f>
        <v>197.43692999999999</v>
      </c>
      <c r="Q175" s="69">
        <f>(214182/10000)*8.7</f>
        <v>186.33833999999999</v>
      </c>
      <c r="R175" s="69">
        <f t="shared" si="136"/>
        <v>11.098590000000002</v>
      </c>
      <c r="S175" s="435">
        <f t="shared" si="137"/>
        <v>0.17009333333333337</v>
      </c>
      <c r="T175" s="435">
        <f t="shared" si="138"/>
        <v>0.1740955294117647</v>
      </c>
      <c r="U175" s="435"/>
      <c r="V175" s="436"/>
      <c r="W175" s="437"/>
      <c r="X175" s="637">
        <v>13871.07</v>
      </c>
      <c r="Y175" s="33">
        <f t="shared" si="139"/>
        <v>71746.913793103449</v>
      </c>
      <c r="Z175" s="638">
        <f t="shared" si="140"/>
        <v>1040330250</v>
      </c>
      <c r="AA175" s="33"/>
      <c r="AB175" s="438"/>
      <c r="AC175" s="33"/>
    </row>
    <row r="176" spans="1:29" x14ac:dyDescent="0.3">
      <c r="A176" s="174">
        <v>44335.916666666664</v>
      </c>
      <c r="B176" s="174">
        <v>44338.534722222219</v>
      </c>
      <c r="C176" s="23"/>
      <c r="D176" s="14"/>
      <c r="E176" s="35" t="s">
        <v>762</v>
      </c>
      <c r="F176" s="25" t="s">
        <v>328</v>
      </c>
      <c r="G176" s="433">
        <v>60500</v>
      </c>
      <c r="H176" s="433"/>
      <c r="I176" s="433">
        <v>60500</v>
      </c>
      <c r="J176" s="26">
        <f>G176-I176</f>
        <v>0</v>
      </c>
      <c r="K176" s="27">
        <f t="shared" si="133"/>
        <v>2.6180555555547471</v>
      </c>
      <c r="L176" s="27">
        <f>'[50]NEW HONOR'!$F$92</f>
        <v>1.2256944444476783</v>
      </c>
      <c r="M176" s="434">
        <f t="shared" si="134"/>
        <v>23108.753315657003</v>
      </c>
      <c r="N176" s="434">
        <f t="shared" si="135"/>
        <v>49359.773370974588</v>
      </c>
      <c r="O176" s="434">
        <v>30000</v>
      </c>
      <c r="P176" s="69">
        <f>(209977/10000)*8.7</f>
        <v>182.67998999999998</v>
      </c>
      <c r="Q176" s="69">
        <f>(199069/10000)*8.7</f>
        <v>173.19002999999998</v>
      </c>
      <c r="R176" s="69">
        <f t="shared" si="136"/>
        <v>9.4899599999999964</v>
      </c>
      <c r="S176" s="435">
        <f t="shared" si="137"/>
        <v>0.18029752066115701</v>
      </c>
      <c r="T176" s="435">
        <f t="shared" si="138"/>
        <v>0.18453981526494889</v>
      </c>
      <c r="U176" s="435"/>
      <c r="V176" s="436"/>
      <c r="W176" s="437"/>
      <c r="X176" s="637">
        <v>13999.805</v>
      </c>
      <c r="Y176" s="33">
        <f t="shared" si="139"/>
        <v>58412.979482758623</v>
      </c>
      <c r="Z176" s="638">
        <f t="shared" si="140"/>
        <v>846988202.5</v>
      </c>
      <c r="AA176" s="33"/>
      <c r="AB176" s="438"/>
      <c r="AC176" s="33"/>
    </row>
    <row r="177" spans="1:29" x14ac:dyDescent="0.3">
      <c r="A177" s="174">
        <v>44338.739583333336</v>
      </c>
      <c r="B177" s="174">
        <v>44344.052083333336</v>
      </c>
      <c r="C177" s="23"/>
      <c r="D177" s="14"/>
      <c r="E177" s="35" t="s">
        <v>763</v>
      </c>
      <c r="F177" s="25" t="s">
        <v>328</v>
      </c>
      <c r="G177" s="433">
        <v>79550</v>
      </c>
      <c r="H177" s="433"/>
      <c r="I177" s="433">
        <v>79550</v>
      </c>
      <c r="J177" s="26">
        <f>G177-I177</f>
        <v>0</v>
      </c>
      <c r="K177" s="27">
        <f t="shared" si="133"/>
        <v>5.3125</v>
      </c>
      <c r="L177" s="27">
        <f>'[50]W-ARCTURUS'!$F$125</f>
        <v>1.6232638888892932</v>
      </c>
      <c r="M177" s="434">
        <f t="shared" si="134"/>
        <v>14974.117647058823</v>
      </c>
      <c r="N177" s="434">
        <f t="shared" si="135"/>
        <v>49006.203208543942</v>
      </c>
      <c r="O177" s="434">
        <v>30000</v>
      </c>
      <c r="P177" s="69">
        <f>(198759/10000)*8.7</f>
        <v>172.92033000000001</v>
      </c>
      <c r="Q177" s="69">
        <f>(182262/10000)*8.7</f>
        <v>158.56793999999996</v>
      </c>
      <c r="R177" s="69">
        <f t="shared" si="136"/>
        <v>14.352390000000042</v>
      </c>
      <c r="S177" s="435">
        <f t="shared" si="137"/>
        <v>0.20737900691389127</v>
      </c>
      <c r="T177" s="435">
        <f t="shared" si="138"/>
        <v>0.21225851295892398</v>
      </c>
      <c r="U177" s="435"/>
      <c r="V177" s="436"/>
      <c r="W177" s="437"/>
      <c r="X177" s="639">
        <v>13891.623</v>
      </c>
      <c r="Y177" s="33">
        <f t="shared" si="139"/>
        <v>76212.31790689654</v>
      </c>
      <c r="Z177" s="638">
        <f t="shared" si="140"/>
        <v>1105078609.6499999</v>
      </c>
      <c r="AA177" s="33"/>
      <c r="AB177" s="438"/>
      <c r="AC177" s="33"/>
    </row>
    <row r="178" spans="1:29" x14ac:dyDescent="0.3">
      <c r="A178" s="174">
        <v>44344.583333333336</v>
      </c>
      <c r="B178" s="174">
        <v>44347.229166666664</v>
      </c>
      <c r="C178" s="23"/>
      <c r="D178" s="14"/>
      <c r="E178" s="35" t="s">
        <v>764</v>
      </c>
      <c r="F178" s="36" t="s">
        <v>328</v>
      </c>
      <c r="G178" s="433">
        <v>74644</v>
      </c>
      <c r="H178" s="433"/>
      <c r="I178" s="433">
        <v>74644</v>
      </c>
      <c r="J178" s="26">
        <f>G178-I178</f>
        <v>0</v>
      </c>
      <c r="K178" s="27">
        <f t="shared" si="133"/>
        <v>2.6458333333284827</v>
      </c>
      <c r="L178" s="27">
        <f>'[50]ATLANTIC B'!$F$110</f>
        <v>1.7118055555426206</v>
      </c>
      <c r="M178" s="434">
        <f t="shared" si="134"/>
        <v>28211.905511862744</v>
      </c>
      <c r="N178" s="434">
        <f t="shared" si="135"/>
        <v>43605.419878625646</v>
      </c>
      <c r="O178" s="434">
        <v>30000</v>
      </c>
      <c r="P178" s="69">
        <f>(176890/10000)*8.7</f>
        <v>153.89429999999999</v>
      </c>
      <c r="Q178" s="69">
        <f>(165759/10000)*8.7</f>
        <v>144.21033</v>
      </c>
      <c r="R178" s="69">
        <f t="shared" si="136"/>
        <v>9.683969999999988</v>
      </c>
      <c r="S178" s="435">
        <f t="shared" si="137"/>
        <v>0.14912116178125484</v>
      </c>
      <c r="T178" s="435">
        <f t="shared" si="138"/>
        <v>0.15262989499963731</v>
      </c>
      <c r="U178" s="435"/>
      <c r="V178" s="436"/>
      <c r="W178" s="437"/>
      <c r="X178" s="637">
        <v>13888.196</v>
      </c>
      <c r="Y178" s="33">
        <f t="shared" si="139"/>
        <v>71494.517394758615</v>
      </c>
      <c r="Z178" s="638">
        <f t="shared" si="140"/>
        <v>1036670502.224</v>
      </c>
      <c r="AA178" s="33"/>
      <c r="AB178" s="438"/>
      <c r="AC178" s="33"/>
    </row>
    <row r="179" spans="1:29" x14ac:dyDescent="0.3">
      <c r="A179" s="174">
        <v>44347.517361111109</v>
      </c>
      <c r="B179" s="174">
        <v>44349.052083333336</v>
      </c>
      <c r="C179" s="23"/>
      <c r="D179" s="14"/>
      <c r="E179" s="24" t="s">
        <v>765</v>
      </c>
      <c r="F179" s="36" t="s">
        <v>328</v>
      </c>
      <c r="G179" s="433">
        <v>32350</v>
      </c>
      <c r="H179" s="433"/>
      <c r="I179" s="433">
        <v>33000</v>
      </c>
      <c r="J179" s="26">
        <f t="shared" ref="J179:J185" si="141">G179-I179</f>
        <v>-650</v>
      </c>
      <c r="K179" s="27">
        <f t="shared" ref="K179:K185" si="142">B179-A179</f>
        <v>1.5347222222262644</v>
      </c>
      <c r="L179" s="27">
        <f>'[51]NEA ELPIS'!$F$75</f>
        <v>0.68402777777373558</v>
      </c>
      <c r="M179" s="434">
        <f t="shared" ref="M179:M185" si="143">(G179)/K179</f>
        <v>21078.733031618689</v>
      </c>
      <c r="N179" s="434">
        <f t="shared" ref="N179:N185" si="144">(G179)/L179</f>
        <v>47293.401015507901</v>
      </c>
      <c r="O179" s="434">
        <v>30000</v>
      </c>
      <c r="P179" s="69">
        <f>(163947/10000)*8.7</f>
        <v>142.63388999999998</v>
      </c>
      <c r="Q179" s="69">
        <f>(155975/10000)*8.7</f>
        <v>135.69825</v>
      </c>
      <c r="R179" s="69">
        <f t="shared" ref="R179:R185" si="145">P179-Q179</f>
        <v>6.935639999999978</v>
      </c>
      <c r="S179" s="435">
        <f t="shared" ref="S179:S185" si="146">R179/8.7*10000/(G179)</f>
        <v>0.24642967542503788</v>
      </c>
      <c r="T179" s="435">
        <f t="shared" ref="T179:T185" si="147">R179/8.5*10000/(G179)</f>
        <v>0.2522280207291564</v>
      </c>
      <c r="U179" s="435"/>
      <c r="V179" s="436"/>
      <c r="W179" s="32"/>
      <c r="X179" s="637">
        <v>13841.405000000001</v>
      </c>
      <c r="Y179" s="33">
        <f t="shared" ref="Y179:Y185" si="148">Z179/14500</f>
        <v>30880.651844827586</v>
      </c>
      <c r="Z179" s="638">
        <f t="shared" ref="Z179:Z185" si="149">X179*G179</f>
        <v>447769451.75</v>
      </c>
      <c r="AA179" s="33"/>
      <c r="AB179" s="438"/>
      <c r="AC179" s="33"/>
    </row>
    <row r="180" spans="1:29" x14ac:dyDescent="0.3">
      <c r="A180" s="174">
        <v>44350.114583333336</v>
      </c>
      <c r="B180" s="174">
        <v>44351.763888888891</v>
      </c>
      <c r="C180" s="23"/>
      <c r="D180" s="14"/>
      <c r="E180" s="35" t="s">
        <v>766</v>
      </c>
      <c r="F180" s="36" t="s">
        <v>328</v>
      </c>
      <c r="G180" s="433">
        <v>55945</v>
      </c>
      <c r="H180" s="433"/>
      <c r="I180" s="433">
        <v>55473</v>
      </c>
      <c r="J180" s="26">
        <f t="shared" si="141"/>
        <v>472</v>
      </c>
      <c r="K180" s="27">
        <f t="shared" si="142"/>
        <v>1.6493055555547471</v>
      </c>
      <c r="L180" s="27">
        <f>'[51]GUO MAY'!$F$81</f>
        <v>1.2291666666642413</v>
      </c>
      <c r="M180" s="434">
        <f t="shared" si="143"/>
        <v>33920.336842121891</v>
      </c>
      <c r="N180" s="434">
        <f t="shared" si="144"/>
        <v>45514.576271276244</v>
      </c>
      <c r="O180" s="434">
        <v>30000</v>
      </c>
      <c r="P180" s="69">
        <f>(153803/10000)*8.7</f>
        <v>133.80860999999999</v>
      </c>
      <c r="Q180" s="69">
        <f>(145657/10000)*8.7</f>
        <v>126.72158999999999</v>
      </c>
      <c r="R180" s="69">
        <f t="shared" si="145"/>
        <v>7.0870199999999954</v>
      </c>
      <c r="S180" s="435">
        <f t="shared" si="146"/>
        <v>0.14560729287693261</v>
      </c>
      <c r="T180" s="435">
        <f t="shared" si="147"/>
        <v>0.14903334682697808</v>
      </c>
      <c r="U180" s="435"/>
      <c r="V180" s="436"/>
      <c r="W180" s="32"/>
      <c r="X180" s="637">
        <v>13877.322</v>
      </c>
      <c r="Y180" s="33">
        <f t="shared" si="148"/>
        <v>53542.536502758616</v>
      </c>
      <c r="Z180" s="638">
        <f t="shared" si="149"/>
        <v>776366779.28999996</v>
      </c>
      <c r="AA180" s="33"/>
      <c r="AB180" s="438"/>
      <c r="AC180" s="33"/>
    </row>
    <row r="181" spans="1:29" x14ac:dyDescent="0.3">
      <c r="A181" s="174">
        <v>44351.996527777781</v>
      </c>
      <c r="B181" s="174">
        <v>44353.413194444445</v>
      </c>
      <c r="C181" s="23"/>
      <c r="D181" s="14"/>
      <c r="E181" s="35" t="s">
        <v>767</v>
      </c>
      <c r="F181" s="36" t="s">
        <v>328</v>
      </c>
      <c r="G181" s="433">
        <v>36000</v>
      </c>
      <c r="H181" s="433"/>
      <c r="I181" s="433">
        <v>36000</v>
      </c>
      <c r="J181" s="26">
        <f t="shared" si="141"/>
        <v>0</v>
      </c>
      <c r="K181" s="27">
        <f t="shared" si="142"/>
        <v>1.4166666666642413</v>
      </c>
      <c r="L181" s="27">
        <f>'[51]SHUN FU XING'!$F$79</f>
        <v>0.77430555555110914</v>
      </c>
      <c r="M181" s="434">
        <f t="shared" si="143"/>
        <v>25411.764705925856</v>
      </c>
      <c r="N181" s="434">
        <f t="shared" si="144"/>
        <v>46493.273542867886</v>
      </c>
      <c r="O181" s="434">
        <v>30000</v>
      </c>
      <c r="P181" s="69">
        <f>(144311/10000)*8.7</f>
        <v>125.55056999999999</v>
      </c>
      <c r="Q181" s="69">
        <f>(136863/10000)*8.7</f>
        <v>119.07080999999998</v>
      </c>
      <c r="R181" s="69">
        <f t="shared" si="145"/>
        <v>6.4797600000000131</v>
      </c>
      <c r="S181" s="435">
        <f t="shared" si="146"/>
        <v>0.20688888888888932</v>
      </c>
      <c r="T181" s="435">
        <f t="shared" si="147"/>
        <v>0.21175686274509847</v>
      </c>
      <c r="U181" s="435"/>
      <c r="V181" s="436"/>
      <c r="W181" s="32"/>
      <c r="X181" s="637">
        <v>13909.865</v>
      </c>
      <c r="Y181" s="33">
        <f t="shared" si="148"/>
        <v>34534.837241379311</v>
      </c>
      <c r="Z181" s="638">
        <f t="shared" si="149"/>
        <v>500755140</v>
      </c>
      <c r="AA181" s="33"/>
      <c r="AB181" s="438"/>
      <c r="AC181" s="33"/>
    </row>
    <row r="182" spans="1:29" x14ac:dyDescent="0.3">
      <c r="A182" s="174">
        <v>44354.861111111109</v>
      </c>
      <c r="B182" s="174">
        <v>44357.104166666664</v>
      </c>
      <c r="C182" s="23"/>
      <c r="D182" s="14"/>
      <c r="E182" s="35" t="s">
        <v>375</v>
      </c>
      <c r="F182" s="36" t="s">
        <v>328</v>
      </c>
      <c r="G182" s="433">
        <v>77000</v>
      </c>
      <c r="H182" s="433"/>
      <c r="I182" s="433">
        <v>77000</v>
      </c>
      <c r="J182" s="26">
        <f t="shared" si="141"/>
        <v>0</v>
      </c>
      <c r="K182" s="27">
        <f t="shared" si="142"/>
        <v>2.2430555555547471</v>
      </c>
      <c r="L182" s="27">
        <f>'[51]PAN MUTIARA'!$F$130</f>
        <v>1.5520833333345461</v>
      </c>
      <c r="M182" s="434">
        <f t="shared" si="143"/>
        <v>34328.173374625374</v>
      </c>
      <c r="N182" s="434">
        <f t="shared" si="144"/>
        <v>49610.738254994794</v>
      </c>
      <c r="O182" s="434">
        <v>30000</v>
      </c>
      <c r="P182" s="69">
        <f>(133565/10000)*8.7</f>
        <v>116.20155</v>
      </c>
      <c r="Q182" s="69">
        <f>(121391/10000)*8.7</f>
        <v>105.61016999999998</v>
      </c>
      <c r="R182" s="69">
        <f t="shared" si="145"/>
        <v>10.591380000000015</v>
      </c>
      <c r="S182" s="435">
        <f t="shared" si="146"/>
        <v>0.15810389610389633</v>
      </c>
      <c r="T182" s="435">
        <f t="shared" si="147"/>
        <v>0.16182398777692919</v>
      </c>
      <c r="U182" s="435"/>
      <c r="V182" s="436"/>
      <c r="W182" s="32"/>
      <c r="X182" s="639">
        <v>13779.955</v>
      </c>
      <c r="Y182" s="33">
        <f t="shared" si="148"/>
        <v>73176.312758620683</v>
      </c>
      <c r="Z182" s="638">
        <f t="shared" si="149"/>
        <v>1061056535</v>
      </c>
      <c r="AA182" s="33"/>
      <c r="AB182" s="438"/>
      <c r="AC182" s="33"/>
    </row>
    <row r="183" spans="1:29" x14ac:dyDescent="0.3">
      <c r="A183" s="174">
        <v>44360.590277777781</v>
      </c>
      <c r="B183" s="174">
        <v>44363.486111111109</v>
      </c>
      <c r="C183" s="23"/>
      <c r="D183" s="14"/>
      <c r="E183" s="35" t="s">
        <v>768</v>
      </c>
      <c r="F183" s="36" t="s">
        <v>328</v>
      </c>
      <c r="G183" s="433">
        <v>68500</v>
      </c>
      <c r="H183" s="433"/>
      <c r="I183" s="433">
        <v>68500</v>
      </c>
      <c r="J183" s="26">
        <f t="shared" si="141"/>
        <v>0</v>
      </c>
      <c r="K183" s="27">
        <f t="shared" si="142"/>
        <v>2.8958333333284827</v>
      </c>
      <c r="L183" s="27">
        <f>'[51]OCEAN ROAD'!$F$120</f>
        <v>1.3732638888856552</v>
      </c>
      <c r="M183" s="434">
        <f t="shared" si="143"/>
        <v>23654.676259032429</v>
      </c>
      <c r="N183" s="434">
        <f t="shared" si="144"/>
        <v>49881.163084820364</v>
      </c>
      <c r="O183" s="434">
        <v>30000</v>
      </c>
      <c r="P183" s="69">
        <f>(114214/10000)*8.7</f>
        <v>99.36618</v>
      </c>
      <c r="Q183" s="69">
        <f>(102325/10000)*8.7</f>
        <v>89.022749999999988</v>
      </c>
      <c r="R183" s="69">
        <f t="shared" si="145"/>
        <v>10.343430000000012</v>
      </c>
      <c r="S183" s="435">
        <f t="shared" si="146"/>
        <v>0.17356204379562065</v>
      </c>
      <c r="T183" s="435">
        <f t="shared" si="147"/>
        <v>0.17764585659081172</v>
      </c>
      <c r="U183" s="435"/>
      <c r="V183" s="436"/>
      <c r="W183" s="32"/>
      <c r="X183" s="637">
        <v>13865.89</v>
      </c>
      <c r="Y183" s="33">
        <f t="shared" si="148"/>
        <v>65504.376896551723</v>
      </c>
      <c r="Z183" s="638">
        <f t="shared" si="149"/>
        <v>949813465</v>
      </c>
      <c r="AA183" s="33"/>
      <c r="AB183" s="438"/>
      <c r="AC183" s="33"/>
    </row>
    <row r="184" spans="1:29" x14ac:dyDescent="0.3">
      <c r="A184" s="174">
        <v>44365.833333333336</v>
      </c>
      <c r="B184" s="174">
        <v>44368.375</v>
      </c>
      <c r="C184" s="23"/>
      <c r="D184" s="14"/>
      <c r="E184" s="35" t="s">
        <v>769</v>
      </c>
      <c r="F184" s="36" t="s">
        <v>328</v>
      </c>
      <c r="G184" s="433">
        <v>33991</v>
      </c>
      <c r="H184" s="433"/>
      <c r="I184" s="433">
        <v>33991</v>
      </c>
      <c r="J184" s="26">
        <f t="shared" si="141"/>
        <v>0</v>
      </c>
      <c r="K184" s="27">
        <f t="shared" si="142"/>
        <v>2.5416666666642413</v>
      </c>
      <c r="L184" s="27">
        <f>'[51]TW HAMBURG'!$F$76</f>
        <v>0.74652777777737356</v>
      </c>
      <c r="M184" s="434">
        <f t="shared" si="143"/>
        <v>13373.508196734072</v>
      </c>
      <c r="N184" s="434">
        <f t="shared" si="144"/>
        <v>45532.130232582793</v>
      </c>
      <c r="O184" s="434">
        <v>30000</v>
      </c>
      <c r="P184" s="69">
        <f>(97912/10000)*8.7</f>
        <v>85.18343999999999</v>
      </c>
      <c r="Q184" s="69">
        <f>(89949/10000)*8.7</f>
        <v>78.255629999999982</v>
      </c>
      <c r="R184" s="69">
        <f t="shared" si="145"/>
        <v>6.927810000000008</v>
      </c>
      <c r="S184" s="435">
        <f t="shared" si="146"/>
        <v>0.23426789444264687</v>
      </c>
      <c r="T184" s="435">
        <f t="shared" si="147"/>
        <v>0.23978008019423855</v>
      </c>
      <c r="U184" s="435"/>
      <c r="V184" s="436"/>
      <c r="W184" s="32"/>
      <c r="X184" s="637">
        <v>14202.727000000001</v>
      </c>
      <c r="Y184" s="33">
        <f t="shared" si="148"/>
        <v>33294.130583241378</v>
      </c>
      <c r="Z184" s="638">
        <f t="shared" si="149"/>
        <v>482764893.45700002</v>
      </c>
      <c r="AA184" s="33"/>
      <c r="AB184" s="438"/>
      <c r="AC184" s="33"/>
    </row>
    <row r="185" spans="1:29" x14ac:dyDescent="0.3">
      <c r="A185" s="174">
        <v>44372.788194444445</v>
      </c>
      <c r="B185" s="174">
        <v>44374.802083333336</v>
      </c>
      <c r="C185" s="23"/>
      <c r="D185" s="14"/>
      <c r="E185" s="35" t="s">
        <v>770</v>
      </c>
      <c r="F185" s="36" t="s">
        <v>328</v>
      </c>
      <c r="G185" s="433">
        <v>55200</v>
      </c>
      <c r="H185" s="433"/>
      <c r="I185" s="433">
        <v>55200</v>
      </c>
      <c r="J185" s="26">
        <f t="shared" si="141"/>
        <v>0</v>
      </c>
      <c r="K185" s="27">
        <f t="shared" si="142"/>
        <v>2.0138888888905058</v>
      </c>
      <c r="L185" s="27">
        <f>[51]PRISCILLA!$F$101</f>
        <v>1.1631944444404023</v>
      </c>
      <c r="M185" s="434">
        <f t="shared" si="143"/>
        <v>27409.655172391787</v>
      </c>
      <c r="N185" s="434">
        <f t="shared" si="144"/>
        <v>47455.522388224614</v>
      </c>
      <c r="O185" s="434">
        <v>30000</v>
      </c>
      <c r="P185" s="69">
        <f>(231073/10000)*8.7</f>
        <v>201.03350999999998</v>
      </c>
      <c r="Q185" s="69">
        <f>(222073/10000)*8.7</f>
        <v>193.20350999999999</v>
      </c>
      <c r="R185" s="69">
        <f t="shared" si="145"/>
        <v>7.8299999999999841</v>
      </c>
      <c r="S185" s="435">
        <f t="shared" si="146"/>
        <v>0.16304347826086923</v>
      </c>
      <c r="T185" s="435">
        <f t="shared" si="147"/>
        <v>0.16687979539641909</v>
      </c>
      <c r="U185" s="435"/>
      <c r="V185" s="436"/>
      <c r="W185" s="32"/>
      <c r="X185" s="637">
        <v>14192.348</v>
      </c>
      <c r="Y185" s="33">
        <f t="shared" si="148"/>
        <v>54028.80066206897</v>
      </c>
      <c r="Z185" s="638">
        <f t="shared" si="149"/>
        <v>783417609.60000002</v>
      </c>
      <c r="AA185" s="33"/>
      <c r="AB185" s="438"/>
      <c r="AC185" s="33"/>
    </row>
    <row r="186" spans="1:29" x14ac:dyDescent="0.3">
      <c r="A186" s="174">
        <v>44380.083333333336</v>
      </c>
      <c r="B186" s="174">
        <v>44381.09375</v>
      </c>
      <c r="C186" s="23"/>
      <c r="D186" s="14"/>
      <c r="E186" s="35" t="s">
        <v>771</v>
      </c>
      <c r="F186" s="25" t="s">
        <v>328</v>
      </c>
      <c r="G186" s="433">
        <v>27781</v>
      </c>
      <c r="H186" s="433"/>
      <c r="I186" s="433">
        <v>71900</v>
      </c>
      <c r="J186" s="26">
        <f t="shared" ref="J186:J188" si="150">G186-I186</f>
        <v>-44119</v>
      </c>
      <c r="K186" s="27">
        <f t="shared" ref="K186:K193" si="151">B186-A186</f>
        <v>1.0104166666642413</v>
      </c>
      <c r="L186" s="27">
        <f>'[52]GENEVA QUEEN'!$F$60</f>
        <v>0.49999999998181011</v>
      </c>
      <c r="M186" s="434">
        <f t="shared" ref="M186:M187" si="152">(G186)/K186</f>
        <v>27494.597938210325</v>
      </c>
      <c r="N186" s="434">
        <f t="shared" ref="N186:N187" si="153">(G186)/L186</f>
        <v>55562.000002021334</v>
      </c>
      <c r="O186" s="434">
        <v>30000</v>
      </c>
      <c r="P186" s="69">
        <f>(212433/10000)*8.7</f>
        <v>184.81671</v>
      </c>
      <c r="Q186" s="69">
        <f>(207521/10000)*8.7</f>
        <v>180.54326999999998</v>
      </c>
      <c r="R186" s="69">
        <f t="shared" ref="R186:R193" si="154">P186-Q186</f>
        <v>4.2734400000000221</v>
      </c>
      <c r="S186" s="435">
        <f t="shared" ref="S186" si="155">R186/8.7*10000/(G186)</f>
        <v>0.17681148986717632</v>
      </c>
      <c r="T186" s="435">
        <f t="shared" ref="T186" si="156">R186/8.5*10000/(G186)</f>
        <v>0.18097176021699224</v>
      </c>
      <c r="U186" s="435"/>
      <c r="V186" s="436"/>
      <c r="W186" s="437"/>
      <c r="X186" s="637">
        <v>14463.851000000001</v>
      </c>
      <c r="Y186" s="33">
        <f t="shared" ref="Y186:Y193" si="157">Z186/14500</f>
        <v>27711.741009034486</v>
      </c>
      <c r="Z186" s="638">
        <f t="shared" ref="Z186:Z193" si="158">X186*G186</f>
        <v>401820244.63100004</v>
      </c>
      <c r="AA186" s="33"/>
      <c r="AB186" s="438"/>
      <c r="AC186" s="33"/>
    </row>
    <row r="187" spans="1:29" x14ac:dyDescent="0.3">
      <c r="A187" s="174">
        <v>44381.916666666664</v>
      </c>
      <c r="B187" s="174">
        <v>44385.770833333336</v>
      </c>
      <c r="C187" s="23"/>
      <c r="D187" s="14"/>
      <c r="E187" s="35" t="s">
        <v>772</v>
      </c>
      <c r="F187" s="25" t="s">
        <v>328</v>
      </c>
      <c r="G187" s="433">
        <v>75230</v>
      </c>
      <c r="H187" s="433"/>
      <c r="I187" s="433">
        <v>75700</v>
      </c>
      <c r="J187" s="26">
        <f t="shared" si="150"/>
        <v>-470</v>
      </c>
      <c r="K187" s="27">
        <f t="shared" si="151"/>
        <v>3.8541666666715173</v>
      </c>
      <c r="L187" s="27">
        <f>'[52]CHAILEASE BLOSSOM'!$F$122</f>
        <v>1.5451388888820172</v>
      </c>
      <c r="M187" s="434">
        <f t="shared" si="152"/>
        <v>19519.13513511057</v>
      </c>
      <c r="N187" s="434">
        <f t="shared" si="153"/>
        <v>48688.179775497432</v>
      </c>
      <c r="O187" s="434">
        <v>30000</v>
      </c>
      <c r="P187" s="69">
        <f>(206397/10000)*8.7</f>
        <v>179.56539000000001</v>
      </c>
      <c r="Q187" s="69">
        <f>(195327/10000)*8.7</f>
        <v>169.93448999999998</v>
      </c>
      <c r="R187" s="69">
        <v>13.264890000000037</v>
      </c>
      <c r="S187" s="435">
        <f>SUM(R187)/8.7*10000/(G187)</f>
        <v>0.20267180646018934</v>
      </c>
      <c r="T187" s="435">
        <f>SUM(R187)/8.5*10000/(G187)</f>
        <v>0.20744055484748788</v>
      </c>
      <c r="U187" s="435"/>
      <c r="V187" s="436"/>
      <c r="W187" s="437"/>
      <c r="X187" s="637">
        <v>14435.968999999999</v>
      </c>
      <c r="Y187" s="33">
        <f t="shared" si="157"/>
        <v>74897.789508275848</v>
      </c>
      <c r="Z187" s="638">
        <f t="shared" si="158"/>
        <v>1086017947.8699999</v>
      </c>
      <c r="AA187" s="33"/>
      <c r="AB187" s="438"/>
      <c r="AC187" s="33"/>
    </row>
    <row r="188" spans="1:29" x14ac:dyDescent="0.3">
      <c r="A188" s="174">
        <v>44384.440972222219</v>
      </c>
      <c r="B188" s="174">
        <v>44387.246527777781</v>
      </c>
      <c r="C188" s="23"/>
      <c r="D188" s="14"/>
      <c r="E188" s="35" t="s">
        <v>294</v>
      </c>
      <c r="F188" s="25" t="s">
        <v>328</v>
      </c>
      <c r="G188" s="433">
        <v>68000</v>
      </c>
      <c r="H188" s="433"/>
      <c r="I188" s="433">
        <v>68000</v>
      </c>
      <c r="J188" s="26">
        <f t="shared" si="150"/>
        <v>0</v>
      </c>
      <c r="K188" s="27">
        <f t="shared" si="151"/>
        <v>2.8055555555620231</v>
      </c>
      <c r="L188" s="27">
        <f>'[52]KARTINI BARUNA'!$F$106</f>
        <v>1.371527777765247</v>
      </c>
      <c r="M188" s="434">
        <f t="shared" ref="M188" si="159">(G188)/K188</f>
        <v>24237.623762320363</v>
      </c>
      <c r="N188" s="434">
        <f t="shared" ref="N188" si="160">(G188)/L188</f>
        <v>49579.746835896018</v>
      </c>
      <c r="O188" s="434">
        <v>30000</v>
      </c>
      <c r="P188" s="69">
        <f>(195327/10000)*8.7</f>
        <v>169.93448999999998</v>
      </c>
      <c r="Q188" s="69">
        <f>(192202/10000)*8.7</f>
        <v>167.21573999999998</v>
      </c>
      <c r="R188" s="69">
        <v>8.2284599999999841</v>
      </c>
      <c r="S188" s="435">
        <f>SUM(R188)/8.7*10000/(G188)</f>
        <v>0.13908823529411737</v>
      </c>
      <c r="T188" s="435">
        <f>SUM(R188)/8.5*10000/(G188)</f>
        <v>0.14236089965397897</v>
      </c>
      <c r="U188" s="435"/>
      <c r="V188" s="436"/>
      <c r="W188" s="437"/>
      <c r="X188" s="637">
        <v>14435.968999999999</v>
      </c>
      <c r="Y188" s="33">
        <f t="shared" si="157"/>
        <v>67699.716689655179</v>
      </c>
      <c r="Z188" s="638">
        <f t="shared" si="158"/>
        <v>981645892</v>
      </c>
      <c r="AA188" s="33"/>
      <c r="AB188" s="438"/>
      <c r="AC188" s="33"/>
    </row>
    <row r="189" spans="1:29" x14ac:dyDescent="0.3">
      <c r="A189" s="174">
        <v>44387.951388888891</v>
      </c>
      <c r="B189" s="174">
        <v>44389.180555555555</v>
      </c>
      <c r="C189" s="23"/>
      <c r="D189" s="14"/>
      <c r="E189" s="35" t="s">
        <v>773</v>
      </c>
      <c r="F189" s="25" t="s">
        <v>328</v>
      </c>
      <c r="G189" s="433">
        <v>25900</v>
      </c>
      <c r="H189" s="433"/>
      <c r="I189" s="433">
        <v>25900</v>
      </c>
      <c r="J189" s="26">
        <f>G189-I189</f>
        <v>0</v>
      </c>
      <c r="K189" s="27">
        <f t="shared" si="151"/>
        <v>1.2291666666642413</v>
      </c>
      <c r="L189" s="27">
        <f>[52]AQUAENA!$F$61</f>
        <v>0.71527777776645962</v>
      </c>
      <c r="M189" s="434">
        <f t="shared" ref="M189:M193" si="161">(G189)/K189</f>
        <v>21071.186440719543</v>
      </c>
      <c r="N189" s="434">
        <f t="shared" ref="N189:N193" si="162">(G189)/L189</f>
        <v>36209.708738437039</v>
      </c>
      <c r="O189" s="434">
        <v>30000</v>
      </c>
      <c r="P189" s="69">
        <f>(178825/10000)*8.7</f>
        <v>155.57774999999998</v>
      </c>
      <c r="Q189" s="69">
        <f>(172899/10000)*8.7</f>
        <v>150.42212999999998</v>
      </c>
      <c r="R189" s="69">
        <f t="shared" si="154"/>
        <v>5.155619999999999</v>
      </c>
      <c r="S189" s="435">
        <f t="shared" ref="S189:S193" si="163">R189/8.7*10000/(G189)</f>
        <v>0.22880308880308878</v>
      </c>
      <c r="T189" s="435">
        <f t="shared" ref="T189:T193" si="164">R189/8.5*10000/(G189)</f>
        <v>0.23418669089257318</v>
      </c>
      <c r="U189" s="435"/>
      <c r="V189" s="436"/>
      <c r="W189" s="437"/>
      <c r="X189" s="637">
        <v>14328.216</v>
      </c>
      <c r="Y189" s="33">
        <f t="shared" si="157"/>
        <v>25593.158234482762</v>
      </c>
      <c r="Z189" s="638">
        <f t="shared" si="158"/>
        <v>371100794.40000004</v>
      </c>
      <c r="AA189" s="33"/>
      <c r="AB189" s="438"/>
      <c r="AC189" s="33"/>
    </row>
    <row r="190" spans="1:29" x14ac:dyDescent="0.3">
      <c r="A190" s="174">
        <v>44389.763888888891</v>
      </c>
      <c r="B190" s="174">
        <v>44392.666666666664</v>
      </c>
      <c r="C190" s="23"/>
      <c r="D190" s="14"/>
      <c r="E190" s="35" t="s">
        <v>774</v>
      </c>
      <c r="F190" s="25" t="s">
        <v>328</v>
      </c>
      <c r="G190" s="433">
        <v>75805</v>
      </c>
      <c r="H190" s="433"/>
      <c r="I190" s="433">
        <v>75805</v>
      </c>
      <c r="J190" s="26">
        <f>G190-I190</f>
        <v>0</v>
      </c>
      <c r="K190" s="27">
        <f t="shared" si="151"/>
        <v>2.9027777777737356</v>
      </c>
      <c r="L190" s="27">
        <f>[52]YARRA!$F$139</f>
        <v>1.4913194444331264</v>
      </c>
      <c r="M190" s="434">
        <f t="shared" si="161"/>
        <v>26114.641148361723</v>
      </c>
      <c r="N190" s="434">
        <f t="shared" si="162"/>
        <v>50830.826542877039</v>
      </c>
      <c r="O190" s="434">
        <v>30000</v>
      </c>
      <c r="P190" s="69">
        <f>(171668/10000)*8.7</f>
        <v>149.35115999999996</v>
      </c>
      <c r="Q190" s="69">
        <f>(157730/10000)*8.7</f>
        <v>137.2251</v>
      </c>
      <c r="R190" s="69">
        <f t="shared" si="154"/>
        <v>12.126059999999967</v>
      </c>
      <c r="S190" s="435">
        <f t="shared" si="163"/>
        <v>0.18386649957126791</v>
      </c>
      <c r="T190" s="435">
        <f t="shared" si="164"/>
        <v>0.18819277014941538</v>
      </c>
      <c r="U190" s="435"/>
      <c r="V190" s="436"/>
      <c r="W190" s="437"/>
      <c r="X190" s="637">
        <v>14380.49</v>
      </c>
      <c r="Y190" s="33">
        <f t="shared" si="157"/>
        <v>75180.20996206897</v>
      </c>
      <c r="Z190" s="638">
        <f t="shared" si="158"/>
        <v>1090113044.45</v>
      </c>
      <c r="AA190" s="33"/>
      <c r="AB190" s="438"/>
      <c r="AC190" s="33"/>
    </row>
    <row r="191" spans="1:29" x14ac:dyDescent="0.3">
      <c r="A191" s="174">
        <v>44393.798611111109</v>
      </c>
      <c r="B191" s="174">
        <v>44398.743055555555</v>
      </c>
      <c r="C191" s="23"/>
      <c r="D191" s="14"/>
      <c r="E191" s="35" t="s">
        <v>775</v>
      </c>
      <c r="F191" s="25" t="s">
        <v>39</v>
      </c>
      <c r="G191" s="433">
        <v>99980</v>
      </c>
      <c r="H191" s="433"/>
      <c r="I191" s="433">
        <v>99980</v>
      </c>
      <c r="J191" s="26">
        <f>G191-I191</f>
        <v>0</v>
      </c>
      <c r="K191" s="27">
        <f t="shared" si="151"/>
        <v>4.9444444444452529</v>
      </c>
      <c r="L191" s="27">
        <f>'[52]LILA KYOTO'!$F$215</f>
        <v>2.4600694444367641</v>
      </c>
      <c r="M191" s="434">
        <f t="shared" si="161"/>
        <v>20220.674157300065</v>
      </c>
      <c r="N191" s="434">
        <f t="shared" si="162"/>
        <v>40641.129146210158</v>
      </c>
      <c r="O191" s="434">
        <v>30000</v>
      </c>
      <c r="P191" s="69">
        <f>(154968/10000)*8.7</f>
        <v>134.82216</v>
      </c>
      <c r="Q191" s="69">
        <f>(131286/10000)*8.7</f>
        <v>114.21881999999999</v>
      </c>
      <c r="R191" s="69">
        <f t="shared" si="154"/>
        <v>20.603340000000003</v>
      </c>
      <c r="S191" s="435">
        <f t="shared" si="163"/>
        <v>0.23686737347469497</v>
      </c>
      <c r="T191" s="435">
        <f t="shared" si="164"/>
        <v>0.24244072343880543</v>
      </c>
      <c r="U191" s="435"/>
      <c r="V191" s="436"/>
      <c r="W191" s="437"/>
      <c r="X191" s="637">
        <v>14469.196</v>
      </c>
      <c r="Y191" s="33">
        <f t="shared" si="157"/>
        <v>99767.601108965508</v>
      </c>
      <c r="Z191" s="638">
        <f t="shared" si="158"/>
        <v>1446630216.0799999</v>
      </c>
      <c r="AA191" s="33"/>
      <c r="AB191" s="438"/>
      <c r="AC191" s="33"/>
    </row>
    <row r="192" spans="1:29" x14ac:dyDescent="0.3">
      <c r="A192" s="174">
        <v>44400.416666666664</v>
      </c>
      <c r="B192" s="174">
        <v>44404.802083333336</v>
      </c>
      <c r="C192" s="23"/>
      <c r="D192" s="14"/>
      <c r="E192" s="35" t="s">
        <v>776</v>
      </c>
      <c r="F192" s="25" t="s">
        <v>333</v>
      </c>
      <c r="G192" s="433">
        <v>80641</v>
      </c>
      <c r="H192" s="433"/>
      <c r="I192" s="433">
        <v>82500</v>
      </c>
      <c r="J192" s="26">
        <f>G192-I192</f>
        <v>-1859</v>
      </c>
      <c r="K192" s="27">
        <f t="shared" si="151"/>
        <v>4.3854166666715173</v>
      </c>
      <c r="L192" s="27">
        <f>[52]VIDYUT!$F$195</f>
        <v>2.8975694444367641</v>
      </c>
      <c r="M192" s="434">
        <f t="shared" si="161"/>
        <v>18388.446555799139</v>
      </c>
      <c r="N192" s="462">
        <f t="shared" si="162"/>
        <v>27830.56680654471</v>
      </c>
      <c r="O192" s="434">
        <v>30000</v>
      </c>
      <c r="P192" s="69">
        <f>(126636/10000)*8.7</f>
        <v>110.17331999999999</v>
      </c>
      <c r="Q192" s="69">
        <f>(105678/10000)*8.7</f>
        <v>91.939859999999996</v>
      </c>
      <c r="R192" s="69">
        <f t="shared" si="154"/>
        <v>18.233459999999994</v>
      </c>
      <c r="S192" s="435">
        <f t="shared" si="163"/>
        <v>0.2598926104586996</v>
      </c>
      <c r="T192" s="435">
        <f t="shared" si="164"/>
        <v>0.26600773070478662</v>
      </c>
      <c r="U192" s="435"/>
      <c r="V192" s="436"/>
      <c r="W192" s="437"/>
      <c r="X192" s="637">
        <v>14356.194</v>
      </c>
      <c r="Y192" s="33">
        <f t="shared" si="157"/>
        <v>79841.23036924137</v>
      </c>
      <c r="Z192" s="638">
        <f t="shared" si="158"/>
        <v>1157697840.3539999</v>
      </c>
      <c r="AA192" s="33"/>
      <c r="AB192" s="438"/>
      <c r="AC192" s="33"/>
    </row>
    <row r="193" spans="1:29" x14ac:dyDescent="0.3">
      <c r="A193" s="174">
        <v>44405.107638888891</v>
      </c>
      <c r="B193" s="174">
        <v>44407.722222222219</v>
      </c>
      <c r="C193" s="23"/>
      <c r="D193" s="14"/>
      <c r="E193" s="35" t="s">
        <v>777</v>
      </c>
      <c r="F193" s="25" t="s">
        <v>328</v>
      </c>
      <c r="G193" s="433">
        <v>71500</v>
      </c>
      <c r="H193" s="433"/>
      <c r="I193" s="433">
        <v>71500</v>
      </c>
      <c r="J193" s="26">
        <f>G193-I193</f>
        <v>0</v>
      </c>
      <c r="K193" s="27">
        <f t="shared" si="151"/>
        <v>2.6145833333284827</v>
      </c>
      <c r="L193" s="27">
        <f>'[52]QIN FA 18'!$F$130</f>
        <v>2.0034722222068617</v>
      </c>
      <c r="M193" s="434">
        <f t="shared" si="161"/>
        <v>27346.613545867469</v>
      </c>
      <c r="N193" s="434">
        <f t="shared" si="162"/>
        <v>35688.041594727692</v>
      </c>
      <c r="O193" s="434">
        <v>30000</v>
      </c>
      <c r="P193" s="69">
        <f>(103289/10000)*8.7</f>
        <v>89.861429999999999</v>
      </c>
      <c r="Q193" s="69">
        <f>(89089/10000)*8.7</f>
        <v>77.507429999999985</v>
      </c>
      <c r="R193" s="69">
        <f t="shared" si="154"/>
        <v>12.354000000000013</v>
      </c>
      <c r="S193" s="435">
        <f t="shared" si="163"/>
        <v>0.19860139860139883</v>
      </c>
      <c r="T193" s="435">
        <f t="shared" si="164"/>
        <v>0.20327437268613763</v>
      </c>
      <c r="U193" s="435"/>
      <c r="V193" s="436"/>
      <c r="W193" s="437"/>
      <c r="X193" s="637">
        <v>14359.663</v>
      </c>
      <c r="Y193" s="33">
        <f t="shared" si="157"/>
        <v>70807.993413793098</v>
      </c>
      <c r="Z193" s="638">
        <f t="shared" si="158"/>
        <v>1026715904.5</v>
      </c>
      <c r="AA193" s="33"/>
      <c r="AB193" s="438"/>
      <c r="AC193" s="33"/>
    </row>
    <row r="194" spans="1:29" x14ac:dyDescent="0.3">
      <c r="A194" s="174">
        <v>44414.875</v>
      </c>
      <c r="B194" s="174">
        <v>44415.243055555555</v>
      </c>
      <c r="C194" s="23"/>
      <c r="D194" s="14"/>
      <c r="E194" s="35" t="s">
        <v>435</v>
      </c>
      <c r="F194" s="25" t="s">
        <v>328</v>
      </c>
      <c r="G194" s="433">
        <v>16854</v>
      </c>
      <c r="H194" s="433"/>
      <c r="I194" s="433">
        <v>72000</v>
      </c>
      <c r="J194" s="26">
        <f t="shared" ref="J194:J203" si="165">G194-I194</f>
        <v>-55146</v>
      </c>
      <c r="K194" s="27">
        <f t="shared" ref="K194:K203" si="166">B194-A194</f>
        <v>0.36805555555474712</v>
      </c>
      <c r="L194" s="27">
        <f>[53]HARMONY!$F$38</f>
        <v>0.28993055555110914</v>
      </c>
      <c r="M194" s="434">
        <f t="shared" ref="M194:M203" si="167">(G194)/K194</f>
        <v>45792.000000100583</v>
      </c>
      <c r="N194" s="434">
        <f t="shared" ref="N194:N203" si="168">(G194)/L194</f>
        <v>58131.161677538214</v>
      </c>
      <c r="O194" s="434">
        <v>30000</v>
      </c>
      <c r="P194" s="69">
        <f>(76315/10000)*8.7</f>
        <v>66.394049999999993</v>
      </c>
      <c r="Q194" s="69">
        <f>(74315/10000)*8.7</f>
        <v>64.654049999999998</v>
      </c>
      <c r="R194" s="69">
        <f t="shared" ref="R194:R203" si="169">P194-Q194</f>
        <v>1.7399999999999949</v>
      </c>
      <c r="S194" s="435">
        <f t="shared" ref="S194:S203" si="170">R194/8.7*10000/(G194)</f>
        <v>0.11866619200189832</v>
      </c>
      <c r="T194" s="435">
        <f t="shared" ref="T194:T203" si="171">R194/8.5*10000/(G194)</f>
        <v>0.12145833769606063</v>
      </c>
      <c r="U194" s="435"/>
      <c r="V194" s="436"/>
      <c r="W194" s="437"/>
      <c r="X194" s="637">
        <v>14137.517</v>
      </c>
      <c r="Y194" s="33">
        <f t="shared" ref="Y194:Y203" si="172">Z194/14500</f>
        <v>16432.66975986207</v>
      </c>
      <c r="Z194" s="638">
        <f t="shared" ref="Z194:Z203" si="173">X194*G194</f>
        <v>238273711.51800001</v>
      </c>
      <c r="AA194" s="33"/>
      <c r="AB194" s="438"/>
      <c r="AC194" s="33"/>
    </row>
    <row r="195" spans="1:29" x14ac:dyDescent="0.3">
      <c r="A195" s="174">
        <v>44418.572916666664</v>
      </c>
      <c r="B195" s="174">
        <v>44419.576388888891</v>
      </c>
      <c r="C195" s="23"/>
      <c r="D195" s="14"/>
      <c r="E195" s="35" t="s">
        <v>778</v>
      </c>
      <c r="F195" s="25" t="s">
        <v>328</v>
      </c>
      <c r="G195" s="433">
        <v>36940</v>
      </c>
      <c r="H195" s="433"/>
      <c r="I195" s="433">
        <v>36940</v>
      </c>
      <c r="J195" s="26">
        <f t="shared" si="165"/>
        <v>0</v>
      </c>
      <c r="K195" s="27">
        <f t="shared" si="166"/>
        <v>1.0034722222262644</v>
      </c>
      <c r="L195" s="27">
        <f>'[53]KSL SIDNEY'!$F$61</f>
        <v>0.68750000001455192</v>
      </c>
      <c r="M195" s="434">
        <f t="shared" si="167"/>
        <v>36812.179930647559</v>
      </c>
      <c r="N195" s="434">
        <f t="shared" si="168"/>
        <v>53730.909089771798</v>
      </c>
      <c r="O195" s="434">
        <v>30000</v>
      </c>
      <c r="P195" s="69">
        <f>(69021/10000)*8.7</f>
        <v>60.048269999999995</v>
      </c>
      <c r="Q195" s="69">
        <f>(63121/10000)*8.7</f>
        <v>54.915269999999992</v>
      </c>
      <c r="R195" s="69">
        <f t="shared" si="169"/>
        <v>5.1330000000000027</v>
      </c>
      <c r="S195" s="435">
        <f t="shared" si="170"/>
        <v>0.15971846237141318</v>
      </c>
      <c r="T195" s="435">
        <f t="shared" si="171"/>
        <v>0.16347654383897584</v>
      </c>
      <c r="U195" s="435"/>
      <c r="V195" s="436"/>
      <c r="W195" s="437"/>
      <c r="X195" s="637">
        <v>14185.73</v>
      </c>
      <c r="Y195" s="33">
        <f t="shared" si="172"/>
        <v>36139.370082758622</v>
      </c>
      <c r="Z195" s="638">
        <f t="shared" si="173"/>
        <v>524020866.19999999</v>
      </c>
      <c r="AA195" s="33"/>
      <c r="AB195" s="438"/>
      <c r="AC195" s="33"/>
    </row>
    <row r="196" spans="1:29" x14ac:dyDescent="0.3">
      <c r="A196" s="174">
        <v>44420.541666666664</v>
      </c>
      <c r="B196" s="174">
        <v>44421.854166666664</v>
      </c>
      <c r="C196" s="23"/>
      <c r="D196" s="14"/>
      <c r="E196" s="35" t="s">
        <v>779</v>
      </c>
      <c r="F196" s="25" t="s">
        <v>328</v>
      </c>
      <c r="G196" s="433">
        <v>28156</v>
      </c>
      <c r="H196" s="433"/>
      <c r="I196" s="433">
        <v>28156</v>
      </c>
      <c r="J196" s="26">
        <f t="shared" si="165"/>
        <v>0</v>
      </c>
      <c r="K196" s="27">
        <f t="shared" si="166"/>
        <v>1.3125</v>
      </c>
      <c r="L196" s="27">
        <f>'[53]HONG YU'!$F$72</f>
        <v>0.82986111111191951</v>
      </c>
      <c r="M196" s="434">
        <f t="shared" si="167"/>
        <v>21452.190476190477</v>
      </c>
      <c r="N196" s="434">
        <f t="shared" si="168"/>
        <v>33928.569037623849</v>
      </c>
      <c r="O196" s="434">
        <v>30000</v>
      </c>
      <c r="P196" s="69">
        <f>(260486/10000)*8.7</f>
        <v>226.62281999999999</v>
      </c>
      <c r="Q196" s="69">
        <f>(254136/10000)*8.7</f>
        <v>221.09831999999997</v>
      </c>
      <c r="R196" s="69">
        <f t="shared" si="169"/>
        <v>5.5245000000000175</v>
      </c>
      <c r="S196" s="435">
        <f t="shared" si="170"/>
        <v>0.22552919448785413</v>
      </c>
      <c r="T196" s="435">
        <f t="shared" si="171"/>
        <v>0.23083576376992124</v>
      </c>
      <c r="U196" s="435"/>
      <c r="V196" s="436"/>
      <c r="W196" s="437"/>
      <c r="X196" s="639">
        <v>14171.945</v>
      </c>
      <c r="Y196" s="33">
        <f t="shared" si="172"/>
        <v>27518.985063448275</v>
      </c>
      <c r="Z196" s="638">
        <f t="shared" si="173"/>
        <v>399025283.42000002</v>
      </c>
      <c r="AA196" s="33"/>
      <c r="AB196" s="438"/>
      <c r="AC196" s="33"/>
    </row>
    <row r="197" spans="1:29" x14ac:dyDescent="0.3">
      <c r="A197" s="174">
        <v>44422.114583333336</v>
      </c>
      <c r="B197" s="174">
        <v>44422.930555555555</v>
      </c>
      <c r="C197" s="23"/>
      <c r="D197" s="14"/>
      <c r="E197" s="35" t="s">
        <v>780</v>
      </c>
      <c r="F197" s="25" t="s">
        <v>328</v>
      </c>
      <c r="G197" s="433">
        <v>24584</v>
      </c>
      <c r="H197" s="433"/>
      <c r="I197" s="433">
        <v>24584</v>
      </c>
      <c r="J197" s="26">
        <f t="shared" si="165"/>
        <v>0</v>
      </c>
      <c r="K197" s="27">
        <f t="shared" si="166"/>
        <v>0.81597222221898846</v>
      </c>
      <c r="L197" s="27">
        <f>'[53]CL GRACE'!$F$62</f>
        <v>0.55208333332484472</v>
      </c>
      <c r="M197" s="434">
        <f t="shared" si="167"/>
        <v>30128.476595864082</v>
      </c>
      <c r="N197" s="434">
        <f t="shared" si="168"/>
        <v>44529.509434646934</v>
      </c>
      <c r="O197" s="434">
        <v>30000</v>
      </c>
      <c r="P197" s="69">
        <f>(253247/10000)*8.7</f>
        <v>220.32488999999998</v>
      </c>
      <c r="Q197" s="69">
        <f>(249047/10000)*8.7</f>
        <v>216.67088999999996</v>
      </c>
      <c r="R197" s="69">
        <f t="shared" si="169"/>
        <v>3.6540000000000248</v>
      </c>
      <c r="S197" s="435">
        <f t="shared" si="170"/>
        <v>0.17084282460136793</v>
      </c>
      <c r="T197" s="435">
        <f t="shared" si="171"/>
        <v>0.17486265576845891</v>
      </c>
      <c r="U197" s="435"/>
      <c r="V197" s="436"/>
      <c r="W197" s="437"/>
      <c r="X197" s="637">
        <v>14170.223</v>
      </c>
      <c r="Y197" s="33">
        <f t="shared" si="172"/>
        <v>24024.880153931033</v>
      </c>
      <c r="Z197" s="638">
        <f t="shared" si="173"/>
        <v>348360762.23199999</v>
      </c>
      <c r="AA197" s="33"/>
      <c r="AB197" s="438"/>
      <c r="AC197" s="33"/>
    </row>
    <row r="198" spans="1:29" x14ac:dyDescent="0.3">
      <c r="A198" s="174">
        <v>44424.065972222219</v>
      </c>
      <c r="B198" s="174">
        <v>44426.243055555555</v>
      </c>
      <c r="C198" s="23"/>
      <c r="D198" s="14"/>
      <c r="E198" s="35" t="s">
        <v>781</v>
      </c>
      <c r="F198" s="25" t="s">
        <v>328</v>
      </c>
      <c r="G198" s="433">
        <v>45532</v>
      </c>
      <c r="H198" s="433"/>
      <c r="I198" s="433">
        <v>60500</v>
      </c>
      <c r="J198" s="26">
        <f t="shared" si="165"/>
        <v>-14968</v>
      </c>
      <c r="K198" s="27">
        <f t="shared" si="166"/>
        <v>2.1770833333357587</v>
      </c>
      <c r="L198" s="27">
        <f>'[53]DOOYANG JEJU'!$F$90</f>
        <v>0.81250000002182787</v>
      </c>
      <c r="M198" s="434">
        <f t="shared" si="167"/>
        <v>20914.22009567048</v>
      </c>
      <c r="N198" s="434">
        <f t="shared" si="168"/>
        <v>56039.384613879112</v>
      </c>
      <c r="O198" s="434">
        <v>30000</v>
      </c>
      <c r="P198" s="69">
        <f>(246445/10000)*8.7</f>
        <v>214.40715</v>
      </c>
      <c r="Q198" s="69">
        <f>(238420/10000)*8.7</f>
        <v>207.42539999999997</v>
      </c>
      <c r="R198" s="69">
        <f t="shared" si="169"/>
        <v>6.9817500000000337</v>
      </c>
      <c r="S198" s="435">
        <f t="shared" si="170"/>
        <v>0.17624967056136431</v>
      </c>
      <c r="T198" s="435">
        <f t="shared" si="171"/>
        <v>0.18039672163339637</v>
      </c>
      <c r="U198" s="435"/>
      <c r="V198" s="436"/>
      <c r="W198" s="437"/>
      <c r="X198" s="637">
        <v>14163.334000000001</v>
      </c>
      <c r="Y198" s="33">
        <f t="shared" si="172"/>
        <v>44474.822323310349</v>
      </c>
      <c r="Z198" s="638">
        <f t="shared" si="173"/>
        <v>644884923.68800008</v>
      </c>
      <c r="AA198" s="33"/>
      <c r="AB198" s="438"/>
      <c r="AC198" s="33"/>
    </row>
    <row r="199" spans="1:29" x14ac:dyDescent="0.3">
      <c r="A199" s="174">
        <v>44426.482638888891</v>
      </c>
      <c r="B199" s="174">
        <v>44428.625</v>
      </c>
      <c r="C199" s="23"/>
      <c r="D199" s="14"/>
      <c r="E199" s="35" t="s">
        <v>782</v>
      </c>
      <c r="F199" s="36" t="s">
        <v>328</v>
      </c>
      <c r="G199" s="433">
        <v>68000</v>
      </c>
      <c r="H199" s="433"/>
      <c r="I199" s="433">
        <v>68000</v>
      </c>
      <c r="J199" s="26">
        <f t="shared" si="165"/>
        <v>0</v>
      </c>
      <c r="K199" s="27">
        <f t="shared" si="166"/>
        <v>2.1423611111094942</v>
      </c>
      <c r="L199" s="27">
        <f>'[53]LUMOSO PRATAMA'!$F$115</f>
        <v>1.2083333333236321</v>
      </c>
      <c r="M199" s="434">
        <f t="shared" si="167"/>
        <v>31740.680713151993</v>
      </c>
      <c r="N199" s="434">
        <f t="shared" si="168"/>
        <v>56275.86206941733</v>
      </c>
      <c r="O199" s="434">
        <v>30000</v>
      </c>
      <c r="P199" s="69">
        <f>(236927/10000)*8.7</f>
        <v>206.12648999999996</v>
      </c>
      <c r="Q199" s="69">
        <f>(227661/10000)*8.7</f>
        <v>198.06506999999999</v>
      </c>
      <c r="R199" s="69">
        <f t="shared" si="169"/>
        <v>8.0614199999999698</v>
      </c>
      <c r="S199" s="435">
        <f t="shared" si="170"/>
        <v>0.13626470588235245</v>
      </c>
      <c r="T199" s="435">
        <f t="shared" si="171"/>
        <v>0.13947093425605486</v>
      </c>
      <c r="U199" s="435"/>
      <c r="V199" s="436"/>
      <c r="W199" s="32"/>
      <c r="X199" s="637">
        <v>14301.478999999999</v>
      </c>
      <c r="Y199" s="33">
        <f t="shared" si="172"/>
        <v>67069.004965517248</v>
      </c>
      <c r="Z199" s="638">
        <f t="shared" si="173"/>
        <v>972500572</v>
      </c>
      <c r="AA199" s="33"/>
      <c r="AB199" s="438"/>
      <c r="AC199" s="33"/>
    </row>
    <row r="200" spans="1:29" x14ac:dyDescent="0.3">
      <c r="A200" s="174">
        <v>44429.055555555555</v>
      </c>
      <c r="B200" s="174">
        <v>44431.822916666664</v>
      </c>
      <c r="C200" s="23"/>
      <c r="D200" s="14"/>
      <c r="E200" s="35" t="s">
        <v>783</v>
      </c>
      <c r="F200" s="36" t="s">
        <v>328</v>
      </c>
      <c r="G200" s="433">
        <v>87800</v>
      </c>
      <c r="H200" s="433"/>
      <c r="I200" s="433">
        <v>87800</v>
      </c>
      <c r="J200" s="26">
        <f t="shared" si="165"/>
        <v>0</v>
      </c>
      <c r="K200" s="27">
        <f t="shared" si="166"/>
        <v>2.7673611111094942</v>
      </c>
      <c r="L200" s="27">
        <f>'[53]W-PEARL'!$F$152</f>
        <v>1.5624999999587696</v>
      </c>
      <c r="M200" s="434">
        <f t="shared" si="167"/>
        <v>31726.976160620794</v>
      </c>
      <c r="N200" s="434">
        <f t="shared" si="168"/>
        <v>56192.00000148276</v>
      </c>
      <c r="O200" s="434">
        <v>30000</v>
      </c>
      <c r="P200" s="69">
        <f>(225227/10000)*8.7</f>
        <v>195.94748999999999</v>
      </c>
      <c r="Q200" s="69">
        <f>(211404/10000)*8.7</f>
        <v>183.92147999999997</v>
      </c>
      <c r="R200" s="69">
        <f t="shared" si="169"/>
        <v>12.026010000000014</v>
      </c>
      <c r="S200" s="435">
        <f t="shared" si="170"/>
        <v>0.15743735763097969</v>
      </c>
      <c r="T200" s="435">
        <f t="shared" si="171"/>
        <v>0.16114176604582628</v>
      </c>
      <c r="U200" s="435"/>
      <c r="V200" s="31"/>
      <c r="W200" s="32"/>
      <c r="X200" s="637">
        <v>14216.773999999999</v>
      </c>
      <c r="Y200" s="33">
        <f t="shared" si="172"/>
        <v>86085.017737931033</v>
      </c>
      <c r="Z200" s="638">
        <f t="shared" si="173"/>
        <v>1248232757.2</v>
      </c>
      <c r="AA200" s="33"/>
      <c r="AB200" s="438"/>
      <c r="AC200" s="33"/>
    </row>
    <row r="201" spans="1:29" x14ac:dyDescent="0.3">
      <c r="A201" s="174">
        <v>44432.059027777781</v>
      </c>
      <c r="B201" s="174">
        <v>44433.052083333336</v>
      </c>
      <c r="C201" s="23"/>
      <c r="D201" s="14"/>
      <c r="E201" s="35" t="s">
        <v>784</v>
      </c>
      <c r="F201" s="36" t="s">
        <v>328</v>
      </c>
      <c r="G201" s="433">
        <v>35748</v>
      </c>
      <c r="H201" s="433"/>
      <c r="I201" s="433">
        <v>69450</v>
      </c>
      <c r="J201" s="26">
        <f t="shared" si="165"/>
        <v>-33702</v>
      </c>
      <c r="K201" s="27">
        <f t="shared" si="166"/>
        <v>0.99305555555474712</v>
      </c>
      <c r="L201" s="27">
        <f>'[53]GUO YUAN 18'!$F$69</f>
        <v>0.68229166665332741</v>
      </c>
      <c r="M201" s="434">
        <f t="shared" si="167"/>
        <v>35997.986014015318</v>
      </c>
      <c r="N201" s="434">
        <f t="shared" si="168"/>
        <v>52394.01526819991</v>
      </c>
      <c r="O201" s="434">
        <v>30000</v>
      </c>
      <c r="P201" s="69">
        <f>(210029/10000)*8.7</f>
        <v>182.72522999999998</v>
      </c>
      <c r="Q201" s="69">
        <f>(204735/10000)*8.7</f>
        <v>178.11945</v>
      </c>
      <c r="R201" s="69">
        <f t="shared" si="169"/>
        <v>4.6057799999999816</v>
      </c>
      <c r="S201" s="435">
        <f t="shared" si="170"/>
        <v>0.148092200962291</v>
      </c>
      <c r="T201" s="435">
        <f t="shared" si="171"/>
        <v>0.15157672333787434</v>
      </c>
      <c r="U201" s="435"/>
      <c r="V201" s="31"/>
      <c r="W201" s="32"/>
      <c r="X201" s="637">
        <v>14244.401</v>
      </c>
      <c r="Y201" s="33">
        <f t="shared" si="172"/>
        <v>35117.851513655172</v>
      </c>
      <c r="Z201" s="638">
        <f t="shared" si="173"/>
        <v>509208846.94800001</v>
      </c>
      <c r="AA201" s="33"/>
      <c r="AB201" s="438"/>
      <c r="AC201" s="33"/>
    </row>
    <row r="202" spans="1:29" x14ac:dyDescent="0.3">
      <c r="A202" s="174">
        <v>44433.520833333336</v>
      </c>
      <c r="B202" s="174">
        <v>44436.423611111109</v>
      </c>
      <c r="C202" s="23"/>
      <c r="D202" s="14"/>
      <c r="E202" s="35" t="s">
        <v>785</v>
      </c>
      <c r="F202" s="36" t="s">
        <v>328</v>
      </c>
      <c r="G202" s="433">
        <v>72921</v>
      </c>
      <c r="H202" s="433"/>
      <c r="I202" s="433">
        <v>72860</v>
      </c>
      <c r="J202" s="26">
        <f t="shared" si="165"/>
        <v>61</v>
      </c>
      <c r="K202" s="27">
        <f t="shared" si="166"/>
        <v>2.9027777777737356</v>
      </c>
      <c r="L202" s="27">
        <f>'[53]ANGELIC PEACE'!$F$126</f>
        <v>1.6979166666557528</v>
      </c>
      <c r="M202" s="434">
        <f t="shared" si="167"/>
        <v>25121.110047881873</v>
      </c>
      <c r="N202" s="434">
        <f t="shared" si="168"/>
        <v>42947.337423588942</v>
      </c>
      <c r="O202" s="434">
        <v>30000</v>
      </c>
      <c r="P202" s="69">
        <f>(203942/10000)*8.7</f>
        <v>177.42954</v>
      </c>
      <c r="Q202" s="69">
        <f>(189203/10000)*8.7</f>
        <v>164.60660999999999</v>
      </c>
      <c r="R202" s="69">
        <f t="shared" si="169"/>
        <v>12.822930000000014</v>
      </c>
      <c r="S202" s="435">
        <f t="shared" si="170"/>
        <v>0.20212284527090987</v>
      </c>
      <c r="T202" s="435">
        <f t="shared" si="171"/>
        <v>0.206878676924343</v>
      </c>
      <c r="U202" s="435"/>
      <c r="V202" s="31"/>
      <c r="W202" s="32"/>
      <c r="X202" s="637">
        <v>14244.401</v>
      </c>
      <c r="Y202" s="33">
        <f t="shared" si="172"/>
        <v>71635.583815241378</v>
      </c>
      <c r="Z202" s="638">
        <f t="shared" si="173"/>
        <v>1038715965.321</v>
      </c>
      <c r="AA202" s="33"/>
      <c r="AB202" s="438"/>
      <c r="AC202" s="33"/>
    </row>
    <row r="203" spans="1:29" x14ac:dyDescent="0.3">
      <c r="A203" s="174">
        <v>44436.722222222219</v>
      </c>
      <c r="B203" s="174">
        <v>44437.104166666664</v>
      </c>
      <c r="C203" s="23"/>
      <c r="D203" s="14"/>
      <c r="E203" s="35" t="s">
        <v>784</v>
      </c>
      <c r="F203" s="36" t="s">
        <v>328</v>
      </c>
      <c r="G203" s="433">
        <v>12590</v>
      </c>
      <c r="H203" s="433"/>
      <c r="I203" s="433">
        <v>12606</v>
      </c>
      <c r="J203" s="26">
        <f t="shared" si="165"/>
        <v>-16</v>
      </c>
      <c r="K203" s="27">
        <f t="shared" si="166"/>
        <v>0.38194444444525288</v>
      </c>
      <c r="L203" s="27">
        <f>'[53]GUO YUAN 18 (2)'!$F$35</f>
        <v>0.27430555555110914</v>
      </c>
      <c r="M203" s="434">
        <f t="shared" si="167"/>
        <v>32962.909090839319</v>
      </c>
      <c r="N203" s="434">
        <f t="shared" si="168"/>
        <v>45897.721519731334</v>
      </c>
      <c r="O203" s="434">
        <v>30000</v>
      </c>
      <c r="P203" s="69">
        <f>(189061/10000)*8.7</f>
        <v>164.48306999999997</v>
      </c>
      <c r="Q203" s="69">
        <f>(186861/10000)*8.7</f>
        <v>162.56906999999998</v>
      </c>
      <c r="R203" s="69">
        <f t="shared" si="169"/>
        <v>1.9139999999999873</v>
      </c>
      <c r="S203" s="435">
        <f t="shared" si="170"/>
        <v>0.17474185861794961</v>
      </c>
      <c r="T203" s="435">
        <f t="shared" si="171"/>
        <v>0.17885343176190133</v>
      </c>
      <c r="U203" s="435"/>
      <c r="V203" s="31"/>
      <c r="W203" s="32"/>
      <c r="X203" s="637">
        <v>14244.401</v>
      </c>
      <c r="Y203" s="33">
        <f t="shared" si="172"/>
        <v>12368.069557931034</v>
      </c>
      <c r="Z203" s="638">
        <f t="shared" si="173"/>
        <v>179337008.59</v>
      </c>
      <c r="AA203" s="33"/>
      <c r="AB203" s="438"/>
      <c r="AC203" s="33"/>
    </row>
    <row r="204" spans="1:29" x14ac:dyDescent="0.3">
      <c r="A204" s="174">
        <v>44439.784722222219</v>
      </c>
      <c r="B204" s="174">
        <v>44443.166666666664</v>
      </c>
      <c r="C204" s="23"/>
      <c r="D204" s="14"/>
      <c r="E204" s="35" t="s">
        <v>205</v>
      </c>
      <c r="F204" s="25" t="s">
        <v>328</v>
      </c>
      <c r="G204" s="433">
        <v>89500</v>
      </c>
      <c r="H204" s="433"/>
      <c r="I204" s="433">
        <v>89500</v>
      </c>
      <c r="J204" s="26">
        <f t="shared" ref="J204:J214" si="174">G204-I204</f>
        <v>0</v>
      </c>
      <c r="K204" s="27">
        <f t="shared" ref="K204:K211" si="175">B204-A204</f>
        <v>3.3819444444452529</v>
      </c>
      <c r="L204" s="27">
        <f>'[54]TAIPOWER PROSPERITY V'!$F$146</f>
        <v>1.6770833333236321</v>
      </c>
      <c r="M204" s="434">
        <f t="shared" ref="M204:M214" si="176">(G204)/K204</f>
        <v>26464.065708412563</v>
      </c>
      <c r="N204" s="434">
        <f t="shared" ref="N204:N214" si="177">(G204)/L204</f>
        <v>53366.459627637894</v>
      </c>
      <c r="O204" s="434">
        <v>30000</v>
      </c>
      <c r="P204" s="69">
        <f>(182618/10000)*8.7</f>
        <v>158.87765999999999</v>
      </c>
      <c r="Q204" s="69">
        <f>(166057/10000)*8.7</f>
        <v>144.46958999999998</v>
      </c>
      <c r="R204" s="69">
        <f t="shared" ref="R204:R214" si="178">P204-Q204</f>
        <v>14.408070000000009</v>
      </c>
      <c r="S204" s="435">
        <f t="shared" ref="S204:S214" si="179">R204/8.7*10000/(G204)</f>
        <v>0.18503910614525151</v>
      </c>
      <c r="T204" s="435">
        <f t="shared" ref="T204:T214" si="180">R204/8.5*10000/(G204)</f>
        <v>0.18939296746631626</v>
      </c>
      <c r="U204" s="435"/>
      <c r="V204" s="436"/>
      <c r="W204" s="437"/>
      <c r="X204" s="637">
        <v>13929.655000000001</v>
      </c>
      <c r="Y204" s="33">
        <f t="shared" ref="Y204:Y214" si="181">Z204/14500</f>
        <v>85979.594655172419</v>
      </c>
      <c r="Z204" s="638">
        <f t="shared" ref="Z204:Z214" si="182">X204*G204</f>
        <v>1246704122.5</v>
      </c>
      <c r="AA204" s="33"/>
      <c r="AB204" s="438"/>
      <c r="AC204" s="33"/>
    </row>
    <row r="205" spans="1:29" x14ac:dyDescent="0.3">
      <c r="A205" s="174">
        <v>44443.402777777781</v>
      </c>
      <c r="B205" s="174">
        <v>44443.982638888891</v>
      </c>
      <c r="C205" s="23"/>
      <c r="D205" s="14"/>
      <c r="E205" s="35" t="s">
        <v>786</v>
      </c>
      <c r="F205" s="25" t="s">
        <v>328</v>
      </c>
      <c r="G205" s="433">
        <v>14331</v>
      </c>
      <c r="H205" s="433"/>
      <c r="I205" s="433">
        <v>14331</v>
      </c>
      <c r="J205" s="26">
        <f t="shared" si="174"/>
        <v>0</v>
      </c>
      <c r="K205" s="27">
        <f t="shared" si="175"/>
        <v>0.57986111110949423</v>
      </c>
      <c r="L205" s="27">
        <f>'[54]THASSOS WARRIOR'!$F$40</f>
        <v>0.43055555555474712</v>
      </c>
      <c r="M205" s="434">
        <f t="shared" si="176"/>
        <v>24714.538922224601</v>
      </c>
      <c r="N205" s="434">
        <f t="shared" si="177"/>
        <v>33284.903225868948</v>
      </c>
      <c r="O205" s="434">
        <v>30000</v>
      </c>
      <c r="P205" s="69">
        <f>(165480/10000)*8.7</f>
        <v>143.96759999999998</v>
      </c>
      <c r="Q205" s="69">
        <f>(161490/10000)*8.7</f>
        <v>140.49629999999999</v>
      </c>
      <c r="R205" s="69">
        <f t="shared" si="178"/>
        <v>3.4712999999999852</v>
      </c>
      <c r="S205" s="435">
        <f t="shared" si="179"/>
        <v>0.2784174167887784</v>
      </c>
      <c r="T205" s="435">
        <f t="shared" si="180"/>
        <v>0.28496841483086727</v>
      </c>
      <c r="U205" s="435"/>
      <c r="V205" s="436"/>
      <c r="W205" s="437"/>
      <c r="X205" s="637">
        <v>13929.655000000001</v>
      </c>
      <c r="Y205" s="33">
        <f t="shared" si="181"/>
        <v>13767.302469310345</v>
      </c>
      <c r="Z205" s="638">
        <f t="shared" si="182"/>
        <v>199625885.80500001</v>
      </c>
      <c r="AA205" s="33"/>
      <c r="AB205" s="438"/>
      <c r="AC205" s="33"/>
    </row>
    <row r="206" spans="1:29" x14ac:dyDescent="0.3">
      <c r="A206" s="174">
        <v>44444.260416666664</v>
      </c>
      <c r="B206" s="174">
        <v>44448.5625</v>
      </c>
      <c r="C206" s="23"/>
      <c r="D206" s="14"/>
      <c r="E206" s="35" t="s">
        <v>123</v>
      </c>
      <c r="F206" s="25" t="s">
        <v>328</v>
      </c>
      <c r="G206" s="433">
        <v>64999</v>
      </c>
      <c r="H206" s="433"/>
      <c r="I206" s="433">
        <v>64999</v>
      </c>
      <c r="J206" s="26">
        <f t="shared" si="174"/>
        <v>0</v>
      </c>
      <c r="K206" s="27">
        <f t="shared" si="175"/>
        <v>4.3020833333357587</v>
      </c>
      <c r="L206" s="27">
        <f>'[54]EVOIKOS THEO'!$F$117</f>
        <v>1.5590277777700976</v>
      </c>
      <c r="M206" s="434">
        <f t="shared" si="176"/>
        <v>15108.726392243298</v>
      </c>
      <c r="N206" s="434">
        <f t="shared" si="177"/>
        <v>41692.008908891352</v>
      </c>
      <c r="O206" s="434">
        <v>30000</v>
      </c>
      <c r="P206" s="69">
        <f>(161115/10000)*8.7</f>
        <v>140.17004999999997</v>
      </c>
      <c r="Q206" s="69">
        <f>(145408/10000)*8.7</f>
        <v>126.50496</v>
      </c>
      <c r="R206" s="69">
        <f t="shared" si="178"/>
        <v>13.665089999999978</v>
      </c>
      <c r="S206" s="435">
        <f t="shared" si="179"/>
        <v>0.24164987153648479</v>
      </c>
      <c r="T206" s="435">
        <f t="shared" si="180"/>
        <v>0.24733575086675499</v>
      </c>
      <c r="U206" s="435"/>
      <c r="V206" s="436"/>
      <c r="W206" s="437"/>
      <c r="X206" s="637">
        <v>13948.442999999999</v>
      </c>
      <c r="Y206" s="33">
        <f t="shared" si="181"/>
        <v>62526.541141862064</v>
      </c>
      <c r="Z206" s="638">
        <f t="shared" si="182"/>
        <v>906634846.55699992</v>
      </c>
      <c r="AA206" s="33"/>
      <c r="AB206" s="438"/>
      <c r="AC206" s="33"/>
    </row>
    <row r="207" spans="1:29" x14ac:dyDescent="0.3">
      <c r="A207" s="174">
        <v>44450.881944444445</v>
      </c>
      <c r="B207" s="174">
        <v>44452.493055555555</v>
      </c>
      <c r="C207" s="23"/>
      <c r="D207" s="14"/>
      <c r="E207" s="35" t="s">
        <v>787</v>
      </c>
      <c r="F207" s="25" t="s">
        <v>328</v>
      </c>
      <c r="G207" s="433">
        <v>45662</v>
      </c>
      <c r="H207" s="433"/>
      <c r="I207" s="433">
        <v>71500</v>
      </c>
      <c r="J207" s="26">
        <f t="shared" si="174"/>
        <v>-25838</v>
      </c>
      <c r="K207" s="27">
        <f t="shared" si="175"/>
        <v>1.6111111111094942</v>
      </c>
      <c r="L207" s="27">
        <f>'[54]GOLDEN HARVEST'!$F$87</f>
        <v>0.93229166666424135</v>
      </c>
      <c r="M207" s="434">
        <f t="shared" si="176"/>
        <v>28341.931034511203</v>
      </c>
      <c r="N207" s="434">
        <f t="shared" si="177"/>
        <v>48978.234636998925</v>
      </c>
      <c r="O207" s="434">
        <v>30000</v>
      </c>
      <c r="P207" s="69">
        <f>(141572/10000)*8.7</f>
        <v>123.16763999999999</v>
      </c>
      <c r="Q207" s="69">
        <f>(133821/10000)*8.7</f>
        <v>116.42426999999998</v>
      </c>
      <c r="R207" s="69">
        <f t="shared" si="178"/>
        <v>6.743370000000013</v>
      </c>
      <c r="S207" s="435">
        <f t="shared" si="179"/>
        <v>0.16974727344400192</v>
      </c>
      <c r="T207" s="435">
        <f t="shared" si="180"/>
        <v>0.17374132693680194</v>
      </c>
      <c r="U207" s="435"/>
      <c r="V207" s="436"/>
      <c r="W207" s="437"/>
      <c r="X207" s="637">
        <v>13927.948</v>
      </c>
      <c r="Y207" s="33">
        <f t="shared" si="181"/>
        <v>43860.549074206894</v>
      </c>
      <c r="Z207" s="638">
        <f t="shared" si="182"/>
        <v>635977961.57599998</v>
      </c>
      <c r="AA207" s="33"/>
      <c r="AB207" s="438"/>
      <c r="AC207" s="33"/>
    </row>
    <row r="208" spans="1:29" x14ac:dyDescent="0.3">
      <c r="A208" s="174">
        <v>44453.041666666664</v>
      </c>
      <c r="B208" s="174">
        <v>44456.274305555555</v>
      </c>
      <c r="C208" s="23"/>
      <c r="D208" s="14"/>
      <c r="E208" s="35" t="s">
        <v>788</v>
      </c>
      <c r="F208" s="25" t="s">
        <v>328</v>
      </c>
      <c r="G208" s="433">
        <v>78500</v>
      </c>
      <c r="H208" s="433"/>
      <c r="I208" s="433">
        <v>78500</v>
      </c>
      <c r="J208" s="26">
        <f t="shared" si="174"/>
        <v>0</v>
      </c>
      <c r="K208" s="27">
        <f t="shared" si="175"/>
        <v>3.2326388888905058</v>
      </c>
      <c r="L208" s="27">
        <f>'[54]PAN ENERGEN'!$F$138</f>
        <v>2.100694444430701</v>
      </c>
      <c r="M208" s="434">
        <f t="shared" si="176"/>
        <v>24283.566057990003</v>
      </c>
      <c r="N208" s="434">
        <f t="shared" si="177"/>
        <v>37368.59504156679</v>
      </c>
      <c r="O208" s="434">
        <v>30000</v>
      </c>
      <c r="P208" s="69">
        <f>(132396/10000)*8.7</f>
        <v>115.18451999999999</v>
      </c>
      <c r="Q208" s="69">
        <f>(116827/10000)*8.7</f>
        <v>101.63949</v>
      </c>
      <c r="R208" s="69">
        <f t="shared" si="178"/>
        <v>13.545029999999997</v>
      </c>
      <c r="S208" s="435">
        <f t="shared" si="179"/>
        <v>0.19833121019108277</v>
      </c>
      <c r="T208" s="435">
        <f t="shared" si="180"/>
        <v>0.20299782690146118</v>
      </c>
      <c r="U208" s="435"/>
      <c r="V208" s="436"/>
      <c r="W208" s="437"/>
      <c r="X208" s="637">
        <v>13972.995999999999</v>
      </c>
      <c r="Y208" s="33">
        <f t="shared" si="181"/>
        <v>75646.909379310338</v>
      </c>
      <c r="Z208" s="638">
        <f t="shared" si="182"/>
        <v>1096880186</v>
      </c>
      <c r="AA208" s="33"/>
      <c r="AB208" s="438"/>
      <c r="AC208" s="33"/>
    </row>
    <row r="209" spans="1:29" x14ac:dyDescent="0.3">
      <c r="A209" s="174">
        <v>44456.972222222219</v>
      </c>
      <c r="B209" s="174">
        <v>44457.430555555555</v>
      </c>
      <c r="C209" s="23"/>
      <c r="D209" s="14"/>
      <c r="E209" s="35" t="s">
        <v>789</v>
      </c>
      <c r="F209" s="25" t="s">
        <v>328</v>
      </c>
      <c r="G209" s="433">
        <v>10585</v>
      </c>
      <c r="H209" s="433"/>
      <c r="I209" s="433">
        <v>11585</v>
      </c>
      <c r="J209" s="26">
        <f t="shared" si="174"/>
        <v>-1000</v>
      </c>
      <c r="K209" s="27">
        <f t="shared" si="175"/>
        <v>0.45833333333575865</v>
      </c>
      <c r="L209" s="27">
        <f>'[54]ANGGREK LAUT'!$F$50</f>
        <v>0.30902777778101154</v>
      </c>
      <c r="M209" s="434">
        <f t="shared" si="176"/>
        <v>23094.545454423249</v>
      </c>
      <c r="N209" s="434">
        <f t="shared" si="177"/>
        <v>34252.584269304491</v>
      </c>
      <c r="O209" s="434">
        <v>30000</v>
      </c>
      <c r="P209" s="69">
        <f>(113820/10000)*8.7</f>
        <v>99.023399999999995</v>
      </c>
      <c r="Q209" s="69">
        <f>(111232/10000)*8.7</f>
        <v>96.771839999999997</v>
      </c>
      <c r="R209" s="69">
        <f t="shared" si="178"/>
        <v>2.2515599999999978</v>
      </c>
      <c r="S209" s="435">
        <f t="shared" si="179"/>
        <v>0.24449692961738287</v>
      </c>
      <c r="T209" s="435">
        <f t="shared" si="180"/>
        <v>0.25024979854955653</v>
      </c>
      <c r="U209" s="435"/>
      <c r="V209" s="436"/>
      <c r="W209" s="437"/>
      <c r="X209" s="637">
        <v>13972.995999999999</v>
      </c>
      <c r="Y209" s="33">
        <f t="shared" si="181"/>
        <v>10200.28708</v>
      </c>
      <c r="Z209" s="638">
        <f t="shared" si="182"/>
        <v>147904162.66</v>
      </c>
      <c r="AA209" s="33"/>
      <c r="AB209" s="438"/>
      <c r="AC209" s="33"/>
    </row>
    <row r="210" spans="1:29" x14ac:dyDescent="0.3">
      <c r="A210" s="174">
        <v>44457.815972222219</v>
      </c>
      <c r="B210" s="174">
        <v>44459.319444444445</v>
      </c>
      <c r="C210" s="23"/>
      <c r="D210" s="14"/>
      <c r="E210" s="35" t="s">
        <v>790</v>
      </c>
      <c r="F210" s="25" t="s">
        <v>328</v>
      </c>
      <c r="G210" s="433">
        <v>42150</v>
      </c>
      <c r="H210" s="433"/>
      <c r="I210" s="433">
        <v>42150</v>
      </c>
      <c r="J210" s="26">
        <f t="shared" si="174"/>
        <v>0</v>
      </c>
      <c r="K210" s="27">
        <f t="shared" si="175"/>
        <v>1.5034722222262644</v>
      </c>
      <c r="L210" s="27">
        <f>'[54]NS XIAMEN'!$F$89</f>
        <v>1.0069444444416149</v>
      </c>
      <c r="M210" s="434">
        <f t="shared" si="176"/>
        <v>28035.103926021624</v>
      </c>
      <c r="N210" s="434">
        <f t="shared" si="177"/>
        <v>41859.31034494521</v>
      </c>
      <c r="O210" s="434">
        <v>30000</v>
      </c>
      <c r="P210" s="69">
        <f>(110820/10000)*8.7</f>
        <v>96.413399999999996</v>
      </c>
      <c r="Q210" s="69">
        <f>(103623/10000)*8.7</f>
        <v>90.15200999999999</v>
      </c>
      <c r="R210" s="69">
        <f t="shared" si="178"/>
        <v>6.2613900000000058</v>
      </c>
      <c r="S210" s="435">
        <f t="shared" si="179"/>
        <v>0.17074733096085423</v>
      </c>
      <c r="T210" s="435">
        <f t="shared" si="180"/>
        <v>0.1747649152187567</v>
      </c>
      <c r="U210" s="435"/>
      <c r="V210" s="436"/>
      <c r="W210" s="437"/>
      <c r="X210" s="637">
        <v>14003.687</v>
      </c>
      <c r="Y210" s="33">
        <f t="shared" si="181"/>
        <v>40707.269451724133</v>
      </c>
      <c r="Z210" s="638">
        <f t="shared" si="182"/>
        <v>590255407.04999995</v>
      </c>
      <c r="AA210" s="33"/>
      <c r="AB210" s="438"/>
      <c r="AC210" s="33"/>
    </row>
    <row r="211" spans="1:29" x14ac:dyDescent="0.3">
      <c r="A211" s="174">
        <v>44459.722222222219</v>
      </c>
      <c r="B211" s="174">
        <v>44462.194444444445</v>
      </c>
      <c r="C211" s="23"/>
      <c r="D211" s="14"/>
      <c r="E211" s="35" t="s">
        <v>791</v>
      </c>
      <c r="F211" s="25" t="s">
        <v>328</v>
      </c>
      <c r="G211" s="433">
        <v>60725</v>
      </c>
      <c r="H211" s="433"/>
      <c r="I211" s="433">
        <v>60725</v>
      </c>
      <c r="J211" s="26">
        <f t="shared" si="174"/>
        <v>0</v>
      </c>
      <c r="K211" s="27">
        <f t="shared" si="175"/>
        <v>2.4722222222262644</v>
      </c>
      <c r="L211" s="27">
        <f>[54]ATTALIA!$F$114</f>
        <v>1.1284722222250518</v>
      </c>
      <c r="M211" s="434">
        <f t="shared" si="176"/>
        <v>24562.921348274445</v>
      </c>
      <c r="N211" s="434">
        <f t="shared" si="177"/>
        <v>53811.69230755738</v>
      </c>
      <c r="O211" s="434">
        <v>30000</v>
      </c>
      <c r="P211" s="69">
        <f>(102583/10000)*8.7</f>
        <v>89.247209999999995</v>
      </c>
      <c r="Q211" s="69">
        <f>(93130/10000)*8.7</f>
        <v>81.023099999999999</v>
      </c>
      <c r="R211" s="69">
        <f t="shared" si="178"/>
        <v>8.224109999999996</v>
      </c>
      <c r="S211" s="435">
        <f t="shared" si="179"/>
        <v>0.15566899958830788</v>
      </c>
      <c r="T211" s="435">
        <f t="shared" si="180"/>
        <v>0.15933179957862098</v>
      </c>
      <c r="U211" s="435"/>
      <c r="V211" s="436"/>
      <c r="W211" s="437"/>
      <c r="X211" s="637">
        <v>14012.218999999999</v>
      </c>
      <c r="Y211" s="33">
        <f t="shared" si="181"/>
        <v>58682.206812068966</v>
      </c>
      <c r="Z211" s="638">
        <f t="shared" si="182"/>
        <v>850891998.77499998</v>
      </c>
      <c r="AA211" s="33"/>
      <c r="AB211" s="438"/>
      <c r="AC211" s="33"/>
    </row>
    <row r="212" spans="1:29" x14ac:dyDescent="0.3">
      <c r="A212" s="174">
        <v>44462.4375</v>
      </c>
      <c r="B212" s="174">
        <v>44463.684027777781</v>
      </c>
      <c r="C212" s="23"/>
      <c r="D212" s="14"/>
      <c r="E212" s="35" t="s">
        <v>71</v>
      </c>
      <c r="F212" s="25" t="s">
        <v>328</v>
      </c>
      <c r="G212" s="433">
        <v>48255</v>
      </c>
      <c r="H212" s="433"/>
      <c r="I212" s="433">
        <v>75200</v>
      </c>
      <c r="J212" s="26">
        <f t="shared" si="174"/>
        <v>-26945</v>
      </c>
      <c r="K212" s="27">
        <f>B212-A212</f>
        <v>1.2465277777810115</v>
      </c>
      <c r="L212" s="27">
        <f>'[54]CHANDRA KIRANA'!$F$82</f>
        <v>0.90451388887595385</v>
      </c>
      <c r="M212" s="434">
        <f t="shared" si="176"/>
        <v>38711.532033325755</v>
      </c>
      <c r="N212" s="434">
        <f t="shared" si="177"/>
        <v>53349.097889438548</v>
      </c>
      <c r="O212" s="434">
        <v>30000</v>
      </c>
      <c r="P212" s="69">
        <f>(91730/10000)*8.7</f>
        <v>79.805099999999996</v>
      </c>
      <c r="Q212" s="69">
        <f>(83910/10000)*8.7</f>
        <v>73.0017</v>
      </c>
      <c r="R212" s="69">
        <f t="shared" si="178"/>
        <v>6.8033999999999963</v>
      </c>
      <c r="S212" s="435">
        <f t="shared" si="179"/>
        <v>0.16205574551859905</v>
      </c>
      <c r="T212" s="435">
        <f t="shared" si="180"/>
        <v>0.16586882188374252</v>
      </c>
      <c r="U212" s="435"/>
      <c r="V212" s="436"/>
      <c r="W212" s="437"/>
      <c r="X212" s="637">
        <v>14001.981</v>
      </c>
      <c r="Y212" s="33">
        <f t="shared" si="181"/>
        <v>46597.627114137926</v>
      </c>
      <c r="Z212" s="638">
        <f t="shared" si="182"/>
        <v>675665593.15499997</v>
      </c>
      <c r="AA212" s="33"/>
      <c r="AB212" s="438"/>
      <c r="AC212" s="33"/>
    </row>
    <row r="213" spans="1:29" x14ac:dyDescent="0.3">
      <c r="A213" s="174">
        <v>44464.034722222219</v>
      </c>
      <c r="B213" s="174">
        <v>44466.479166666664</v>
      </c>
      <c r="C213" s="23"/>
      <c r="D213" s="14"/>
      <c r="E213" s="35" t="s">
        <v>792</v>
      </c>
      <c r="F213" s="25" t="s">
        <v>328</v>
      </c>
      <c r="G213" s="433">
        <v>79980</v>
      </c>
      <c r="H213" s="433"/>
      <c r="I213" s="433">
        <v>79980</v>
      </c>
      <c r="J213" s="26">
        <f t="shared" si="174"/>
        <v>0</v>
      </c>
      <c r="K213" s="27">
        <f>B213-A213</f>
        <v>2.4444444444452529</v>
      </c>
      <c r="L213" s="27">
        <f>'[54]MBA LIBERTY'!$F$125</f>
        <v>1.6458333333127182</v>
      </c>
      <c r="M213" s="434">
        <f t="shared" si="176"/>
        <v>32719.090909080089</v>
      </c>
      <c r="N213" s="434">
        <f t="shared" si="177"/>
        <v>48595.443038583377</v>
      </c>
      <c r="O213" s="434">
        <v>30000</v>
      </c>
      <c r="P213" s="69">
        <f>(82476/10000)*8.7</f>
        <v>71.75412</v>
      </c>
      <c r="Q213" s="69">
        <f>(69299/10000)*8.7</f>
        <v>60.290129999999998</v>
      </c>
      <c r="R213" s="69">
        <f t="shared" si="178"/>
        <v>11.463990000000003</v>
      </c>
      <c r="S213" s="435">
        <f t="shared" si="179"/>
        <v>0.16475368842210558</v>
      </c>
      <c r="T213" s="435">
        <f t="shared" si="180"/>
        <v>0.16863024579674332</v>
      </c>
      <c r="U213" s="435"/>
      <c r="V213" s="436"/>
      <c r="W213" s="32"/>
      <c r="X213" s="637">
        <v>14015.632</v>
      </c>
      <c r="Y213" s="33">
        <f t="shared" si="181"/>
        <v>77308.292921379296</v>
      </c>
      <c r="Z213" s="638">
        <f t="shared" si="182"/>
        <v>1120970247.3599999</v>
      </c>
      <c r="AA213" s="33"/>
      <c r="AB213" s="438"/>
      <c r="AC213" s="33"/>
    </row>
    <row r="214" spans="1:29" x14ac:dyDescent="0.3">
      <c r="A214" s="174">
        <v>44467.1875</v>
      </c>
      <c r="B214" s="174">
        <v>44469.0625</v>
      </c>
      <c r="C214" s="23"/>
      <c r="D214" s="14"/>
      <c r="E214" s="35" t="s">
        <v>793</v>
      </c>
      <c r="F214" s="36" t="s">
        <v>328</v>
      </c>
      <c r="G214" s="433">
        <v>54600</v>
      </c>
      <c r="H214" s="433"/>
      <c r="I214" s="433">
        <v>54600</v>
      </c>
      <c r="J214" s="26">
        <f t="shared" si="174"/>
        <v>0</v>
      </c>
      <c r="K214" s="27">
        <f>B214-A214</f>
        <v>1.875</v>
      </c>
      <c r="L214" s="27">
        <f>[54]THEMIS!$F$98</f>
        <v>1.2378472222432417</v>
      </c>
      <c r="M214" s="434">
        <f t="shared" si="176"/>
        <v>29120</v>
      </c>
      <c r="N214" s="434">
        <f t="shared" si="177"/>
        <v>44108.835903879335</v>
      </c>
      <c r="O214" s="434">
        <v>30000</v>
      </c>
      <c r="P214" s="69">
        <f>(66899/10000)*8.7</f>
        <v>58.20212999999999</v>
      </c>
      <c r="Q214" s="69">
        <f>(55571/10000)*8.7</f>
        <v>48.346769999999999</v>
      </c>
      <c r="R214" s="69">
        <f t="shared" si="178"/>
        <v>9.8553599999999904</v>
      </c>
      <c r="S214" s="435">
        <f t="shared" si="179"/>
        <v>0.20747252747252728</v>
      </c>
      <c r="T214" s="435">
        <f t="shared" si="180"/>
        <v>0.21235423400129261</v>
      </c>
      <c r="U214" s="435"/>
      <c r="V214" s="31"/>
      <c r="W214" s="32"/>
      <c r="X214" s="637">
        <v>14099.415999999999</v>
      </c>
      <c r="Y214" s="33">
        <f t="shared" si="181"/>
        <v>53091.594041379307</v>
      </c>
      <c r="Z214" s="638">
        <f t="shared" si="182"/>
        <v>769828113.5999999</v>
      </c>
      <c r="AA214" s="33"/>
      <c r="AB214" s="438"/>
      <c r="AC214" s="33"/>
    </row>
    <row r="215" spans="1:29" x14ac:dyDescent="0.3">
      <c r="A215" s="174">
        <v>44470.381944444445</v>
      </c>
      <c r="B215" s="174">
        <v>44471.333333333336</v>
      </c>
      <c r="C215" s="23"/>
      <c r="D215" s="14"/>
      <c r="E215" s="35" t="s">
        <v>794</v>
      </c>
      <c r="F215" s="36" t="s">
        <v>328</v>
      </c>
      <c r="G215" s="433">
        <v>15300</v>
      </c>
      <c r="H215" s="433"/>
      <c r="I215" s="433">
        <v>15300</v>
      </c>
      <c r="J215" s="26">
        <f t="shared" ref="J215:J223" si="183">G215-I215</f>
        <v>0</v>
      </c>
      <c r="K215" s="27">
        <f t="shared" ref="K215:K223" si="184">B215-A215</f>
        <v>0.95138888889050577</v>
      </c>
      <c r="L215" s="27">
        <f>'[55]ORIENT UNION'!$F$42</f>
        <v>0.3315972222299024</v>
      </c>
      <c r="M215" s="434">
        <f t="shared" ref="M215:M223" si="185">(G215)/K215</f>
        <v>16081.751824790188</v>
      </c>
      <c r="N215" s="434">
        <f t="shared" ref="N215:N223" si="186">(G215)/L215</f>
        <v>46140.314135056993</v>
      </c>
      <c r="O215" s="434">
        <v>30000</v>
      </c>
      <c r="P215" s="69">
        <f>(251246/10000)*8.7</f>
        <v>218.58401999999998</v>
      </c>
      <c r="Q215" s="69">
        <f>(247256/10000)*8.7</f>
        <v>215.11272</v>
      </c>
      <c r="R215" s="69">
        <f t="shared" ref="R215:R223" si="187">P215-Q215</f>
        <v>3.4712999999999852</v>
      </c>
      <c r="S215" s="435">
        <f t="shared" ref="S215:S223" si="188">R215/8.7*10000/(G215)</f>
        <v>0.2607843137254891</v>
      </c>
      <c r="T215" s="435">
        <f t="shared" ref="T215:T223" si="189">R215/8.5*10000/(G215)</f>
        <v>0.26692041522491233</v>
      </c>
      <c r="U215" s="435"/>
      <c r="V215" s="436"/>
      <c r="W215" s="32"/>
      <c r="X215" s="637">
        <v>14181.447</v>
      </c>
      <c r="Y215" s="33">
        <f t="shared" ref="Y215:Y223" si="190">Z215/14500</f>
        <v>14963.871662068965</v>
      </c>
      <c r="Z215" s="638">
        <f t="shared" ref="Z215:Z223" si="191">X215*G215</f>
        <v>216976139.09999999</v>
      </c>
      <c r="AA215" s="33"/>
      <c r="AB215" s="438"/>
      <c r="AC215" s="33"/>
    </row>
    <row r="216" spans="1:29" x14ac:dyDescent="0.3">
      <c r="A216" s="174">
        <v>44471.572916666664</v>
      </c>
      <c r="B216" s="174">
        <v>44474.0625</v>
      </c>
      <c r="C216" s="23"/>
      <c r="D216" s="14"/>
      <c r="E216" s="35" t="s">
        <v>795</v>
      </c>
      <c r="F216" s="36" t="s">
        <v>328</v>
      </c>
      <c r="G216" s="598">
        <v>57960</v>
      </c>
      <c r="H216" s="433"/>
      <c r="I216" s="433">
        <v>55050</v>
      </c>
      <c r="J216" s="26">
        <f t="shared" si="183"/>
        <v>2910</v>
      </c>
      <c r="K216" s="27">
        <f t="shared" si="184"/>
        <v>2.4895833333357587</v>
      </c>
      <c r="L216" s="27">
        <f>'[55]CAPE BOSS'!$F$110</f>
        <v>1.2013888888929312</v>
      </c>
      <c r="M216" s="434">
        <f t="shared" si="185"/>
        <v>23281.004184077738</v>
      </c>
      <c r="N216" s="434">
        <f t="shared" si="186"/>
        <v>48244.161849548655</v>
      </c>
      <c r="O216" s="434">
        <v>30000</v>
      </c>
      <c r="P216" s="69">
        <f>(246942/10000)*8.7</f>
        <v>214.83953999999997</v>
      </c>
      <c r="Q216" s="69">
        <f>(234520/10000)*8.7</f>
        <v>204.0324</v>
      </c>
      <c r="R216" s="69">
        <f t="shared" si="187"/>
        <v>10.807139999999976</v>
      </c>
      <c r="S216" s="435">
        <f t="shared" si="188"/>
        <v>0.21432022084195951</v>
      </c>
      <c r="T216" s="435">
        <f t="shared" si="189"/>
        <v>0.21936304956765268</v>
      </c>
      <c r="U216" s="435"/>
      <c r="V216" s="31"/>
      <c r="W216" s="32"/>
      <c r="X216" s="637">
        <v>14087.37</v>
      </c>
      <c r="Y216" s="33">
        <f t="shared" si="190"/>
        <v>56310.618289655176</v>
      </c>
      <c r="Z216" s="638">
        <f t="shared" si="191"/>
        <v>816503965.20000005</v>
      </c>
      <c r="AA216" s="33"/>
      <c r="AB216" s="438"/>
      <c r="AC216" s="33"/>
    </row>
    <row r="217" spans="1:29" x14ac:dyDescent="0.3">
      <c r="A217" s="174">
        <v>44475.173611111109</v>
      </c>
      <c r="B217" s="174">
        <v>44477.409722222219</v>
      </c>
      <c r="C217" s="23"/>
      <c r="D217" s="23"/>
      <c r="E217" s="35" t="s">
        <v>317</v>
      </c>
      <c r="F217" s="25" t="s">
        <v>328</v>
      </c>
      <c r="G217" s="433">
        <v>68000</v>
      </c>
      <c r="H217" s="433"/>
      <c r="I217" s="433">
        <v>68000</v>
      </c>
      <c r="J217" s="26">
        <f t="shared" si="183"/>
        <v>0</v>
      </c>
      <c r="K217" s="27">
        <f t="shared" si="184"/>
        <v>2.2361111111094942</v>
      </c>
      <c r="L217" s="27">
        <f>'[55]KARTINI SAMUDRA'!$F$108</f>
        <v>1.4201388888965691</v>
      </c>
      <c r="M217" s="434">
        <f t="shared" si="185"/>
        <v>30409.937888220746</v>
      </c>
      <c r="N217" s="434">
        <f t="shared" si="186"/>
        <v>47882.640586538109</v>
      </c>
      <c r="O217" s="434">
        <v>30000</v>
      </c>
      <c r="P217" s="69">
        <f>(229441/10000)*8.7</f>
        <v>199.61366999999998</v>
      </c>
      <c r="Q217" s="69">
        <f>(218032/10000)*8.7</f>
        <v>189.68783999999999</v>
      </c>
      <c r="R217" s="69">
        <f t="shared" si="187"/>
        <v>9.9258299999999906</v>
      </c>
      <c r="S217" s="435">
        <f t="shared" si="188"/>
        <v>0.16777941176470573</v>
      </c>
      <c r="T217" s="435">
        <f t="shared" si="189"/>
        <v>0.17172716262975762</v>
      </c>
      <c r="U217" s="69"/>
      <c r="V217" s="436"/>
      <c r="W217" s="437"/>
      <c r="X217" s="637">
        <v>14027.691999999999</v>
      </c>
      <c r="Y217" s="33">
        <f t="shared" si="190"/>
        <v>65785.038344827582</v>
      </c>
      <c r="Z217" s="638">
        <f t="shared" si="191"/>
        <v>953883055.99999988</v>
      </c>
      <c r="AA217" s="33"/>
      <c r="AB217" s="438"/>
      <c r="AC217" s="33"/>
    </row>
    <row r="218" spans="1:29" x14ac:dyDescent="0.3">
      <c r="A218" s="174">
        <v>44478.694444444445</v>
      </c>
      <c r="B218" s="174">
        <v>44481.875</v>
      </c>
      <c r="C218" s="23"/>
      <c r="D218" s="23"/>
      <c r="E218" s="35" t="s">
        <v>796</v>
      </c>
      <c r="F218" s="25" t="s">
        <v>328</v>
      </c>
      <c r="G218" s="433">
        <v>69700</v>
      </c>
      <c r="H218" s="433"/>
      <c r="I218" s="433">
        <v>70200</v>
      </c>
      <c r="J218" s="26">
        <f t="shared" si="183"/>
        <v>-500</v>
      </c>
      <c r="K218" s="27">
        <f t="shared" si="184"/>
        <v>3.1805555555547471</v>
      </c>
      <c r="L218" s="27">
        <f>'[55]HE YUAN'!$F$154</f>
        <v>1.4236111111264715</v>
      </c>
      <c r="M218" s="434">
        <f t="shared" si="185"/>
        <v>21914.410480354916</v>
      </c>
      <c r="N218" s="434">
        <f t="shared" si="186"/>
        <v>48959.999999471736</v>
      </c>
      <c r="O218" s="434">
        <v>30000</v>
      </c>
      <c r="P218" s="69">
        <f>(214998/10000)*8.7</f>
        <v>187.04826</v>
      </c>
      <c r="Q218" s="69">
        <f>(198520/10000)*8.7</f>
        <v>172.7124</v>
      </c>
      <c r="R218" s="69">
        <f t="shared" si="187"/>
        <v>14.335859999999997</v>
      </c>
      <c r="S218" s="435">
        <f t="shared" si="188"/>
        <v>0.23641319942611186</v>
      </c>
      <c r="T218" s="435">
        <f t="shared" si="189"/>
        <v>0.24197586294202036</v>
      </c>
      <c r="U218" s="435"/>
      <c r="V218" s="436"/>
      <c r="W218" s="437"/>
      <c r="X218" s="637">
        <v>14014.072</v>
      </c>
      <c r="Y218" s="33">
        <f t="shared" si="190"/>
        <v>67364.194372413796</v>
      </c>
      <c r="Z218" s="638">
        <f t="shared" si="191"/>
        <v>976780818.39999998</v>
      </c>
      <c r="AA218" s="33"/>
      <c r="AB218" s="438"/>
      <c r="AC218" s="33"/>
    </row>
    <row r="219" spans="1:29" x14ac:dyDescent="0.3">
      <c r="A219" s="174">
        <v>44482.166666666664</v>
      </c>
      <c r="B219" s="174">
        <v>44484.770833333336</v>
      </c>
      <c r="C219" s="23"/>
      <c r="D219" s="14"/>
      <c r="E219" s="35" t="s">
        <v>507</v>
      </c>
      <c r="F219" s="36" t="s">
        <v>328</v>
      </c>
      <c r="G219" s="433">
        <v>83250</v>
      </c>
      <c r="H219" s="433"/>
      <c r="I219" s="433">
        <v>83250</v>
      </c>
      <c r="J219" s="26">
        <f t="shared" si="183"/>
        <v>0</v>
      </c>
      <c r="K219" s="27">
        <f t="shared" si="184"/>
        <v>2.6041666666715173</v>
      </c>
      <c r="L219" s="27">
        <f>'[55]CEMTEX HUNTER'!$F$125</f>
        <v>1.7777777777834369</v>
      </c>
      <c r="M219" s="434">
        <f t="shared" si="185"/>
        <v>31967.999999940454</v>
      </c>
      <c r="N219" s="434">
        <f t="shared" si="186"/>
        <v>46828.12499985093</v>
      </c>
      <c r="O219" s="434">
        <v>30000</v>
      </c>
      <c r="P219" s="69">
        <f>(197816/10000)*8.7</f>
        <v>172.09992</v>
      </c>
      <c r="Q219" s="69">
        <f>(185031/10000)*8.7</f>
        <v>160.97696999999999</v>
      </c>
      <c r="R219" s="69">
        <f t="shared" si="187"/>
        <v>11.122950000000003</v>
      </c>
      <c r="S219" s="435">
        <f t="shared" si="188"/>
        <v>0.15357357357357362</v>
      </c>
      <c r="T219" s="435">
        <f t="shared" si="189"/>
        <v>0.1571870694223636</v>
      </c>
      <c r="U219" s="435"/>
      <c r="V219" s="31"/>
      <c r="W219" s="32"/>
      <c r="X219" s="639">
        <v>13933.732</v>
      </c>
      <c r="Y219" s="33">
        <f t="shared" si="190"/>
        <v>79998.840620689662</v>
      </c>
      <c r="Z219" s="638">
        <f t="shared" si="191"/>
        <v>1159983189</v>
      </c>
      <c r="AA219" s="33"/>
      <c r="AB219" s="438"/>
      <c r="AC219" s="33"/>
    </row>
    <row r="220" spans="1:29" x14ac:dyDescent="0.3">
      <c r="A220" s="174">
        <v>44491.875</v>
      </c>
      <c r="B220" s="174">
        <v>44494.041666666664</v>
      </c>
      <c r="C220" s="23"/>
      <c r="D220" s="14"/>
      <c r="E220" s="35" t="s">
        <v>797</v>
      </c>
      <c r="F220" s="36" t="s">
        <v>328</v>
      </c>
      <c r="G220" s="433">
        <v>51336</v>
      </c>
      <c r="H220" s="433"/>
      <c r="I220" s="433">
        <v>51336</v>
      </c>
      <c r="J220" s="26">
        <f t="shared" si="183"/>
        <v>0</v>
      </c>
      <c r="K220" s="27">
        <f t="shared" si="184"/>
        <v>2.1666666666642413</v>
      </c>
      <c r="L220" s="27">
        <f>'[56]SANTA REGINA'!$F$139</f>
        <v>1.0899305555782728</v>
      </c>
      <c r="M220" s="434">
        <f t="shared" si="185"/>
        <v>23693.538461564982</v>
      </c>
      <c r="N220" s="434">
        <f t="shared" si="186"/>
        <v>47100.248485797529</v>
      </c>
      <c r="O220" s="434">
        <v>30000</v>
      </c>
      <c r="P220" s="69">
        <f>(170779/10000)*8.7</f>
        <v>148.57772999999997</v>
      </c>
      <c r="Q220" s="69">
        <f>(158439/10000)*8.7</f>
        <v>137.84192999999999</v>
      </c>
      <c r="R220" s="69">
        <f t="shared" si="187"/>
        <v>10.735799999999983</v>
      </c>
      <c r="S220" s="435">
        <f t="shared" si="188"/>
        <v>0.24037712326632346</v>
      </c>
      <c r="T220" s="435">
        <f t="shared" si="189"/>
        <v>0.24603305557847222</v>
      </c>
      <c r="U220" s="435"/>
      <c r="V220" s="31"/>
      <c r="W220" s="32"/>
      <c r="X220" s="637">
        <v>14161.244000000001</v>
      </c>
      <c r="Y220" s="33">
        <f t="shared" si="190"/>
        <v>50136.663585103452</v>
      </c>
      <c r="Z220" s="638">
        <f t="shared" si="191"/>
        <v>726981621.98400009</v>
      </c>
      <c r="AA220" s="33"/>
      <c r="AB220" s="438"/>
      <c r="AC220" s="33"/>
    </row>
    <row r="221" spans="1:29" x14ac:dyDescent="0.3">
      <c r="A221" s="174">
        <v>44494.354166666664</v>
      </c>
      <c r="B221" s="174">
        <v>44495.423611111109</v>
      </c>
      <c r="C221" s="23"/>
      <c r="D221" s="14"/>
      <c r="E221" s="35" t="s">
        <v>798</v>
      </c>
      <c r="F221" s="36" t="s">
        <v>328</v>
      </c>
      <c r="G221" s="433">
        <v>30055</v>
      </c>
      <c r="H221" s="433"/>
      <c r="I221" s="433">
        <v>30055</v>
      </c>
      <c r="J221" s="26">
        <f t="shared" si="183"/>
        <v>0</v>
      </c>
      <c r="K221" s="27">
        <f t="shared" si="184"/>
        <v>1.0694444444452529</v>
      </c>
      <c r="L221" s="27">
        <f>'[56]SM DONGHAE'!$F$60</f>
        <v>0.83854166667151731</v>
      </c>
      <c r="M221" s="434">
        <f t="shared" si="185"/>
        <v>28103.37662335538</v>
      </c>
      <c r="N221" s="434">
        <f t="shared" si="186"/>
        <v>35841.987577432417</v>
      </c>
      <c r="O221" s="434">
        <v>30000</v>
      </c>
      <c r="P221" s="69">
        <f>(157591/10000)*8.7</f>
        <v>137.10416999999998</v>
      </c>
      <c r="Q221" s="69">
        <f>(151411/10000)*8.7</f>
        <v>131.72756999999999</v>
      </c>
      <c r="R221" s="69">
        <f t="shared" si="187"/>
        <v>5.3765999999999963</v>
      </c>
      <c r="S221" s="435">
        <f t="shared" si="188"/>
        <v>0.20562302445516542</v>
      </c>
      <c r="T221" s="435">
        <f t="shared" si="189"/>
        <v>0.21046121326587516</v>
      </c>
      <c r="U221" s="435"/>
      <c r="V221" s="31"/>
      <c r="W221" s="32"/>
      <c r="X221" s="637">
        <v>14130.7</v>
      </c>
      <c r="Y221" s="33">
        <f t="shared" si="190"/>
        <v>29289.530241379311</v>
      </c>
      <c r="Z221" s="638">
        <f t="shared" si="191"/>
        <v>424698188.5</v>
      </c>
      <c r="AA221" s="33"/>
      <c r="AB221" s="438"/>
      <c r="AC221" s="33"/>
    </row>
    <row r="222" spans="1:29" x14ac:dyDescent="0.3">
      <c r="A222" s="174">
        <v>44495.729166666664</v>
      </c>
      <c r="B222" s="174">
        <v>44497.326388888891</v>
      </c>
      <c r="C222" s="23"/>
      <c r="D222" s="23"/>
      <c r="E222" s="35" t="s">
        <v>799</v>
      </c>
      <c r="F222" s="25" t="s">
        <v>328</v>
      </c>
      <c r="G222" s="433">
        <v>45000</v>
      </c>
      <c r="H222" s="433"/>
      <c r="I222" s="433">
        <v>45000</v>
      </c>
      <c r="J222" s="26">
        <f t="shared" si="183"/>
        <v>0</v>
      </c>
      <c r="K222" s="27">
        <f t="shared" si="184"/>
        <v>1.5972222222262644</v>
      </c>
      <c r="L222" s="27">
        <f>'[56]SEA FUTURE'!$F$90</f>
        <v>1.0416666666921326</v>
      </c>
      <c r="M222" s="434">
        <f t="shared" si="185"/>
        <v>28173.913043406959</v>
      </c>
      <c r="N222" s="434">
        <f t="shared" si="186"/>
        <v>43199.99999894388</v>
      </c>
      <c r="O222" s="434">
        <v>30000</v>
      </c>
      <c r="P222" s="69">
        <f>(151305/10000)*8.7</f>
        <v>131.63534999999999</v>
      </c>
      <c r="Q222" s="69">
        <f>(141865/10000)*8.7</f>
        <v>123.42255</v>
      </c>
      <c r="R222" s="69">
        <f t="shared" si="187"/>
        <v>8.2127999999999872</v>
      </c>
      <c r="S222" s="435">
        <f t="shared" si="188"/>
        <v>0.20977777777777745</v>
      </c>
      <c r="T222" s="435">
        <f t="shared" si="189"/>
        <v>0.21471372549019574</v>
      </c>
      <c r="U222" s="69"/>
      <c r="V222" s="436"/>
      <c r="W222" s="437"/>
      <c r="X222" s="637">
        <v>14188.427</v>
      </c>
      <c r="Y222" s="33">
        <f t="shared" si="190"/>
        <v>44033.049310344824</v>
      </c>
      <c r="Z222" s="638">
        <f t="shared" si="191"/>
        <v>638479215</v>
      </c>
      <c r="AA222" s="33"/>
      <c r="AB222" s="438"/>
      <c r="AC222" s="33"/>
    </row>
    <row r="223" spans="1:29" x14ac:dyDescent="0.3">
      <c r="A223" s="174">
        <v>44497.854166666664</v>
      </c>
      <c r="B223" s="174">
        <v>44500.333333333336</v>
      </c>
      <c r="C223" s="23"/>
      <c r="D223" s="23"/>
      <c r="E223" s="35" t="s">
        <v>800</v>
      </c>
      <c r="F223" s="25" t="s">
        <v>328</v>
      </c>
      <c r="G223" s="433">
        <v>53510</v>
      </c>
      <c r="H223" s="433"/>
      <c r="I223" s="433">
        <v>53510</v>
      </c>
      <c r="J223" s="26">
        <f t="shared" si="183"/>
        <v>0</v>
      </c>
      <c r="K223" s="27">
        <f t="shared" si="184"/>
        <v>2.4791666666715173</v>
      </c>
      <c r="L223" s="27">
        <f>'[56]ORIENT PRIMA'!$F$94</f>
        <v>1.0902777778125408</v>
      </c>
      <c r="M223" s="434">
        <f t="shared" si="185"/>
        <v>21583.865546176257</v>
      </c>
      <c r="N223" s="434">
        <f t="shared" si="186"/>
        <v>49079.235667224944</v>
      </c>
      <c r="O223" s="434">
        <v>30000</v>
      </c>
      <c r="P223" s="69">
        <f>(140825/10000)*8.7</f>
        <v>122.51774999999999</v>
      </c>
      <c r="Q223" s="69">
        <f>(130278/10000)*8.7</f>
        <v>113.34185999999998</v>
      </c>
      <c r="R223" s="69">
        <f t="shared" si="187"/>
        <v>9.1758900000000096</v>
      </c>
      <c r="S223" s="435">
        <f t="shared" si="188"/>
        <v>0.1971033451691275</v>
      </c>
      <c r="T223" s="435">
        <f t="shared" si="189"/>
        <v>0.20174107093781285</v>
      </c>
      <c r="U223" s="435"/>
      <c r="V223" s="436"/>
      <c r="W223" s="437"/>
      <c r="X223" s="637">
        <v>14188.427</v>
      </c>
      <c r="Y223" s="33">
        <f t="shared" si="190"/>
        <v>52360.188191034482</v>
      </c>
      <c r="Z223" s="638">
        <f t="shared" si="191"/>
        <v>759222728.76999998</v>
      </c>
      <c r="AA223" s="33"/>
      <c r="AB223" s="438"/>
      <c r="AC223" s="33"/>
    </row>
    <row r="224" spans="1:29" x14ac:dyDescent="0.3">
      <c r="A224" s="174">
        <v>44500.666666666664</v>
      </c>
      <c r="B224" s="174">
        <v>44501.659722222219</v>
      </c>
      <c r="C224" s="23"/>
      <c r="D224" s="14"/>
      <c r="E224" s="35" t="s">
        <v>53</v>
      </c>
      <c r="F224" s="25" t="s">
        <v>328</v>
      </c>
      <c r="G224" s="433">
        <v>31142</v>
      </c>
      <c r="H224" s="433"/>
      <c r="I224" s="433">
        <v>31142</v>
      </c>
      <c r="J224" s="26">
        <f t="shared" ref="J224:J234" si="192">G224-I224</f>
        <v>0</v>
      </c>
      <c r="K224" s="27">
        <f t="shared" ref="K224:K234" si="193">B224-A224</f>
        <v>0.99305555555474712</v>
      </c>
      <c r="L224" s="27">
        <f>'[57]PANAMAX UNIVERSE'!$F$68</f>
        <v>0.71874999999272404</v>
      </c>
      <c r="M224" s="434">
        <f t="shared" ref="M224:M234" si="194">(G224)/K224</f>
        <v>31359.776223801753</v>
      </c>
      <c r="N224" s="434">
        <f t="shared" ref="N224:N234" si="195">(G224)/L224</f>
        <v>43328.000000438609</v>
      </c>
      <c r="O224" s="434">
        <v>30000</v>
      </c>
      <c r="P224" s="69">
        <f>(129758/10000)*8.7</f>
        <v>112.88945999999999</v>
      </c>
      <c r="Q224" s="69">
        <f>(124508/10000)*8.7</f>
        <v>108.32195999999999</v>
      </c>
      <c r="R224" s="69">
        <f t="shared" ref="R224:R234" si="196">P224-Q224</f>
        <v>4.5674999999999955</v>
      </c>
      <c r="S224" s="435">
        <f t="shared" ref="S224:S234" si="197">R224/8.7*10000/(G224)</f>
        <v>0.16858262154004222</v>
      </c>
      <c r="T224" s="435">
        <f t="shared" ref="T224:T234" si="198">R224/8.5*10000/(G224)</f>
        <v>0.17254927145863141</v>
      </c>
      <c r="U224" s="435"/>
      <c r="V224" s="436"/>
      <c r="W224" s="437"/>
      <c r="X224" s="639">
        <v>14363.573</v>
      </c>
      <c r="Y224" s="33">
        <f t="shared" ref="Y224:Y234" si="199">Z224/14500</f>
        <v>30848.992439034482</v>
      </c>
      <c r="Z224" s="638">
        <f t="shared" ref="Z224:Z234" si="200">X224*G224</f>
        <v>447310390.366</v>
      </c>
      <c r="AA224" s="33"/>
      <c r="AB224" s="438"/>
      <c r="AC224" s="33"/>
    </row>
    <row r="225" spans="1:29" x14ac:dyDescent="0.3">
      <c r="A225" s="174">
        <v>44502.125</v>
      </c>
      <c r="B225" s="174">
        <v>44502.649305555555</v>
      </c>
      <c r="C225" s="23"/>
      <c r="D225" s="14"/>
      <c r="E225" s="35" t="s">
        <v>102</v>
      </c>
      <c r="F225" s="25" t="s">
        <v>328</v>
      </c>
      <c r="G225" s="433">
        <v>15000</v>
      </c>
      <c r="H225" s="433"/>
      <c r="I225" s="433">
        <v>15000</v>
      </c>
      <c r="J225" s="26">
        <f t="shared" si="192"/>
        <v>0</v>
      </c>
      <c r="K225" s="27">
        <f t="shared" si="193"/>
        <v>0.52430555555474712</v>
      </c>
      <c r="L225" s="27">
        <f>'[57]SHAO SHAN 1'!$F$40</f>
        <v>0.27951388889050577</v>
      </c>
      <c r="M225" s="434">
        <f t="shared" si="194"/>
        <v>28609.27152322292</v>
      </c>
      <c r="N225" s="434">
        <f t="shared" si="195"/>
        <v>53664.5962729815</v>
      </c>
      <c r="O225" s="434">
        <v>30000</v>
      </c>
      <c r="P225" s="69">
        <f>(123678/10000)*8.7</f>
        <v>107.59985999999999</v>
      </c>
      <c r="Q225" s="69">
        <f>(120948/10000)*8.7</f>
        <v>105.22475999999999</v>
      </c>
      <c r="R225" s="69">
        <f t="shared" si="196"/>
        <v>2.3751000000000033</v>
      </c>
      <c r="S225" s="435">
        <f t="shared" si="197"/>
        <v>0.18200000000000027</v>
      </c>
      <c r="T225" s="435">
        <f t="shared" si="198"/>
        <v>0.1862823529411767</v>
      </c>
      <c r="U225" s="435"/>
      <c r="V225" s="436"/>
      <c r="W225" s="437"/>
      <c r="X225" s="637">
        <v>14407.923000000001</v>
      </c>
      <c r="Y225" s="33">
        <f t="shared" si="199"/>
        <v>14904.747931034482</v>
      </c>
      <c r="Z225" s="638">
        <f t="shared" si="200"/>
        <v>216118845</v>
      </c>
      <c r="AA225" s="33"/>
      <c r="AB225" s="438"/>
      <c r="AC225" s="33"/>
    </row>
    <row r="226" spans="1:29" x14ac:dyDescent="0.3">
      <c r="A226" s="174">
        <v>44502.868055555555</v>
      </c>
      <c r="B226" s="174">
        <v>44505.0625</v>
      </c>
      <c r="C226" s="23"/>
      <c r="D226" s="14"/>
      <c r="E226" s="35" t="s">
        <v>524</v>
      </c>
      <c r="F226" s="25" t="s">
        <v>328</v>
      </c>
      <c r="G226" s="433">
        <v>68000</v>
      </c>
      <c r="H226" s="433"/>
      <c r="I226" s="433">
        <v>68000</v>
      </c>
      <c r="J226" s="26">
        <f t="shared" si="192"/>
        <v>0</v>
      </c>
      <c r="K226" s="27">
        <f t="shared" si="193"/>
        <v>2.1944444444452529</v>
      </c>
      <c r="L226" s="27">
        <f>'[58]KARTINI SAMUDRA'!$F$108</f>
        <v>1.4131944444440403</v>
      </c>
      <c r="M226" s="434">
        <f t="shared" si="194"/>
        <v>30987.341772140484</v>
      </c>
      <c r="N226" s="434">
        <f t="shared" si="195"/>
        <v>48117.936117949881</v>
      </c>
      <c r="O226" s="434">
        <v>30000</v>
      </c>
      <c r="P226" s="69">
        <f>(119700/10000)*8.7</f>
        <v>104.139</v>
      </c>
      <c r="Q226" s="69">
        <f>(108613/10000)*8.7</f>
        <v>94.493309999999994</v>
      </c>
      <c r="R226" s="69">
        <f t="shared" si="196"/>
        <v>9.6456900000000019</v>
      </c>
      <c r="S226" s="435">
        <f t="shared" si="197"/>
        <v>0.16304411764705884</v>
      </c>
      <c r="T226" s="435">
        <f t="shared" si="198"/>
        <v>0.16688044982698963</v>
      </c>
      <c r="U226" s="435"/>
      <c r="V226" s="436"/>
      <c r="W226" s="437"/>
      <c r="X226" s="637">
        <v>14601.611999999999</v>
      </c>
      <c r="Y226" s="33">
        <f t="shared" si="199"/>
        <v>68476.525241379306</v>
      </c>
      <c r="Z226" s="638">
        <f t="shared" si="200"/>
        <v>992909616</v>
      </c>
      <c r="AA226" s="33"/>
      <c r="AB226" s="438"/>
      <c r="AC226" s="33"/>
    </row>
    <row r="227" spans="1:29" x14ac:dyDescent="0.3">
      <c r="A227" s="174">
        <v>44505.465277777781</v>
      </c>
      <c r="B227" s="174">
        <v>44506.090277777781</v>
      </c>
      <c r="C227" s="23"/>
      <c r="D227" s="14"/>
      <c r="E227" s="35" t="s">
        <v>324</v>
      </c>
      <c r="F227" s="25" t="s">
        <v>328</v>
      </c>
      <c r="G227" s="433">
        <v>15066</v>
      </c>
      <c r="H227" s="433"/>
      <c r="I227" s="433">
        <v>15066</v>
      </c>
      <c r="J227" s="26">
        <f t="shared" si="192"/>
        <v>0</v>
      </c>
      <c r="K227" s="27">
        <f t="shared" si="193"/>
        <v>0.625</v>
      </c>
      <c r="L227" s="27">
        <f>'[59]SHI DAI 8'!$F$42</f>
        <v>0.44791666667879326</v>
      </c>
      <c r="M227" s="434">
        <f t="shared" si="194"/>
        <v>24105.599999999999</v>
      </c>
      <c r="N227" s="434">
        <f t="shared" si="195"/>
        <v>33635.720929321928</v>
      </c>
      <c r="O227" s="434">
        <v>30000</v>
      </c>
      <c r="P227" s="69">
        <f>(108179/10000)*8.7</f>
        <v>94.115729999999985</v>
      </c>
      <c r="Q227" s="69">
        <f>(104504/10000)*8.7</f>
        <v>90.918479999999988</v>
      </c>
      <c r="R227" s="69">
        <f t="shared" si="196"/>
        <v>3.1972499999999968</v>
      </c>
      <c r="S227" s="435">
        <f t="shared" si="197"/>
        <v>0.24392672242134586</v>
      </c>
      <c r="T227" s="435">
        <f t="shared" si="198"/>
        <v>0.2496661747136128</v>
      </c>
      <c r="U227" s="435"/>
      <c r="V227" s="436"/>
      <c r="W227" s="437"/>
      <c r="X227" s="637">
        <v>14601.611999999999</v>
      </c>
      <c r="Y227" s="33">
        <f t="shared" si="199"/>
        <v>15171.578371862068</v>
      </c>
      <c r="Z227" s="638">
        <f t="shared" si="200"/>
        <v>219987886.39199999</v>
      </c>
      <c r="AA227" s="33"/>
      <c r="AB227" s="438"/>
      <c r="AC227" s="33"/>
    </row>
    <row r="228" spans="1:29" x14ac:dyDescent="0.3">
      <c r="A228" s="174">
        <v>44506.427083333336</v>
      </c>
      <c r="B228" s="174">
        <v>44507.694444444445</v>
      </c>
      <c r="C228" s="23"/>
      <c r="D228" s="14"/>
      <c r="E228" s="35" t="s">
        <v>546</v>
      </c>
      <c r="F228" s="25" t="s">
        <v>328</v>
      </c>
      <c r="G228" s="433">
        <v>40385</v>
      </c>
      <c r="H228" s="433"/>
      <c r="I228" s="433">
        <v>40385</v>
      </c>
      <c r="J228" s="26">
        <f t="shared" si="192"/>
        <v>0</v>
      </c>
      <c r="K228" s="27">
        <f t="shared" si="193"/>
        <v>1.2673611111094942</v>
      </c>
      <c r="L228" s="27">
        <f>'[59]JIN RUN'!$F$83</f>
        <v>0.92708333330665482</v>
      </c>
      <c r="M228" s="434">
        <f t="shared" si="194"/>
        <v>31865.424657574898</v>
      </c>
      <c r="N228" s="434">
        <f t="shared" si="195"/>
        <v>43561.348315860298</v>
      </c>
      <c r="O228" s="434">
        <v>30000</v>
      </c>
      <c r="P228" s="69">
        <f>(102350/10000)*8.7</f>
        <v>89.044499999999985</v>
      </c>
      <c r="Q228" s="69">
        <f>(94420/10000)*8.7</f>
        <v>82.145399999999995</v>
      </c>
      <c r="R228" s="69">
        <f t="shared" si="196"/>
        <v>6.89909999999999</v>
      </c>
      <c r="S228" s="435">
        <f t="shared" si="197"/>
        <v>0.19636003466633625</v>
      </c>
      <c r="T228" s="435">
        <f t="shared" si="198"/>
        <v>0.20098027077613237</v>
      </c>
      <c r="U228" s="435"/>
      <c r="V228" s="436"/>
      <c r="W228" s="437"/>
      <c r="X228" s="637">
        <v>14601.611999999999</v>
      </c>
      <c r="Y228" s="33">
        <f t="shared" si="199"/>
        <v>40668.006939310348</v>
      </c>
      <c r="Z228" s="638">
        <f t="shared" si="200"/>
        <v>589686100.62</v>
      </c>
      <c r="AA228" s="33"/>
      <c r="AB228" s="438"/>
      <c r="AC228" s="33"/>
    </row>
    <row r="229" spans="1:29" x14ac:dyDescent="0.3">
      <c r="A229" s="174">
        <v>44509.736111111109</v>
      </c>
      <c r="B229" s="174">
        <v>44512.291666666664</v>
      </c>
      <c r="C229" s="23"/>
      <c r="D229" s="14"/>
      <c r="E229" s="35" t="s">
        <v>801</v>
      </c>
      <c r="F229" s="25" t="s">
        <v>328</v>
      </c>
      <c r="G229" s="433">
        <v>85000</v>
      </c>
      <c r="H229" s="433"/>
      <c r="I229" s="433">
        <v>85000</v>
      </c>
      <c r="J229" s="26">
        <f t="shared" si="192"/>
        <v>0</v>
      </c>
      <c r="K229" s="27">
        <f t="shared" si="193"/>
        <v>2.5555555555547471</v>
      </c>
      <c r="L229" s="27">
        <f>[59]TRAMONTANA!$F$128</f>
        <v>1.6718750000315292</v>
      </c>
      <c r="M229" s="434">
        <f t="shared" si="194"/>
        <v>33260.869565227913</v>
      </c>
      <c r="N229" s="434">
        <f t="shared" si="195"/>
        <v>50841.121494368308</v>
      </c>
      <c r="O229" s="434">
        <v>30000</v>
      </c>
      <c r="P229" s="69">
        <f>(91099/10000)*8.7</f>
        <v>79.256129999999985</v>
      </c>
      <c r="Q229" s="69">
        <f>(77656/10000)*8.7</f>
        <v>67.560719999999989</v>
      </c>
      <c r="R229" s="69">
        <f t="shared" si="196"/>
        <v>11.695409999999995</v>
      </c>
      <c r="S229" s="435">
        <f t="shared" si="197"/>
        <v>0.15815294117647055</v>
      </c>
      <c r="T229" s="435">
        <f t="shared" si="198"/>
        <v>0.16187418685121102</v>
      </c>
      <c r="U229" s="435"/>
      <c r="V229" s="436"/>
      <c r="W229" s="437"/>
      <c r="X229" s="637">
        <v>14454.064</v>
      </c>
      <c r="Y229" s="33">
        <f t="shared" si="199"/>
        <v>84730.72</v>
      </c>
      <c r="Z229" s="638">
        <f t="shared" si="200"/>
        <v>1228595440</v>
      </c>
      <c r="AA229" s="33"/>
      <c r="AB229" s="438"/>
      <c r="AC229" s="33"/>
    </row>
    <row r="230" spans="1:29" x14ac:dyDescent="0.3">
      <c r="A230" s="174">
        <v>44514.222222222219</v>
      </c>
      <c r="B230" s="174">
        <v>44514.979166666664</v>
      </c>
      <c r="C230" s="23"/>
      <c r="D230" s="14"/>
      <c r="E230" s="35" t="s">
        <v>151</v>
      </c>
      <c r="F230" s="25" t="s">
        <v>328</v>
      </c>
      <c r="G230" s="433">
        <v>22366</v>
      </c>
      <c r="H230" s="433"/>
      <c r="I230" s="433">
        <v>22366</v>
      </c>
      <c r="J230" s="26">
        <f t="shared" si="192"/>
        <v>0</v>
      </c>
      <c r="K230" s="27">
        <f t="shared" si="193"/>
        <v>0.75694444444525288</v>
      </c>
      <c r="L230" s="27">
        <f>'[59]AGIOS NIKOLAOS 1'!$F$57</f>
        <v>0.53298611111191951</v>
      </c>
      <c r="M230" s="434">
        <f t="shared" si="194"/>
        <v>29547.743119234496</v>
      </c>
      <c r="N230" s="434">
        <f t="shared" si="195"/>
        <v>41963.57003250964</v>
      </c>
      <c r="O230" s="434">
        <v>30000</v>
      </c>
      <c r="P230" s="69">
        <f>(74094/10000)*8.7</f>
        <v>64.46177999999999</v>
      </c>
      <c r="Q230" s="69">
        <f>(68694/10000)*8.7</f>
        <v>59.76377999999999</v>
      </c>
      <c r="R230" s="69">
        <f t="shared" si="196"/>
        <v>4.6980000000000004</v>
      </c>
      <c r="S230" s="435">
        <f t="shared" si="197"/>
        <v>0.24143789680765448</v>
      </c>
      <c r="T230" s="435">
        <f t="shared" si="198"/>
        <v>0.24711878849724639</v>
      </c>
      <c r="U230" s="435"/>
      <c r="V230" s="436"/>
      <c r="W230" s="437"/>
      <c r="X230" s="637">
        <v>14377.210999999999</v>
      </c>
      <c r="Y230" s="33">
        <f t="shared" si="199"/>
        <v>22176.600084551726</v>
      </c>
      <c r="Z230" s="638">
        <f t="shared" si="200"/>
        <v>321560701.22600001</v>
      </c>
      <c r="AA230" s="33"/>
      <c r="AB230" s="438"/>
      <c r="AC230" s="33"/>
    </row>
    <row r="231" spans="1:29" x14ac:dyDescent="0.3">
      <c r="A231" s="174">
        <v>44515.229166666664</v>
      </c>
      <c r="B231" s="174">
        <v>44518.152777777781</v>
      </c>
      <c r="C231" s="23"/>
      <c r="D231" s="14"/>
      <c r="E231" s="35" t="s">
        <v>229</v>
      </c>
      <c r="F231" s="25" t="s">
        <v>32</v>
      </c>
      <c r="G231" s="433">
        <v>90100</v>
      </c>
      <c r="H231" s="433"/>
      <c r="I231" s="433">
        <v>90100</v>
      </c>
      <c r="J231" s="26">
        <f t="shared" si="192"/>
        <v>0</v>
      </c>
      <c r="K231" s="27">
        <f t="shared" si="193"/>
        <v>2.9236111111167702</v>
      </c>
      <c r="L231" s="27">
        <f>'[59]TAIPOWER PROSPERITY VII'!$F$146</f>
        <v>1.8298611111191956</v>
      </c>
      <c r="M231" s="434">
        <f t="shared" si="194"/>
        <v>30818.052256472412</v>
      </c>
      <c r="N231" s="434">
        <f t="shared" si="195"/>
        <v>49238.709677201812</v>
      </c>
      <c r="O231" s="434">
        <v>30000</v>
      </c>
      <c r="P231" s="69">
        <f>(68415/10000)*8.7</f>
        <v>59.521049999999995</v>
      </c>
      <c r="Q231" s="69">
        <f>(53300/10000)*8.7</f>
        <v>46.370999999999995</v>
      </c>
      <c r="R231" s="69">
        <f t="shared" si="196"/>
        <v>13.15005</v>
      </c>
      <c r="S231" s="435">
        <f t="shared" si="197"/>
        <v>0.16775804661487237</v>
      </c>
      <c r="T231" s="435">
        <f t="shared" si="198"/>
        <v>0.17170529477051644</v>
      </c>
      <c r="U231" s="435"/>
      <c r="V231" s="436"/>
      <c r="W231" s="437"/>
      <c r="X231" s="637">
        <v>14404.508</v>
      </c>
      <c r="Y231" s="33">
        <f t="shared" si="199"/>
        <v>89506.632468965516</v>
      </c>
      <c r="Z231" s="638">
        <f t="shared" si="200"/>
        <v>1297846170.8</v>
      </c>
      <c r="AA231" s="33"/>
      <c r="AB231" s="438"/>
      <c r="AC231" s="33"/>
    </row>
    <row r="232" spans="1:29" x14ac:dyDescent="0.3">
      <c r="A232" s="174">
        <v>44520.673611111109</v>
      </c>
      <c r="B232" s="174">
        <v>44522.090277777781</v>
      </c>
      <c r="C232" s="23"/>
      <c r="D232" s="14"/>
      <c r="E232" s="35" t="s">
        <v>802</v>
      </c>
      <c r="F232" s="25" t="s">
        <v>328</v>
      </c>
      <c r="G232" s="433">
        <v>11999</v>
      </c>
      <c r="H232" s="433"/>
      <c r="I232" s="433">
        <v>12000</v>
      </c>
      <c r="J232" s="26">
        <f t="shared" si="192"/>
        <v>-1</v>
      </c>
      <c r="K232" s="27">
        <f t="shared" si="193"/>
        <v>1.4166666666715173</v>
      </c>
      <c r="L232" s="27">
        <f>'[59]SEA HOPE'!$F$39</f>
        <v>0.375</v>
      </c>
      <c r="M232" s="434">
        <f t="shared" si="194"/>
        <v>8469.8823529121764</v>
      </c>
      <c r="N232" s="434">
        <f t="shared" si="195"/>
        <v>31997.333333333332</v>
      </c>
      <c r="O232" s="434">
        <v>30000</v>
      </c>
      <c r="P232" s="69">
        <f>(246577/10000)*8.7</f>
        <v>214.52198999999996</v>
      </c>
      <c r="Q232" s="69">
        <f>(242125/10000)*8.7</f>
        <v>210.64874999999998</v>
      </c>
      <c r="R232" s="69">
        <f t="shared" si="196"/>
        <v>3.8732399999999814</v>
      </c>
      <c r="S232" s="435">
        <f t="shared" si="197"/>
        <v>0.37103091924326853</v>
      </c>
      <c r="T232" s="435">
        <f t="shared" si="198"/>
        <v>0.37976105851958064</v>
      </c>
      <c r="U232" s="435"/>
      <c r="V232" s="436"/>
      <c r="W232" s="437"/>
      <c r="X232" s="637">
        <v>14397.681</v>
      </c>
      <c r="Y232" s="33">
        <f t="shared" si="199"/>
        <v>11914.32926337931</v>
      </c>
      <c r="Z232" s="638">
        <f t="shared" si="200"/>
        <v>172757774.31900001</v>
      </c>
      <c r="AA232" s="33"/>
      <c r="AB232" s="438"/>
      <c r="AC232" s="33"/>
    </row>
    <row r="233" spans="1:29" x14ac:dyDescent="0.3">
      <c r="A233" s="174">
        <v>44524.381944444445</v>
      </c>
      <c r="B233" s="174">
        <v>44526.708333333336</v>
      </c>
      <c r="C233" s="23"/>
      <c r="D233" s="14"/>
      <c r="E233" s="35" t="s">
        <v>250</v>
      </c>
      <c r="F233" s="25" t="s">
        <v>328</v>
      </c>
      <c r="G233" s="433">
        <v>72200</v>
      </c>
      <c r="H233" s="433"/>
      <c r="I233" s="433">
        <v>72200</v>
      </c>
      <c r="J233" s="26">
        <f t="shared" si="192"/>
        <v>0</v>
      </c>
      <c r="K233" s="27">
        <f t="shared" si="193"/>
        <v>2.3263888888905058</v>
      </c>
      <c r="L233" s="27">
        <f>[59]PEACE!$F$107</f>
        <v>1.5104166666569654</v>
      </c>
      <c r="M233" s="434">
        <f t="shared" si="194"/>
        <v>31035.223880575446</v>
      </c>
      <c r="N233" s="434">
        <f t="shared" si="195"/>
        <v>47801.37931065185</v>
      </c>
      <c r="O233" s="434">
        <v>30000</v>
      </c>
      <c r="P233" s="69">
        <f>(237231/10000)*8.7</f>
        <v>206.39096999999998</v>
      </c>
      <c r="Q233" s="69">
        <f>(225134/10000)*8.7</f>
        <v>195.86658</v>
      </c>
      <c r="R233" s="69">
        <f t="shared" si="196"/>
        <v>10.524389999999983</v>
      </c>
      <c r="S233" s="435">
        <f t="shared" si="197"/>
        <v>0.16754847645429335</v>
      </c>
      <c r="T233" s="435">
        <f t="shared" si="198"/>
        <v>0.17149079354733551</v>
      </c>
      <c r="U233" s="435"/>
      <c r="V233" s="436"/>
      <c r="W233" s="437"/>
      <c r="X233" s="637">
        <v>14440.383</v>
      </c>
      <c r="Y233" s="33">
        <f t="shared" si="199"/>
        <v>71903.148455172413</v>
      </c>
      <c r="Z233" s="638">
        <f t="shared" si="200"/>
        <v>1042595652.6</v>
      </c>
      <c r="AA233" s="33"/>
      <c r="AB233" s="438"/>
      <c r="AC233" s="33"/>
    </row>
    <row r="234" spans="1:29" x14ac:dyDescent="0.3">
      <c r="A234" s="174">
        <v>44527.364583333336</v>
      </c>
      <c r="B234" s="174">
        <v>44527.993055555555</v>
      </c>
      <c r="C234" s="23"/>
      <c r="D234" s="14"/>
      <c r="E234" s="35" t="s">
        <v>803</v>
      </c>
      <c r="F234" s="25" t="s">
        <v>328</v>
      </c>
      <c r="G234" s="433">
        <v>12679</v>
      </c>
      <c r="H234" s="433"/>
      <c r="I234" s="433">
        <v>15000</v>
      </c>
      <c r="J234" s="26">
        <f t="shared" si="192"/>
        <v>-2321</v>
      </c>
      <c r="K234" s="27">
        <f t="shared" si="193"/>
        <v>0.62847222221898846</v>
      </c>
      <c r="L234" s="27">
        <f>[59]KAMBANOS!$F$42</f>
        <v>0.52777777777737356</v>
      </c>
      <c r="M234" s="434">
        <f t="shared" si="194"/>
        <v>20174.320442092754</v>
      </c>
      <c r="N234" s="434">
        <f t="shared" si="195"/>
        <v>24023.368421071031</v>
      </c>
      <c r="O234" s="434">
        <v>30000</v>
      </c>
      <c r="P234" s="69">
        <f>(222860/10000)*8.7</f>
        <v>193.88819999999998</v>
      </c>
      <c r="Q234" s="69">
        <f>(219290/10000)*8.7</f>
        <v>190.78229999999996</v>
      </c>
      <c r="R234" s="69">
        <f t="shared" si="196"/>
        <v>3.1059000000000196</v>
      </c>
      <c r="S234" s="435">
        <f t="shared" si="197"/>
        <v>0.28156794699897647</v>
      </c>
      <c r="T234" s="435">
        <f t="shared" si="198"/>
        <v>0.28819307516365827</v>
      </c>
      <c r="U234" s="435"/>
      <c r="V234" s="436"/>
      <c r="W234" s="437"/>
      <c r="X234" s="637">
        <v>14440.383</v>
      </c>
      <c r="Y234" s="33">
        <f t="shared" si="199"/>
        <v>12626.870072896552</v>
      </c>
      <c r="Z234" s="638">
        <f t="shared" si="200"/>
        <v>183089616.05700001</v>
      </c>
      <c r="AA234" s="33"/>
      <c r="AB234" s="438"/>
      <c r="AC234" s="33"/>
    </row>
    <row r="235" spans="1:29" x14ac:dyDescent="0.3">
      <c r="A235" s="174">
        <v>44529.996527777781</v>
      </c>
      <c r="B235" s="174">
        <v>44531.958333333336</v>
      </c>
      <c r="C235" s="23"/>
      <c r="D235" s="14"/>
      <c r="E235" s="35" t="s">
        <v>294</v>
      </c>
      <c r="F235" s="25" t="s">
        <v>328</v>
      </c>
      <c r="G235" s="433">
        <v>68000</v>
      </c>
      <c r="H235" s="433"/>
      <c r="I235" s="433">
        <v>68000</v>
      </c>
      <c r="J235" s="26">
        <f t="shared" ref="J235:J244" si="201">G235-I235</f>
        <v>0</v>
      </c>
      <c r="K235" s="27">
        <f t="shared" ref="K235:K239" si="202">B235-A235</f>
        <v>1.9618055555547471</v>
      </c>
      <c r="L235" s="27">
        <f>'[60]KARTINI BARUNA'!$F$116</f>
        <v>1.2916666666666667</v>
      </c>
      <c r="M235" s="434">
        <f t="shared" ref="M235:M244" si="203">(G235)/K235</f>
        <v>34661.946902669151</v>
      </c>
      <c r="N235" s="434">
        <f t="shared" ref="N235:N242" si="204">(G235)/L235</f>
        <v>52645.161290322576</v>
      </c>
      <c r="O235" s="434">
        <v>30000</v>
      </c>
      <c r="P235" s="69">
        <f>(216113/10000)*8.7</f>
        <v>188.01830999999999</v>
      </c>
      <c r="Q235" s="69">
        <f>(205553/10000)*8.7</f>
        <v>178.83110999999997</v>
      </c>
      <c r="R235" s="69">
        <f t="shared" ref="R235:R244" si="205">P235-Q235</f>
        <v>9.1872000000000185</v>
      </c>
      <c r="S235" s="435">
        <f t="shared" ref="S235:S244" si="206">R235/8.7*10000/(G235)</f>
        <v>0.15529411764705914</v>
      </c>
      <c r="T235" s="435">
        <f t="shared" ref="T235:T244" si="207">R235/8.5*10000/(G235)</f>
        <v>0.15894809688581346</v>
      </c>
      <c r="U235" s="435"/>
      <c r="V235" s="436"/>
      <c r="W235" s="437"/>
      <c r="X235" s="637">
        <v>14486.087</v>
      </c>
      <c r="Y235" s="33">
        <f t="shared" ref="Y235:Y244" si="208">Z235/14500</f>
        <v>67934.752827586213</v>
      </c>
      <c r="Z235" s="638">
        <f t="shared" ref="Z235:Z244" si="209">X235*G235</f>
        <v>985053916</v>
      </c>
      <c r="AA235" s="33"/>
      <c r="AB235" s="438"/>
      <c r="AC235" s="33"/>
    </row>
    <row r="236" spans="1:29" x14ac:dyDescent="0.3">
      <c r="A236" s="174">
        <v>44533.611111111109</v>
      </c>
      <c r="B236" s="174">
        <v>44538.354166666664</v>
      </c>
      <c r="C236" s="23"/>
      <c r="D236" s="14"/>
      <c r="E236" s="35" t="s">
        <v>772</v>
      </c>
      <c r="F236" s="25" t="s">
        <v>328</v>
      </c>
      <c r="G236" s="433">
        <v>72950</v>
      </c>
      <c r="H236" s="433"/>
      <c r="I236" s="433">
        <v>73350</v>
      </c>
      <c r="J236" s="26">
        <f t="shared" si="201"/>
        <v>-400</v>
      </c>
      <c r="K236" s="27">
        <f t="shared" si="202"/>
        <v>4.7430555555547471</v>
      </c>
      <c r="L236" s="27">
        <f>'[60]CHAILEASE BLOSSOM'!$F$154</f>
        <v>1.5381944444585922</v>
      </c>
      <c r="M236" s="434">
        <f t="shared" si="203"/>
        <v>15380.38067350189</v>
      </c>
      <c r="N236" s="434">
        <f t="shared" si="204"/>
        <v>47425.733633875308</v>
      </c>
      <c r="O236" s="434">
        <v>30000</v>
      </c>
      <c r="P236" s="69">
        <f>(202005/10000)*8.7</f>
        <v>175.74435</v>
      </c>
      <c r="Q236" s="69">
        <f>(184425/10000)*8.7</f>
        <v>160.44974999999997</v>
      </c>
      <c r="R236" s="69">
        <f t="shared" si="205"/>
        <v>15.294600000000031</v>
      </c>
      <c r="S236" s="435">
        <f t="shared" si="206"/>
        <v>0.24098697738176883</v>
      </c>
      <c r="T236" s="435">
        <f t="shared" si="207"/>
        <v>0.2466572592025163</v>
      </c>
      <c r="U236" s="435"/>
      <c r="V236" s="436"/>
      <c r="W236" s="437"/>
      <c r="X236" s="639">
        <v>14637.415000000001</v>
      </c>
      <c r="Y236" s="33">
        <f t="shared" si="208"/>
        <v>73641.339603448287</v>
      </c>
      <c r="Z236" s="638">
        <f t="shared" si="209"/>
        <v>1067799424.2500001</v>
      </c>
      <c r="AA236" s="33"/>
      <c r="AB236" s="438"/>
      <c r="AC236" s="33"/>
    </row>
    <row r="237" spans="1:29" x14ac:dyDescent="0.3">
      <c r="A237" s="174">
        <v>44542.722222222219</v>
      </c>
      <c r="B237" s="174">
        <v>44545.0625</v>
      </c>
      <c r="C237" s="23"/>
      <c r="D237" s="14"/>
      <c r="E237" s="35" t="s">
        <v>804</v>
      </c>
      <c r="F237" s="25" t="s">
        <v>328</v>
      </c>
      <c r="G237" s="433">
        <v>77000</v>
      </c>
      <c r="H237" s="433"/>
      <c r="I237" s="433">
        <v>77000</v>
      </c>
      <c r="J237" s="26">
        <f t="shared" si="201"/>
        <v>0</v>
      </c>
      <c r="K237" s="27">
        <f t="shared" si="202"/>
        <v>2.3402777777810115</v>
      </c>
      <c r="L237" s="27">
        <f>'[60]SWEET LYDIA'!$F$122</f>
        <v>1.5972222222141379</v>
      </c>
      <c r="M237" s="434">
        <f t="shared" si="203"/>
        <v>32902.07715128985</v>
      </c>
      <c r="N237" s="434">
        <f t="shared" si="204"/>
        <v>48208.695652417919</v>
      </c>
      <c r="O237" s="434">
        <v>30000</v>
      </c>
      <c r="P237" s="69">
        <f>(176109/10000)*8.7</f>
        <v>153.21483000000001</v>
      </c>
      <c r="Q237" s="69">
        <f>(162719/10000)*8.7</f>
        <v>141.56552999999997</v>
      </c>
      <c r="R237" s="69">
        <f t="shared" si="205"/>
        <v>11.649300000000039</v>
      </c>
      <c r="S237" s="435">
        <f t="shared" si="206"/>
        <v>0.17389610389610449</v>
      </c>
      <c r="T237" s="435">
        <f t="shared" si="207"/>
        <v>0.17798777692895401</v>
      </c>
      <c r="U237" s="435"/>
      <c r="V237" s="436"/>
      <c r="W237" s="437"/>
      <c r="X237" s="639">
        <v>14534.137000000001</v>
      </c>
      <c r="Y237" s="33">
        <f t="shared" si="208"/>
        <v>77181.279241379307</v>
      </c>
      <c r="Z237" s="638">
        <f t="shared" si="209"/>
        <v>1119128549</v>
      </c>
      <c r="AA237" s="33"/>
      <c r="AB237" s="438"/>
      <c r="AC237" s="33"/>
    </row>
    <row r="238" spans="1:29" x14ac:dyDescent="0.3">
      <c r="A238" s="174">
        <v>44545.815972222219</v>
      </c>
      <c r="B238" s="174">
        <v>44548.090277777781</v>
      </c>
      <c r="C238" s="23"/>
      <c r="D238" s="14"/>
      <c r="E238" s="35" t="s">
        <v>431</v>
      </c>
      <c r="F238" s="25" t="s">
        <v>328</v>
      </c>
      <c r="G238" s="433">
        <v>75102</v>
      </c>
      <c r="H238" s="433"/>
      <c r="I238" s="433">
        <v>75712</v>
      </c>
      <c r="J238" s="26">
        <f t="shared" si="201"/>
        <v>-610</v>
      </c>
      <c r="K238" s="27">
        <f t="shared" si="202"/>
        <v>2.2743055555620231</v>
      </c>
      <c r="L238" s="27">
        <f>'[60]HUAYANG DREAM'!$F$125</f>
        <v>1.4079861111264715</v>
      </c>
      <c r="M238" s="434">
        <f t="shared" si="203"/>
        <v>33021.948091509148</v>
      </c>
      <c r="N238" s="434">
        <f t="shared" si="204"/>
        <v>53340.014795965559</v>
      </c>
      <c r="O238" s="434">
        <v>30000</v>
      </c>
      <c r="P238" s="69">
        <f>(160556/10000)*8.7</f>
        <v>139.68371999999997</v>
      </c>
      <c r="Q238" s="69">
        <f>(148010/10000)*8.7</f>
        <v>128.7687</v>
      </c>
      <c r="R238" s="69">
        <f t="shared" si="205"/>
        <v>10.91501999999997</v>
      </c>
      <c r="S238" s="435">
        <f t="shared" si="206"/>
        <v>0.16705280818087356</v>
      </c>
      <c r="T238" s="435">
        <f t="shared" si="207"/>
        <v>0.17098346249101176</v>
      </c>
      <c r="U238" s="435"/>
      <c r="V238" s="436"/>
      <c r="W238" s="437"/>
      <c r="X238" s="637"/>
      <c r="Y238" s="33">
        <f t="shared" si="208"/>
        <v>0</v>
      </c>
      <c r="Z238" s="638">
        <f t="shared" si="209"/>
        <v>0</v>
      </c>
      <c r="AA238" s="33"/>
      <c r="AB238" s="438"/>
      <c r="AC238" s="33"/>
    </row>
    <row r="239" spans="1:29" x14ac:dyDescent="0.3">
      <c r="A239" s="174">
        <v>44548.510416666664</v>
      </c>
      <c r="B239" s="174">
        <v>44549.78125</v>
      </c>
      <c r="C239" s="23"/>
      <c r="D239" s="14"/>
      <c r="E239" s="35" t="s">
        <v>805</v>
      </c>
      <c r="F239" s="25" t="s">
        <v>328</v>
      </c>
      <c r="G239" s="433">
        <v>23959</v>
      </c>
      <c r="H239" s="433"/>
      <c r="I239" s="433">
        <v>30000</v>
      </c>
      <c r="J239" s="26">
        <f t="shared" si="201"/>
        <v>-6041</v>
      </c>
      <c r="K239" s="27">
        <f t="shared" si="202"/>
        <v>1.2708333333357587</v>
      </c>
      <c r="L239" s="27">
        <f>'[60]PRABHU YUVIKA'!$F$74</f>
        <v>0.52951388887959183</v>
      </c>
      <c r="M239" s="434">
        <f t="shared" si="203"/>
        <v>18852.983606521397</v>
      </c>
      <c r="N239" s="434">
        <f t="shared" si="204"/>
        <v>45247.160656532142</v>
      </c>
      <c r="O239" s="434">
        <v>30000</v>
      </c>
      <c r="P239" s="69">
        <f>(147328/10000)*8.7</f>
        <v>128.17535999999998</v>
      </c>
      <c r="Q239" s="69">
        <f>(140608/10000)*8.7</f>
        <v>122.32896</v>
      </c>
      <c r="R239" s="69">
        <f t="shared" si="205"/>
        <v>5.8463999999999885</v>
      </c>
      <c r="S239" s="435">
        <f t="shared" si="206"/>
        <v>0.28047915188446876</v>
      </c>
      <c r="T239" s="435">
        <f t="shared" si="207"/>
        <v>0.28707866134057392</v>
      </c>
      <c r="U239" s="435"/>
      <c r="V239" s="436"/>
      <c r="W239" s="437"/>
      <c r="X239" s="637"/>
      <c r="Y239" s="33">
        <f t="shared" si="208"/>
        <v>0</v>
      </c>
      <c r="Z239" s="638">
        <f t="shared" si="209"/>
        <v>0</v>
      </c>
      <c r="AA239" s="33"/>
      <c r="AB239" s="438"/>
      <c r="AC239" s="33"/>
    </row>
    <row r="240" spans="1:29" x14ac:dyDescent="0.3">
      <c r="A240" s="174">
        <v>44550.097222222219</v>
      </c>
      <c r="B240" s="174">
        <v>44552.506944444445</v>
      </c>
      <c r="C240" s="23"/>
      <c r="D240" s="14"/>
      <c r="E240" s="35" t="s">
        <v>806</v>
      </c>
      <c r="F240" s="36" t="s">
        <v>328</v>
      </c>
      <c r="G240" s="433">
        <v>72650</v>
      </c>
      <c r="H240" s="433"/>
      <c r="I240" s="433">
        <v>72650</v>
      </c>
      <c r="J240" s="26">
        <f t="shared" si="201"/>
        <v>0</v>
      </c>
      <c r="K240" s="27">
        <f t="shared" ref="K240:K246" si="210">B240-A240</f>
        <v>2.4097222222262644</v>
      </c>
      <c r="L240" s="27">
        <f>'[60]FORTUNE SUN'!$F$125</f>
        <v>1.5243055555498966</v>
      </c>
      <c r="M240" s="434">
        <f t="shared" si="203"/>
        <v>30148.703169978246</v>
      </c>
      <c r="N240" s="434">
        <f t="shared" si="204"/>
        <v>47661.047836167832</v>
      </c>
      <c r="O240" s="434">
        <v>30000</v>
      </c>
      <c r="P240" s="69">
        <f>(139219/10000)*8.7</f>
        <v>121.12053</v>
      </c>
      <c r="Q240" s="69">
        <f>(127039/10000)*8.7</f>
        <v>110.52392999999999</v>
      </c>
      <c r="R240" s="69">
        <f t="shared" si="205"/>
        <v>10.596600000000009</v>
      </c>
      <c r="S240" s="435">
        <f t="shared" si="206"/>
        <v>0.16765313145216809</v>
      </c>
      <c r="T240" s="435">
        <f t="shared" si="207"/>
        <v>0.17159791101574851</v>
      </c>
      <c r="U240" s="435"/>
      <c r="V240" s="31"/>
      <c r="W240" s="32"/>
      <c r="X240" s="637"/>
      <c r="Y240" s="33">
        <f t="shared" si="208"/>
        <v>0</v>
      </c>
      <c r="Z240" s="638">
        <f t="shared" si="209"/>
        <v>0</v>
      </c>
      <c r="AA240" s="33"/>
      <c r="AB240" s="438"/>
      <c r="AC240" s="33"/>
    </row>
    <row r="241" spans="1:29" x14ac:dyDescent="0.3">
      <c r="A241" s="174">
        <v>44552.756944444445</v>
      </c>
      <c r="B241" s="174">
        <v>44555.25</v>
      </c>
      <c r="C241" s="23"/>
      <c r="D241" s="14"/>
      <c r="E241" s="35" t="s">
        <v>807</v>
      </c>
      <c r="F241" s="36" t="s">
        <v>328</v>
      </c>
      <c r="G241" s="433">
        <v>72000</v>
      </c>
      <c r="H241" s="433"/>
      <c r="I241" s="433">
        <v>72000</v>
      </c>
      <c r="J241" s="26">
        <f t="shared" si="201"/>
        <v>0</v>
      </c>
      <c r="K241" s="27">
        <f t="shared" si="210"/>
        <v>2.4930555555547471</v>
      </c>
      <c r="L241" s="27">
        <f>'[60]INDIAN GOODWILL'!$F$135</f>
        <v>1.4548611111046437</v>
      </c>
      <c r="M241" s="434">
        <f t="shared" si="203"/>
        <v>28880.22284123499</v>
      </c>
      <c r="N241" s="434">
        <f t="shared" si="204"/>
        <v>49489.260143418091</v>
      </c>
      <c r="O241" s="434">
        <v>30000</v>
      </c>
      <c r="P241" s="69">
        <f>(127027/10000)*8.7</f>
        <v>110.51348999999999</v>
      </c>
      <c r="Q241" s="69">
        <f>(113907/10000)*8.7</f>
        <v>99.099090000000004</v>
      </c>
      <c r="R241" s="69">
        <f t="shared" si="205"/>
        <v>11.414399999999986</v>
      </c>
      <c r="S241" s="435">
        <f t="shared" si="206"/>
        <v>0.18222222222222201</v>
      </c>
      <c r="T241" s="435">
        <f t="shared" si="207"/>
        <v>0.18650980392156838</v>
      </c>
      <c r="U241" s="435"/>
      <c r="V241" s="31"/>
      <c r="W241" s="32"/>
      <c r="X241" s="637"/>
      <c r="Y241" s="33">
        <f t="shared" si="208"/>
        <v>0</v>
      </c>
      <c r="Z241" s="638">
        <f t="shared" si="209"/>
        <v>0</v>
      </c>
      <c r="AA241" s="33"/>
      <c r="AB241" s="438"/>
      <c r="AC241" s="33"/>
    </row>
    <row r="242" spans="1:29" x14ac:dyDescent="0.3">
      <c r="A242" s="174">
        <v>44555.583333333336</v>
      </c>
      <c r="B242" s="174">
        <v>44558.291666666664</v>
      </c>
      <c r="C242" s="23"/>
      <c r="D242" s="14"/>
      <c r="E242" s="35" t="s">
        <v>808</v>
      </c>
      <c r="F242" s="36" t="s">
        <v>328</v>
      </c>
      <c r="G242" s="433">
        <v>65280</v>
      </c>
      <c r="H242" s="433"/>
      <c r="I242" s="433">
        <v>72780</v>
      </c>
      <c r="J242" s="26">
        <f t="shared" si="201"/>
        <v>-7500</v>
      </c>
      <c r="K242" s="27">
        <f t="shared" si="210"/>
        <v>2.7083333333284827</v>
      </c>
      <c r="L242" s="27">
        <f>'[60]GU IMABARI'!$F$135</f>
        <v>1.2534722222250518</v>
      </c>
      <c r="M242" s="434">
        <f t="shared" si="203"/>
        <v>24103.384615427785</v>
      </c>
      <c r="N242" s="434">
        <f t="shared" si="204"/>
        <v>52079.335179937836</v>
      </c>
      <c r="O242" s="434">
        <v>30000</v>
      </c>
      <c r="P242" s="69">
        <f>(113473/10000)*8.7</f>
        <v>98.721509999999995</v>
      </c>
      <c r="Q242" s="69">
        <f>(99648/10000)*8.7</f>
        <v>86.693759999999997</v>
      </c>
      <c r="R242" s="69">
        <f t="shared" si="205"/>
        <v>12.027749999999997</v>
      </c>
      <c r="S242" s="435">
        <f t="shared" si="206"/>
        <v>0.2117800245098039</v>
      </c>
      <c r="T242" s="435">
        <f t="shared" si="207"/>
        <v>0.21676308391003454</v>
      </c>
      <c r="U242" s="435"/>
      <c r="V242" s="31"/>
      <c r="W242" s="32"/>
      <c r="X242" s="637"/>
      <c r="Y242" s="33">
        <f t="shared" si="208"/>
        <v>0</v>
      </c>
      <c r="Z242" s="638">
        <f t="shared" si="209"/>
        <v>0</v>
      </c>
      <c r="AA242" s="33"/>
      <c r="AB242" s="438"/>
      <c r="AC242" s="33"/>
    </row>
    <row r="243" spans="1:29" x14ac:dyDescent="0.3">
      <c r="A243" s="174">
        <v>44558.902777777781</v>
      </c>
      <c r="B243" s="174">
        <v>44560.333333333336</v>
      </c>
      <c r="C243" s="23"/>
      <c r="D243" s="14"/>
      <c r="E243" s="35" t="s">
        <v>809</v>
      </c>
      <c r="F243" s="36" t="s">
        <v>328</v>
      </c>
      <c r="G243" s="433">
        <v>34501</v>
      </c>
      <c r="H243" s="433"/>
      <c r="I243" s="433">
        <v>30000</v>
      </c>
      <c r="J243" s="26">
        <f t="shared" si="201"/>
        <v>4501</v>
      </c>
      <c r="K243" s="27">
        <f t="shared" si="210"/>
        <v>1.4305555555547471</v>
      </c>
      <c r="L243" s="27">
        <f>[60]BARCARENA!$F$81</f>
        <v>0.72222222221049981</v>
      </c>
      <c r="M243" s="434">
        <f t="shared" si="203"/>
        <v>24117.203883508773</v>
      </c>
      <c r="N243" s="434">
        <f>(G243)/L243</f>
        <v>47770.615385390753</v>
      </c>
      <c r="O243" s="434">
        <v>30000</v>
      </c>
      <c r="P243" s="69">
        <f>(98608/10000)*8.7</f>
        <v>85.788959999999989</v>
      </c>
      <c r="Q243" s="69">
        <f>(91874/10000)*8.7</f>
        <v>79.93038</v>
      </c>
      <c r="R243" s="69">
        <f t="shared" si="205"/>
        <v>5.8585799999999892</v>
      </c>
      <c r="S243" s="435">
        <f t="shared" si="206"/>
        <v>0.19518274832613514</v>
      </c>
      <c r="T243" s="435">
        <f t="shared" si="207"/>
        <v>0.19977528358086769</v>
      </c>
      <c r="U243" s="435"/>
      <c r="V243" s="31"/>
      <c r="W243" s="32"/>
      <c r="X243" s="637"/>
      <c r="Y243" s="33"/>
      <c r="Z243" s="638"/>
      <c r="AA243" s="33"/>
      <c r="AB243" s="438"/>
      <c r="AC243" s="33"/>
    </row>
    <row r="244" spans="1:29" x14ac:dyDescent="0.3">
      <c r="A244" s="174">
        <v>44560.5625</v>
      </c>
      <c r="B244" s="174">
        <v>44561.399305555555</v>
      </c>
      <c r="C244" s="23"/>
      <c r="D244" s="14"/>
      <c r="E244" s="35" t="s">
        <v>102</v>
      </c>
      <c r="F244" s="36" t="s">
        <v>328</v>
      </c>
      <c r="G244" s="433">
        <v>12635</v>
      </c>
      <c r="H244" s="433"/>
      <c r="I244" s="433">
        <v>64000</v>
      </c>
      <c r="J244" s="26">
        <f t="shared" si="201"/>
        <v>-51365</v>
      </c>
      <c r="K244" s="27">
        <f t="shared" si="210"/>
        <v>0.83680555555474712</v>
      </c>
      <c r="L244" s="27">
        <f>'[60]SHAO SHAN 1'!$F$50</f>
        <v>0.42013888889778173</v>
      </c>
      <c r="M244" s="434">
        <f t="shared" si="203"/>
        <v>15099.087136944048</v>
      </c>
      <c r="N244" s="434">
        <f t="shared" ref="N244" si="211">(G244)/L244</f>
        <v>30073.388429115519</v>
      </c>
      <c r="O244" s="434">
        <v>30000</v>
      </c>
      <c r="P244" s="69">
        <f>(91626/10000)*8.7</f>
        <v>79.714619999999982</v>
      </c>
      <c r="Q244" s="69">
        <f>(87216/10000)*8.7</f>
        <v>75.877920000000003</v>
      </c>
      <c r="R244" s="69">
        <f t="shared" si="205"/>
        <v>3.8366999999999791</v>
      </c>
      <c r="S244" s="435">
        <f t="shared" si="206"/>
        <v>0.34903047091412553</v>
      </c>
      <c r="T244" s="435">
        <f t="shared" si="207"/>
        <v>0.35724295258269317</v>
      </c>
      <c r="U244" s="435"/>
      <c r="V244" s="31"/>
      <c r="W244" s="32"/>
      <c r="X244" s="637"/>
      <c r="Y244" s="33">
        <f t="shared" si="208"/>
        <v>0</v>
      </c>
      <c r="Z244" s="638">
        <f t="shared" si="209"/>
        <v>0</v>
      </c>
      <c r="AA244" s="33"/>
      <c r="AB244" s="438"/>
      <c r="AC244" s="33"/>
    </row>
    <row r="245" spans="1:29" x14ac:dyDescent="0.3">
      <c r="A245" s="689">
        <v>44578.666666666664</v>
      </c>
      <c r="B245" s="689">
        <v>44582.243055555555</v>
      </c>
      <c r="C245" s="23"/>
      <c r="D245" s="14"/>
      <c r="E245" s="35" t="s">
        <v>71</v>
      </c>
      <c r="F245" s="36" t="s">
        <v>328</v>
      </c>
      <c r="G245" s="433">
        <v>67000</v>
      </c>
      <c r="H245" s="548" t="s">
        <v>991</v>
      </c>
      <c r="I245" s="433">
        <v>67000</v>
      </c>
      <c r="J245" s="26">
        <f>G245-I245</f>
        <v>0</v>
      </c>
      <c r="K245" s="27">
        <f t="shared" si="210"/>
        <v>3.5763888888905058</v>
      </c>
      <c r="L245" s="27">
        <f>'[61]CHANDRA KIRANA'!$F$118</f>
        <v>1.3993055555717244</v>
      </c>
      <c r="M245" s="567">
        <f>(G245)/K245</f>
        <v>18733.980582515804</v>
      </c>
      <c r="N245" s="434">
        <f>(G245)/L245</f>
        <v>47880.893299694879</v>
      </c>
      <c r="O245" s="434">
        <v>30000</v>
      </c>
      <c r="P245" s="648">
        <f>255446</f>
        <v>255446</v>
      </c>
      <c r="Q245" s="648">
        <v>240912</v>
      </c>
      <c r="R245" s="648">
        <f t="shared" ref="R245:R246" si="212">P245-Q245</f>
        <v>14534</v>
      </c>
      <c r="S245" s="435">
        <f>R245/(G245)</f>
        <v>0.21692537313432836</v>
      </c>
      <c r="T245" s="435">
        <f>R245/(G245)</f>
        <v>0.21692537313432836</v>
      </c>
      <c r="U245" s="435"/>
      <c r="V245" s="436"/>
      <c r="W245" s="32"/>
      <c r="X245" s="637"/>
      <c r="Y245" s="33"/>
      <c r="Z245" s="638">
        <v>1029711157.1955984</v>
      </c>
      <c r="AA245" s="638"/>
      <c r="AB245" s="438"/>
      <c r="AC245" s="33"/>
    </row>
    <row r="246" spans="1:29" x14ac:dyDescent="0.3">
      <c r="A246" s="689">
        <v>44589.010416666664</v>
      </c>
      <c r="B246" s="689">
        <v>44591.756944444445</v>
      </c>
      <c r="C246" s="23"/>
      <c r="D246" s="14"/>
      <c r="E246" s="35" t="s">
        <v>165</v>
      </c>
      <c r="F246" s="36" t="s">
        <v>328</v>
      </c>
      <c r="G246" s="433">
        <v>67744</v>
      </c>
      <c r="H246" s="548" t="s">
        <v>992</v>
      </c>
      <c r="I246" s="433">
        <v>68000</v>
      </c>
      <c r="J246" s="26">
        <f>G246-I246</f>
        <v>-256</v>
      </c>
      <c r="K246" s="27">
        <f t="shared" si="210"/>
        <v>2.7465277777810115</v>
      </c>
      <c r="L246" s="27">
        <f>'[61]CHANG SHENG'!$F$121</f>
        <v>1.873263888914759</v>
      </c>
      <c r="M246" s="567">
        <f>(G246)/K246</f>
        <v>24665.32490515427</v>
      </c>
      <c r="N246" s="462">
        <f>(G246)/L246</f>
        <v>36163.618164468135</v>
      </c>
      <c r="O246" s="434">
        <v>30000</v>
      </c>
      <c r="P246" s="648">
        <v>228981</v>
      </c>
      <c r="Q246" s="648">
        <v>215906</v>
      </c>
      <c r="R246" s="648">
        <f t="shared" si="212"/>
        <v>13075</v>
      </c>
      <c r="S246" s="435">
        <f>R246/(G246)</f>
        <v>0.19300602267359471</v>
      </c>
      <c r="T246" s="435">
        <f>R246/(G246)</f>
        <v>0.19300602267359471</v>
      </c>
      <c r="U246" s="435"/>
      <c r="V246" s="436"/>
      <c r="W246" s="32"/>
      <c r="X246" s="637"/>
      <c r="Y246" s="33"/>
      <c r="Z246" s="638">
        <v>1045304428.62991</v>
      </c>
      <c r="AA246" s="638"/>
      <c r="AB246" s="438"/>
      <c r="AC246" s="33"/>
    </row>
    <row r="247" spans="1:29" x14ac:dyDescent="0.3">
      <c r="A247" s="689">
        <v>44597.072916666664</v>
      </c>
      <c r="B247" s="689">
        <v>44599.3125</v>
      </c>
      <c r="C247" s="23"/>
      <c r="D247" s="14"/>
      <c r="E247" s="35" t="s">
        <v>993</v>
      </c>
      <c r="F247" s="25" t="s">
        <v>328</v>
      </c>
      <c r="G247" s="433">
        <v>38234</v>
      </c>
      <c r="H247" s="548" t="s">
        <v>991</v>
      </c>
      <c r="I247" s="433">
        <v>37555</v>
      </c>
      <c r="J247" s="26">
        <f t="shared" ref="J247:J252" si="213">G247-I247</f>
        <v>679</v>
      </c>
      <c r="K247" s="27">
        <f t="shared" ref="K247:K252" si="214">B247-A247</f>
        <v>2.2395833333357587</v>
      </c>
      <c r="L247" s="27">
        <f>[62]MARILOULA!$F$80</f>
        <v>0.8611111110985803</v>
      </c>
      <c r="M247" s="567">
        <f t="shared" ref="M247:M252" si="215">(G247)/K247</f>
        <v>17071.925581376861</v>
      </c>
      <c r="N247" s="434">
        <f t="shared" ref="N247:N252" si="216">(G247)/L247</f>
        <v>44400.774194194506</v>
      </c>
      <c r="O247" s="434">
        <v>30000</v>
      </c>
      <c r="P247" s="648">
        <v>205753</v>
      </c>
      <c r="Q247" s="648">
        <v>197354</v>
      </c>
      <c r="R247" s="648">
        <f t="shared" ref="R247:R252" si="217">P247-Q247</f>
        <v>8399</v>
      </c>
      <c r="S247" s="435">
        <f t="shared" ref="S247:S252" si="218">R247/(G247)</f>
        <v>0.21967358895224146</v>
      </c>
      <c r="T247" s="435">
        <f t="shared" ref="T247:T252" si="219">R247/(G247)</f>
        <v>0.21967358895224146</v>
      </c>
      <c r="U247" s="435"/>
      <c r="V247" s="436"/>
      <c r="W247" s="32"/>
      <c r="X247" s="637"/>
      <c r="Y247" s="33"/>
      <c r="Z247" s="638">
        <v>593378393.09264219</v>
      </c>
      <c r="AA247" s="638"/>
      <c r="AB247" s="438"/>
      <c r="AC247" s="33"/>
    </row>
    <row r="248" spans="1:29" x14ac:dyDescent="0.3">
      <c r="A248" s="689">
        <v>44601.645833333336</v>
      </c>
      <c r="B248" s="689">
        <v>44604.947916666664</v>
      </c>
      <c r="C248" s="23"/>
      <c r="D248" s="14"/>
      <c r="E248" s="35" t="s">
        <v>994</v>
      </c>
      <c r="F248" s="36" t="s">
        <v>328</v>
      </c>
      <c r="G248" s="433">
        <v>66000</v>
      </c>
      <c r="H248" s="548" t="s">
        <v>995</v>
      </c>
      <c r="I248" s="433">
        <v>66000</v>
      </c>
      <c r="J248" s="26">
        <f t="shared" si="213"/>
        <v>0</v>
      </c>
      <c r="K248" s="27">
        <f t="shared" si="214"/>
        <v>3.3020833333284827</v>
      </c>
      <c r="L248" s="27">
        <f>[62]AQUAMARINE!$F$131</f>
        <v>1.5520833333248447</v>
      </c>
      <c r="M248" s="567">
        <f t="shared" si="215"/>
        <v>19987.381703499392</v>
      </c>
      <c r="N248" s="434">
        <f t="shared" si="216"/>
        <v>42523.489933118472</v>
      </c>
      <c r="O248" s="434">
        <v>30000</v>
      </c>
      <c r="P248" s="648">
        <v>191358</v>
      </c>
      <c r="Q248" s="648">
        <v>175888</v>
      </c>
      <c r="R248" s="648">
        <f t="shared" si="217"/>
        <v>15470</v>
      </c>
      <c r="S248" s="435">
        <f t="shared" si="218"/>
        <v>0.2343939393939394</v>
      </c>
      <c r="T248" s="435">
        <f t="shared" si="219"/>
        <v>0.2343939393939394</v>
      </c>
      <c r="U248" s="435"/>
      <c r="V248" s="31"/>
      <c r="W248" s="32"/>
      <c r="X248" s="637"/>
      <c r="Y248" s="33"/>
      <c r="Z248" s="638">
        <v>1018927852.4862677</v>
      </c>
      <c r="AA248" s="638"/>
      <c r="AB248" s="438"/>
      <c r="AC248" s="33"/>
    </row>
    <row r="249" spans="1:29" x14ac:dyDescent="0.3">
      <c r="A249" s="689">
        <v>44605.930555555555</v>
      </c>
      <c r="B249" s="689">
        <v>44608.739583333336</v>
      </c>
      <c r="C249" s="23"/>
      <c r="D249" s="14"/>
      <c r="E249" s="35" t="s">
        <v>996</v>
      </c>
      <c r="F249" s="36" t="s">
        <v>333</v>
      </c>
      <c r="G249" s="433">
        <v>77048</v>
      </c>
      <c r="H249" s="548" t="s">
        <v>991</v>
      </c>
      <c r="I249" s="433">
        <v>77048</v>
      </c>
      <c r="J249" s="26">
        <f t="shared" si="213"/>
        <v>0</v>
      </c>
      <c r="K249" s="27">
        <f t="shared" si="214"/>
        <v>2.8090277777810115</v>
      </c>
      <c r="L249" s="27">
        <f>'[62]MOVERS 3'!$F$124</f>
        <v>1.4791666666630288</v>
      </c>
      <c r="M249" s="567">
        <f t="shared" si="215"/>
        <v>27428.707045703901</v>
      </c>
      <c r="N249" s="434">
        <f t="shared" si="216"/>
        <v>52088.788732522473</v>
      </c>
      <c r="O249" s="434">
        <v>30000</v>
      </c>
      <c r="P249" s="648">
        <v>173573</v>
      </c>
      <c r="Q249" s="648">
        <v>159797</v>
      </c>
      <c r="R249" s="648">
        <f t="shared" si="217"/>
        <v>13776</v>
      </c>
      <c r="S249" s="435">
        <f t="shared" si="218"/>
        <v>0.1787976326445852</v>
      </c>
      <c r="T249" s="435">
        <f t="shared" si="219"/>
        <v>0.1787976326445852</v>
      </c>
      <c r="U249" s="435"/>
      <c r="V249" s="31"/>
      <c r="W249" s="32"/>
      <c r="X249" s="637"/>
      <c r="Y249" s="33"/>
      <c r="Z249" s="638">
        <v>1183784685.0039833</v>
      </c>
      <c r="AA249" s="638"/>
      <c r="AB249" s="438"/>
      <c r="AC249" s="33"/>
    </row>
    <row r="250" spans="1:29" x14ac:dyDescent="0.3">
      <c r="A250" s="689">
        <v>44609.538194444445</v>
      </c>
      <c r="B250" s="689">
        <v>44614.375</v>
      </c>
      <c r="C250" s="23"/>
      <c r="D250" s="14"/>
      <c r="E250" s="35" t="s">
        <v>997</v>
      </c>
      <c r="F250" s="36" t="s">
        <v>333</v>
      </c>
      <c r="G250" s="433">
        <v>86775</v>
      </c>
      <c r="H250" s="548" t="s">
        <v>998</v>
      </c>
      <c r="I250" s="433">
        <v>86775</v>
      </c>
      <c r="J250" s="26">
        <f t="shared" si="213"/>
        <v>0</v>
      </c>
      <c r="K250" s="27">
        <f t="shared" si="214"/>
        <v>4.8368055555547471</v>
      </c>
      <c r="L250" s="27">
        <f>'[62]MEDI KYOTO'!$F$158</f>
        <v>1.7447916666557528</v>
      </c>
      <c r="M250" s="567">
        <f t="shared" si="215"/>
        <v>17940.559942572992</v>
      </c>
      <c r="N250" s="434">
        <f t="shared" si="216"/>
        <v>49733.731343594671</v>
      </c>
      <c r="O250" s="434">
        <v>30000</v>
      </c>
      <c r="P250" s="648">
        <v>156892</v>
      </c>
      <c r="Q250" s="648">
        <v>138593</v>
      </c>
      <c r="R250" s="648">
        <f t="shared" si="217"/>
        <v>18299</v>
      </c>
      <c r="S250" s="435">
        <f t="shared" si="218"/>
        <v>0.21087870930567559</v>
      </c>
      <c r="T250" s="435">
        <f t="shared" si="219"/>
        <v>0.21087870930567559</v>
      </c>
      <c r="U250" s="435"/>
      <c r="V250" s="31"/>
      <c r="W250" s="32"/>
      <c r="X250" s="637"/>
      <c r="Y250" s="33"/>
      <c r="Z250" s="638">
        <v>1346353734.5487149</v>
      </c>
      <c r="AA250" s="638"/>
      <c r="AB250" s="438"/>
      <c r="AC250" s="33"/>
    </row>
    <row r="251" spans="1:29" x14ac:dyDescent="0.3">
      <c r="A251" s="689">
        <v>44615.763888888891</v>
      </c>
      <c r="B251" s="689">
        <v>44617.916666666664</v>
      </c>
      <c r="C251" s="23"/>
      <c r="D251" s="23"/>
      <c r="E251" s="35" t="s">
        <v>999</v>
      </c>
      <c r="F251" s="25" t="s">
        <v>328</v>
      </c>
      <c r="G251" s="433">
        <v>56700</v>
      </c>
      <c r="H251" s="548" t="s">
        <v>991</v>
      </c>
      <c r="I251" s="433">
        <v>56700</v>
      </c>
      <c r="J251" s="26">
        <f t="shared" si="213"/>
        <v>0</v>
      </c>
      <c r="K251" s="27">
        <f t="shared" si="214"/>
        <v>2.1527777777737356</v>
      </c>
      <c r="L251" s="27">
        <f>'[62]STAR MARKELLA'!$F$100</f>
        <v>1.2083333333272701</v>
      </c>
      <c r="M251" s="567">
        <f t="shared" si="215"/>
        <v>26338.064516178485</v>
      </c>
      <c r="N251" s="434">
        <f t="shared" si="216"/>
        <v>46924.137931269943</v>
      </c>
      <c r="O251" s="434">
        <v>30000</v>
      </c>
      <c r="P251" s="648">
        <v>134730</v>
      </c>
      <c r="Q251" s="648">
        <v>123980</v>
      </c>
      <c r="R251" s="648">
        <f t="shared" si="217"/>
        <v>10750</v>
      </c>
      <c r="S251" s="435">
        <f t="shared" si="218"/>
        <v>0.18959435626102292</v>
      </c>
      <c r="T251" s="435">
        <f t="shared" si="219"/>
        <v>0.18959435626102292</v>
      </c>
      <c r="U251" s="69"/>
      <c r="V251" s="436"/>
      <c r="W251" s="437"/>
      <c r="X251" s="637"/>
      <c r="Y251" s="33"/>
      <c r="Z251" s="638">
        <v>880647947.38695431</v>
      </c>
      <c r="AA251" s="638"/>
      <c r="AB251" s="438"/>
      <c r="AC251" s="33"/>
    </row>
    <row r="252" spans="1:29" x14ac:dyDescent="0.3">
      <c r="A252" s="689">
        <v>44618.513888888891</v>
      </c>
      <c r="B252" s="689">
        <v>44620.861111111109</v>
      </c>
      <c r="C252" s="23"/>
      <c r="D252" s="23"/>
      <c r="E252" s="35" t="s">
        <v>1000</v>
      </c>
      <c r="F252" s="25" t="s">
        <v>328</v>
      </c>
      <c r="G252" s="433">
        <v>71875</v>
      </c>
      <c r="H252" s="548" t="s">
        <v>991</v>
      </c>
      <c r="I252" s="433">
        <v>71875</v>
      </c>
      <c r="J252" s="26">
        <f t="shared" si="213"/>
        <v>0</v>
      </c>
      <c r="K252" s="27">
        <f t="shared" si="214"/>
        <v>2.3472222222189885</v>
      </c>
      <c r="L252" s="27">
        <f>[62]COLOSSUS!$F$122</f>
        <v>1.4305555555498966</v>
      </c>
      <c r="M252" s="567">
        <f t="shared" si="215"/>
        <v>30621.301775190117</v>
      </c>
      <c r="N252" s="434">
        <f t="shared" si="216"/>
        <v>50242.718446800689</v>
      </c>
      <c r="O252" s="434">
        <v>30000</v>
      </c>
      <c r="P252" s="648">
        <v>120849</v>
      </c>
      <c r="Q252" s="648">
        <v>111059</v>
      </c>
      <c r="R252" s="648">
        <f t="shared" si="217"/>
        <v>9790</v>
      </c>
      <c r="S252" s="435">
        <f t="shared" si="218"/>
        <v>0.13620869565217392</v>
      </c>
      <c r="T252" s="435">
        <f t="shared" si="219"/>
        <v>0.13620869565217392</v>
      </c>
      <c r="U252" s="69"/>
      <c r="V252" s="436"/>
      <c r="W252" s="437"/>
      <c r="X252" s="637"/>
      <c r="Y252" s="33"/>
      <c r="Z252" s="638">
        <v>1116341644.0641506</v>
      </c>
      <c r="AA252" s="638"/>
      <c r="AB252" s="438"/>
      <c r="AC252" s="33"/>
    </row>
    <row r="253" spans="1:29" x14ac:dyDescent="0.3">
      <c r="A253" s="689">
        <v>44621.440972222219</v>
      </c>
      <c r="B253" s="689">
        <v>44622.847222222219</v>
      </c>
      <c r="C253" s="23"/>
      <c r="D253" s="14"/>
      <c r="E253" s="35" t="s">
        <v>794</v>
      </c>
      <c r="F253" s="36" t="s">
        <v>328</v>
      </c>
      <c r="G253" s="433">
        <v>57862</v>
      </c>
      <c r="H253" s="548" t="s">
        <v>992</v>
      </c>
      <c r="I253" s="433">
        <v>77000</v>
      </c>
      <c r="J253" s="433">
        <f>G253-I253</f>
        <v>-19138</v>
      </c>
      <c r="K253" s="27">
        <f>B253-A253</f>
        <v>1.40625</v>
      </c>
      <c r="L253" s="27">
        <f>'[63]ORIENT UNION'!$F$91</f>
        <v>1.0364583333321207</v>
      </c>
      <c r="M253" s="567">
        <f>(G253)/K253</f>
        <v>41146.311111111114</v>
      </c>
      <c r="N253" s="434">
        <f>(G253)/L253</f>
        <v>55826.653266396977</v>
      </c>
      <c r="O253" s="434">
        <v>30000</v>
      </c>
      <c r="P253" s="648">
        <v>108115</v>
      </c>
      <c r="Q253" s="648">
        <v>100635</v>
      </c>
      <c r="R253" s="648">
        <f t="shared" ref="R253:R267" si="220">P253-Q253</f>
        <v>7480</v>
      </c>
      <c r="S253" s="435">
        <f>R253/(G253)</f>
        <v>0.12927309806090354</v>
      </c>
      <c r="T253" s="435">
        <f>R253/(G253)</f>
        <v>0.12927309806090354</v>
      </c>
      <c r="U253" s="435"/>
      <c r="V253" s="436"/>
      <c r="W253" s="32"/>
      <c r="X253" s="637"/>
      <c r="Y253" s="33"/>
      <c r="Z253" s="638">
        <v>905496215.87940133</v>
      </c>
      <c r="AA253" s="33"/>
      <c r="AB253" s="438"/>
      <c r="AC253" s="33"/>
    </row>
    <row r="254" spans="1:29" x14ac:dyDescent="0.3">
      <c r="A254" s="689">
        <v>44623.125</v>
      </c>
      <c r="B254" s="689">
        <v>44625.53125</v>
      </c>
      <c r="C254" s="23"/>
      <c r="D254" s="14"/>
      <c r="E254" s="35" t="s">
        <v>1001</v>
      </c>
      <c r="F254" s="36" t="s">
        <v>328</v>
      </c>
      <c r="G254" s="433">
        <v>72000</v>
      </c>
      <c r="H254" s="548" t="s">
        <v>991</v>
      </c>
      <c r="I254" s="433">
        <v>72000</v>
      </c>
      <c r="J254" s="433">
        <f>G254-I254</f>
        <v>0</v>
      </c>
      <c r="K254" s="27">
        <f>B254-A254</f>
        <v>2.40625</v>
      </c>
      <c r="L254" s="27">
        <f>'[63]LUMOSO KASIH'!$F$114</f>
        <v>1.3541666666739427</v>
      </c>
      <c r="M254" s="567">
        <f>(G254)/K254</f>
        <v>29922.077922077922</v>
      </c>
      <c r="N254" s="434">
        <f>(G254)/L254</f>
        <v>53169.23076894509</v>
      </c>
      <c r="O254" s="434">
        <v>30000</v>
      </c>
      <c r="P254" s="648">
        <v>99817</v>
      </c>
      <c r="Q254" s="648">
        <v>85844</v>
      </c>
      <c r="R254" s="648">
        <f t="shared" si="220"/>
        <v>13973</v>
      </c>
      <c r="S254" s="435">
        <f>R254/(G254)</f>
        <v>0.19406944444444443</v>
      </c>
      <c r="T254" s="435">
        <f>R254/(G254)</f>
        <v>0.19406944444444443</v>
      </c>
      <c r="U254" s="435"/>
      <c r="V254" s="31"/>
      <c r="W254" s="32"/>
      <c r="X254" s="637"/>
      <c r="Y254" s="33"/>
      <c r="Z254" s="638">
        <v>1131036033.4605632</v>
      </c>
      <c r="AA254" s="33"/>
      <c r="AB254" s="438"/>
      <c r="AC254" s="33"/>
    </row>
    <row r="255" spans="1:29" x14ac:dyDescent="0.3">
      <c r="A255" s="689">
        <v>44625.913194444445</v>
      </c>
      <c r="B255" s="689">
        <v>44626.010416666664</v>
      </c>
      <c r="C255" s="23"/>
      <c r="D255" s="23"/>
      <c r="E255" s="35" t="s">
        <v>891</v>
      </c>
      <c r="F255" s="25" t="s">
        <v>328</v>
      </c>
      <c r="G255" s="433">
        <v>3047</v>
      </c>
      <c r="H255" s="548" t="s">
        <v>995</v>
      </c>
      <c r="I255" s="433">
        <v>5000</v>
      </c>
      <c r="J255" s="433">
        <f>G255-I255</f>
        <v>-1953</v>
      </c>
      <c r="K255" s="27">
        <f>B255-A255</f>
        <v>9.7222222218988463E-2</v>
      </c>
      <c r="L255" s="27">
        <f>'[63]MARAN BRILLIANCE'!$F$26</f>
        <v>7.9861111109494232E-2</v>
      </c>
      <c r="M255" s="567">
        <f>(G255)/K255</f>
        <v>31340.571429613865</v>
      </c>
      <c r="N255" s="434">
        <f>(G255)/L255</f>
        <v>38153.73913120725</v>
      </c>
      <c r="O255" s="434">
        <v>30000</v>
      </c>
      <c r="P255" s="648">
        <v>84997</v>
      </c>
      <c r="Q255" s="648">
        <v>84253</v>
      </c>
      <c r="R255" s="648">
        <f t="shared" si="220"/>
        <v>744</v>
      </c>
      <c r="S255" s="435">
        <f>R255/(G255)</f>
        <v>0.24417459796521168</v>
      </c>
      <c r="T255" s="435">
        <f>R255/(G255)</f>
        <v>0.24417459796521168</v>
      </c>
      <c r="U255" s="69"/>
      <c r="V255" s="436"/>
      <c r="W255" s="437"/>
      <c r="X255" s="637"/>
      <c r="Y255" s="33"/>
      <c r="Z255" s="638">
        <v>47864816.582699113</v>
      </c>
      <c r="AA255" s="33"/>
      <c r="AB255" s="438"/>
      <c r="AC255" s="33"/>
    </row>
    <row r="256" spans="1:29" x14ac:dyDescent="0.3">
      <c r="A256" s="689">
        <v>44626.5</v>
      </c>
      <c r="B256" s="689">
        <v>44630.458333333336</v>
      </c>
      <c r="C256" s="23"/>
      <c r="D256" s="23"/>
      <c r="E256" s="649" t="s">
        <v>1002</v>
      </c>
      <c r="F256" s="25" t="s">
        <v>328</v>
      </c>
      <c r="G256" s="433">
        <f>56574+31426</f>
        <v>88000</v>
      </c>
      <c r="H256" s="548" t="s">
        <v>991</v>
      </c>
      <c r="I256" s="433">
        <v>88000</v>
      </c>
      <c r="J256" s="433">
        <f>G256-I256</f>
        <v>0</v>
      </c>
      <c r="K256" s="27">
        <f>B256-A256</f>
        <v>3.9583333333357587</v>
      </c>
      <c r="L256" s="27">
        <f>'[63]JIN TAI FENG'!$F$139</f>
        <v>1.6197916667066845</v>
      </c>
      <c r="M256" s="567">
        <f>(G256)/K256</f>
        <v>22231.578947354799</v>
      </c>
      <c r="N256" s="434">
        <f>(G256)/L256</f>
        <v>54327.97427518513</v>
      </c>
      <c r="O256" s="434">
        <v>30000</v>
      </c>
      <c r="P256" s="648">
        <v>83290</v>
      </c>
      <c r="Q256" s="648">
        <v>73837</v>
      </c>
      <c r="R256" s="648">
        <v>15283</v>
      </c>
      <c r="S256" s="435">
        <f>(R256)/(G256)</f>
        <v>0.17367045454545454</v>
      </c>
      <c r="T256" s="435">
        <f>(R256)/(G256)</f>
        <v>0.17367045454545454</v>
      </c>
      <c r="U256" s="69"/>
      <c r="V256" s="436"/>
      <c r="W256" s="437"/>
      <c r="X256" s="637"/>
      <c r="Y256" s="33"/>
      <c r="Z256" s="638">
        <v>1380468918.6014087</v>
      </c>
      <c r="AA256" s="33"/>
      <c r="AB256" s="438"/>
      <c r="AC256" s="33"/>
    </row>
    <row r="257" spans="1:29" x14ac:dyDescent="0.3">
      <c r="A257" s="689">
        <v>44628.770833333336</v>
      </c>
      <c r="B257" s="689">
        <v>44629.263888888891</v>
      </c>
      <c r="C257" s="23"/>
      <c r="D257" s="23"/>
      <c r="E257" s="35" t="s">
        <v>113</v>
      </c>
      <c r="F257" s="25" t="s">
        <v>328</v>
      </c>
      <c r="G257" s="433">
        <v>14050</v>
      </c>
      <c r="H257" s="548" t="s">
        <v>1003</v>
      </c>
      <c r="I257" s="433">
        <v>27100</v>
      </c>
      <c r="J257" s="433">
        <f t="shared" ref="J257:J267" si="221">G257-I257</f>
        <v>-13050</v>
      </c>
      <c r="K257" s="27">
        <f t="shared" ref="K257:K267" si="222">B257-A257</f>
        <v>0.49305555555474712</v>
      </c>
      <c r="L257" s="565">
        <f>'[63]CHANG MING'!$F$45</f>
        <v>0.31770833333212067</v>
      </c>
      <c r="M257" s="567">
        <f t="shared" ref="M257:M267" si="223">(G257)/K257</f>
        <v>28495.774647934046</v>
      </c>
      <c r="N257" s="434">
        <f t="shared" ref="N257:N267" si="224">(G257)/L257</f>
        <v>44222.950819840924</v>
      </c>
      <c r="O257" s="434">
        <v>30000</v>
      </c>
      <c r="P257" s="648">
        <v>73248</v>
      </c>
      <c r="Q257" s="648">
        <v>70728</v>
      </c>
      <c r="R257" s="648">
        <f t="shared" si="220"/>
        <v>2520</v>
      </c>
      <c r="S257" s="435">
        <f t="shared" ref="S257:S267" si="225">R257/(G257)</f>
        <v>0.17935943060498222</v>
      </c>
      <c r="T257" s="435">
        <f t="shared" ref="T257:T267" si="226">R257/(G257)</f>
        <v>0.17935943060498222</v>
      </c>
      <c r="U257" s="435"/>
      <c r="V257" s="436"/>
      <c r="W257" s="437"/>
      <c r="X257" s="637"/>
      <c r="Y257" s="33"/>
      <c r="Z257" s="638">
        <v>220988648.71313378</v>
      </c>
      <c r="AA257" s="33"/>
      <c r="AB257" s="438"/>
      <c r="AC257" s="33"/>
    </row>
    <row r="258" spans="1:29" x14ac:dyDescent="0.3">
      <c r="A258" s="689">
        <v>44630.756944444445</v>
      </c>
      <c r="B258" s="689">
        <v>44632.958333333336</v>
      </c>
      <c r="C258" s="23"/>
      <c r="D258" s="23"/>
      <c r="E258" s="35" t="s">
        <v>788</v>
      </c>
      <c r="F258" s="25" t="s">
        <v>328</v>
      </c>
      <c r="G258" s="433">
        <v>77000</v>
      </c>
      <c r="H258" s="548" t="s">
        <v>1004</v>
      </c>
      <c r="I258" s="433">
        <v>77000</v>
      </c>
      <c r="J258" s="26">
        <f t="shared" si="221"/>
        <v>0</v>
      </c>
      <c r="K258" s="27">
        <f t="shared" si="222"/>
        <v>2.2013888888905058</v>
      </c>
      <c r="L258" s="565">
        <f>'[63]PAN ENERGEN'!$F$133</f>
        <v>1.4305555555389826</v>
      </c>
      <c r="M258" s="567">
        <f t="shared" si="223"/>
        <v>34977.917981046863</v>
      </c>
      <c r="N258" s="434">
        <f t="shared" si="224"/>
        <v>53825.242719070164</v>
      </c>
      <c r="O258" s="434">
        <v>30000</v>
      </c>
      <c r="P258" s="648">
        <v>62904</v>
      </c>
      <c r="Q258" s="648">
        <v>51526</v>
      </c>
      <c r="R258" s="648">
        <f t="shared" si="220"/>
        <v>11378</v>
      </c>
      <c r="S258" s="435">
        <f t="shared" si="225"/>
        <v>0.14776623376623377</v>
      </c>
      <c r="T258" s="435">
        <f t="shared" si="226"/>
        <v>0.14776623376623377</v>
      </c>
      <c r="U258" s="435"/>
      <c r="V258" s="436"/>
      <c r="W258" s="437"/>
      <c r="X258" s="637"/>
      <c r="Y258" s="33"/>
      <c r="Z258" s="638">
        <v>1198889241.5500004</v>
      </c>
      <c r="AA258" s="33"/>
      <c r="AB258" s="438"/>
      <c r="AC258" s="33"/>
    </row>
    <row r="259" spans="1:29" x14ac:dyDescent="0.3">
      <c r="A259" s="689">
        <v>44633.381944444445</v>
      </c>
      <c r="B259" s="689">
        <v>44633.513888888891</v>
      </c>
      <c r="C259" s="23"/>
      <c r="D259" s="23"/>
      <c r="E259" s="35" t="s">
        <v>113</v>
      </c>
      <c r="F259" s="25" t="s">
        <v>328</v>
      </c>
      <c r="G259" s="433">
        <v>2700</v>
      </c>
      <c r="H259" s="548" t="s">
        <v>1003</v>
      </c>
      <c r="I259" s="433">
        <v>12000</v>
      </c>
      <c r="J259" s="433">
        <f t="shared" si="221"/>
        <v>-9300</v>
      </c>
      <c r="K259" s="27">
        <f t="shared" si="222"/>
        <v>0.13194444444525288</v>
      </c>
      <c r="L259" s="565">
        <f>'[63]CHANG MING (2)'!$F$25</f>
        <v>0.125</v>
      </c>
      <c r="M259" s="567">
        <f t="shared" si="223"/>
        <v>20463.157894611461</v>
      </c>
      <c r="N259" s="434">
        <f t="shared" si="224"/>
        <v>21600</v>
      </c>
      <c r="O259" s="434">
        <v>30000</v>
      </c>
      <c r="P259" s="648">
        <v>50213</v>
      </c>
      <c r="Q259" s="648">
        <v>49373</v>
      </c>
      <c r="R259" s="648">
        <f t="shared" si="220"/>
        <v>840</v>
      </c>
      <c r="S259" s="435">
        <f t="shared" si="225"/>
        <v>0.31111111111111112</v>
      </c>
      <c r="T259" s="435">
        <f t="shared" si="226"/>
        <v>0.31111111111111112</v>
      </c>
      <c r="U259" s="435"/>
      <c r="V259" s="436"/>
      <c r="W259" s="437"/>
      <c r="X259" s="637"/>
      <c r="Y259" s="33"/>
      <c r="Z259" s="638">
        <v>42038973.405000016</v>
      </c>
      <c r="AA259" s="33"/>
      <c r="AB259" s="438"/>
      <c r="AC259" s="33"/>
    </row>
    <row r="260" spans="1:29" x14ac:dyDescent="0.3">
      <c r="A260" s="689">
        <v>44634.4375</v>
      </c>
      <c r="B260" s="689">
        <v>44635.052083333336</v>
      </c>
      <c r="C260" s="23"/>
      <c r="D260" s="23"/>
      <c r="E260" s="35" t="s">
        <v>1005</v>
      </c>
      <c r="F260" s="25" t="s">
        <v>328</v>
      </c>
      <c r="G260" s="433">
        <v>21550</v>
      </c>
      <c r="H260" s="548" t="s">
        <v>1006</v>
      </c>
      <c r="I260" s="433">
        <v>20000</v>
      </c>
      <c r="J260" s="26">
        <f t="shared" si="221"/>
        <v>1550</v>
      </c>
      <c r="K260" s="27">
        <f t="shared" si="222"/>
        <v>0.61458333333575865</v>
      </c>
      <c r="L260" s="565">
        <f>'[63]CAPTAIN J NEOFOTISTOS'!$F$50</f>
        <v>0.41319444444161491</v>
      </c>
      <c r="M260" s="567">
        <f t="shared" si="223"/>
        <v>35064.406779522644</v>
      </c>
      <c r="N260" s="434">
        <f t="shared" si="224"/>
        <v>52154.621849096649</v>
      </c>
      <c r="O260" s="434">
        <v>30000</v>
      </c>
      <c r="P260" s="648">
        <v>246365</v>
      </c>
      <c r="Q260" s="648">
        <v>243315</v>
      </c>
      <c r="R260" s="648">
        <f t="shared" si="220"/>
        <v>3050</v>
      </c>
      <c r="S260" s="435">
        <f t="shared" si="225"/>
        <v>0.14153132250580047</v>
      </c>
      <c r="T260" s="435">
        <f t="shared" si="226"/>
        <v>0.14153132250580047</v>
      </c>
      <c r="U260" s="435"/>
      <c r="V260" s="436"/>
      <c r="W260" s="437"/>
      <c r="X260" s="637"/>
      <c r="Y260" s="33"/>
      <c r="Z260" s="638">
        <v>346693195.90957743</v>
      </c>
      <c r="AA260" s="33"/>
      <c r="AB260" s="438"/>
      <c r="AC260" s="33"/>
    </row>
    <row r="261" spans="1:29" x14ac:dyDescent="0.3">
      <c r="A261" s="689">
        <v>44635.385416666664</v>
      </c>
      <c r="B261" s="689">
        <v>44636.75</v>
      </c>
      <c r="C261" s="23"/>
      <c r="D261" s="23"/>
      <c r="E261" s="35" t="s">
        <v>1007</v>
      </c>
      <c r="F261" s="25" t="s">
        <v>328</v>
      </c>
      <c r="G261" s="433">
        <v>52250</v>
      </c>
      <c r="H261" s="548" t="s">
        <v>1008</v>
      </c>
      <c r="I261" s="433">
        <v>71500</v>
      </c>
      <c r="J261" s="26">
        <f t="shared" si="221"/>
        <v>-19250</v>
      </c>
      <c r="K261" s="27">
        <f t="shared" si="222"/>
        <v>1.3645833333357587</v>
      </c>
      <c r="L261" s="565">
        <f>'[63]HONG XIANG'!$F$89</f>
        <v>0.99826388889050577</v>
      </c>
      <c r="M261" s="567">
        <f t="shared" si="223"/>
        <v>38290.076335809812</v>
      </c>
      <c r="N261" s="434">
        <f t="shared" si="224"/>
        <v>52340.869565132612</v>
      </c>
      <c r="O261" s="434">
        <v>30000</v>
      </c>
      <c r="P261" s="648">
        <v>241589</v>
      </c>
      <c r="Q261" s="648">
        <v>233449</v>
      </c>
      <c r="R261" s="648">
        <f t="shared" si="220"/>
        <v>8140</v>
      </c>
      <c r="S261" s="435">
        <f t="shared" si="225"/>
        <v>0.15578947368421053</v>
      </c>
      <c r="T261" s="435">
        <f t="shared" si="226"/>
        <v>0.15578947368421053</v>
      </c>
      <c r="U261" s="435"/>
      <c r="V261" s="436"/>
      <c r="W261" s="437"/>
      <c r="X261" s="637"/>
      <c r="Y261" s="33"/>
      <c r="Z261" s="638">
        <v>839931643.57979751</v>
      </c>
      <c r="AA261" s="33"/>
      <c r="AB261" s="438"/>
      <c r="AC261" s="33"/>
    </row>
    <row r="262" spans="1:29" x14ac:dyDescent="0.3">
      <c r="A262" s="689">
        <v>44636.993055555555</v>
      </c>
      <c r="B262" s="689">
        <v>44642.072916666664</v>
      </c>
      <c r="C262" s="23"/>
      <c r="D262" s="23"/>
      <c r="E262" s="35" t="s">
        <v>305</v>
      </c>
      <c r="F262" s="25" t="s">
        <v>91</v>
      </c>
      <c r="G262" s="433">
        <v>103944</v>
      </c>
      <c r="H262" s="548" t="s">
        <v>1009</v>
      </c>
      <c r="I262" s="433">
        <v>103534</v>
      </c>
      <c r="J262" s="26">
        <f t="shared" si="221"/>
        <v>410</v>
      </c>
      <c r="K262" s="27">
        <f t="shared" si="222"/>
        <v>5.0798611111094942</v>
      </c>
      <c r="L262" s="565">
        <f>'[63]MINERAL DRAGON'!$F$192</f>
        <v>3.045138888889293</v>
      </c>
      <c r="M262" s="567">
        <f t="shared" si="223"/>
        <v>20461.976760088535</v>
      </c>
      <c r="N262" s="434">
        <f t="shared" si="224"/>
        <v>34134.403648798208</v>
      </c>
      <c r="O262" s="434">
        <v>30000</v>
      </c>
      <c r="P262" s="648">
        <v>233267</v>
      </c>
      <c r="Q262" s="648">
        <v>205758</v>
      </c>
      <c r="R262" s="648">
        <f t="shared" si="220"/>
        <v>27509</v>
      </c>
      <c r="S262" s="435">
        <f t="shared" si="225"/>
        <v>0.26465212037250829</v>
      </c>
      <c r="T262" s="435">
        <f t="shared" si="226"/>
        <v>0.26465212037250829</v>
      </c>
      <c r="U262" s="435"/>
      <c r="V262" s="436"/>
      <c r="W262" s="437"/>
      <c r="X262" s="637"/>
      <c r="Y262" s="33"/>
      <c r="Z262" s="638">
        <v>1674670484.2010999</v>
      </c>
      <c r="AA262" s="33"/>
      <c r="AB262" s="438"/>
      <c r="AC262" s="33"/>
    </row>
    <row r="263" spans="1:29" x14ac:dyDescent="0.3">
      <c r="A263" s="689">
        <v>44642.631944444445</v>
      </c>
      <c r="B263" s="689">
        <v>44643.979166666664</v>
      </c>
      <c r="C263" s="23"/>
      <c r="D263" s="23"/>
      <c r="E263" s="35" t="s">
        <v>1010</v>
      </c>
      <c r="F263" s="25" t="s">
        <v>328</v>
      </c>
      <c r="G263" s="433">
        <v>42562</v>
      </c>
      <c r="H263" s="548" t="s">
        <v>991</v>
      </c>
      <c r="I263" s="433">
        <v>84000</v>
      </c>
      <c r="J263" s="26">
        <f t="shared" si="221"/>
        <v>-41438</v>
      </c>
      <c r="K263" s="27">
        <f t="shared" si="222"/>
        <v>1.3472222222189885</v>
      </c>
      <c r="L263" s="27">
        <f>'[63]OCEAN ARTEMIS'!$F$81</f>
        <v>0.93749999998544808</v>
      </c>
      <c r="M263" s="567">
        <f t="shared" si="223"/>
        <v>31592.412371209852</v>
      </c>
      <c r="N263" s="434">
        <f t="shared" si="224"/>
        <v>45399.466667371358</v>
      </c>
      <c r="O263" s="434">
        <v>30000</v>
      </c>
      <c r="P263" s="648">
        <v>204768</v>
      </c>
      <c r="Q263" s="648">
        <v>197288</v>
      </c>
      <c r="R263" s="648">
        <f t="shared" si="220"/>
        <v>7480</v>
      </c>
      <c r="S263" s="435">
        <f t="shared" si="225"/>
        <v>0.17574362107043842</v>
      </c>
      <c r="T263" s="435">
        <f t="shared" si="226"/>
        <v>0.17574362107043842</v>
      </c>
      <c r="U263" s="435"/>
      <c r="V263" s="436"/>
      <c r="W263" s="437"/>
      <c r="X263" s="637"/>
      <c r="Y263" s="33"/>
      <c r="Z263" s="638">
        <v>687033275.36760151</v>
      </c>
      <c r="AA263" s="33"/>
      <c r="AB263" s="438"/>
      <c r="AC263" s="33"/>
    </row>
    <row r="264" spans="1:29" x14ac:dyDescent="0.3">
      <c r="A264" s="689">
        <v>44644.263888888891</v>
      </c>
      <c r="B264" s="689">
        <v>44645.024305555555</v>
      </c>
      <c r="C264" s="23"/>
      <c r="D264" s="23"/>
      <c r="E264" s="35" t="s">
        <v>1011</v>
      </c>
      <c r="F264" s="25" t="s">
        <v>32</v>
      </c>
      <c r="G264" s="433">
        <v>30122</v>
      </c>
      <c r="H264" s="548" t="s">
        <v>998</v>
      </c>
      <c r="I264" s="433">
        <v>103534</v>
      </c>
      <c r="J264" s="26">
        <f t="shared" si="221"/>
        <v>-73412</v>
      </c>
      <c r="K264" s="27">
        <f t="shared" si="222"/>
        <v>0.76041666666424135</v>
      </c>
      <c r="L264" s="27">
        <f>'[63]GOLDEN DAISY'!$F$61</f>
        <v>0.51562499999636202</v>
      </c>
      <c r="M264" s="434">
        <f t="shared" si="223"/>
        <v>39612.493150811271</v>
      </c>
      <c r="N264" s="434">
        <f t="shared" si="224"/>
        <v>58418.424242836409</v>
      </c>
      <c r="O264" s="434">
        <v>30000</v>
      </c>
      <c r="P264" s="648">
        <v>196984</v>
      </c>
      <c r="Q264" s="648">
        <v>192724</v>
      </c>
      <c r="R264" s="648">
        <f t="shared" si="220"/>
        <v>4260</v>
      </c>
      <c r="S264" s="435">
        <f t="shared" si="225"/>
        <v>0.14142487218644181</v>
      </c>
      <c r="T264" s="435">
        <f t="shared" si="226"/>
        <v>0.14142487218644181</v>
      </c>
      <c r="U264" s="435"/>
      <c r="V264" s="436"/>
      <c r="W264" s="437"/>
      <c r="X264" s="637"/>
      <c r="Y264" s="33"/>
      <c r="Z264" s="638">
        <v>486390649.56740028</v>
      </c>
      <c r="AA264" s="33"/>
      <c r="AB264" s="438"/>
      <c r="AC264" s="33"/>
    </row>
    <row r="265" spans="1:29" x14ac:dyDescent="0.3">
      <c r="A265" s="689">
        <v>44645.322916666664</v>
      </c>
      <c r="B265" s="689">
        <v>44648.027777777781</v>
      </c>
      <c r="C265" s="23"/>
      <c r="D265" s="23"/>
      <c r="E265" s="35" t="s">
        <v>1012</v>
      </c>
      <c r="F265" s="25" t="s">
        <v>328</v>
      </c>
      <c r="G265" s="433">
        <v>75900</v>
      </c>
      <c r="H265" s="548" t="s">
        <v>991</v>
      </c>
      <c r="I265" s="548">
        <v>75134</v>
      </c>
      <c r="J265" s="26">
        <f t="shared" si="221"/>
        <v>766</v>
      </c>
      <c r="K265" s="27">
        <f t="shared" si="222"/>
        <v>2.7048611111167702</v>
      </c>
      <c r="L265" s="27">
        <f>'[63]LOWLANDS SPIRIT'!$F$125</f>
        <v>1.4652777777955635</v>
      </c>
      <c r="M265" s="434">
        <f t="shared" si="223"/>
        <v>28060.590500583141</v>
      </c>
      <c r="N265" s="434">
        <f t="shared" si="224"/>
        <v>51799.052132072677</v>
      </c>
      <c r="O265" s="434">
        <v>30000</v>
      </c>
      <c r="P265" s="648">
        <v>190893</v>
      </c>
      <c r="Q265" s="648">
        <v>176435</v>
      </c>
      <c r="R265" s="648">
        <f t="shared" si="220"/>
        <v>14458</v>
      </c>
      <c r="S265" s="435">
        <f t="shared" si="225"/>
        <v>0.19048748353096179</v>
      </c>
      <c r="T265" s="435">
        <f t="shared" si="226"/>
        <v>0.19048748353096179</v>
      </c>
      <c r="U265" s="435"/>
      <c r="V265" s="436"/>
      <c r="W265" s="437"/>
      <c r="X265" s="637"/>
      <c r="Y265" s="33"/>
      <c r="Z265" s="638">
        <v>1222845856.9120247</v>
      </c>
      <c r="AA265" s="33"/>
      <c r="AB265" s="438"/>
      <c r="AC265" s="33"/>
    </row>
    <row r="266" spans="1:29" x14ac:dyDescent="0.3">
      <c r="A266" s="689">
        <v>44648.5</v>
      </c>
      <c r="B266" s="689">
        <v>44650.041666666664</v>
      </c>
      <c r="C266" s="23"/>
      <c r="D266" s="23"/>
      <c r="E266" s="35" t="s">
        <v>1013</v>
      </c>
      <c r="F266" s="25" t="s">
        <v>328</v>
      </c>
      <c r="G266" s="433">
        <v>38191</v>
      </c>
      <c r="H266" s="548" t="s">
        <v>1009</v>
      </c>
      <c r="I266" s="433">
        <v>40000</v>
      </c>
      <c r="J266" s="26">
        <f t="shared" si="221"/>
        <v>-1809</v>
      </c>
      <c r="K266" s="27">
        <f t="shared" si="222"/>
        <v>1.5416666666642413</v>
      </c>
      <c r="L266" s="27">
        <f>'[63]MINERAL NOBEL'!$F$86</f>
        <v>0.94618055557293701</v>
      </c>
      <c r="M266" s="434">
        <f t="shared" si="223"/>
        <v>24772.540540579514</v>
      </c>
      <c r="N266" s="434">
        <f t="shared" si="224"/>
        <v>40363.332109350267</v>
      </c>
      <c r="O266" s="434">
        <v>30000</v>
      </c>
      <c r="P266" s="648">
        <v>175399</v>
      </c>
      <c r="Q266" s="648">
        <v>165785</v>
      </c>
      <c r="R266" s="648">
        <f t="shared" si="220"/>
        <v>9614</v>
      </c>
      <c r="S266" s="435">
        <f t="shared" si="225"/>
        <v>0.2517347018931162</v>
      </c>
      <c r="T266" s="435">
        <f t="shared" si="226"/>
        <v>0.2517347018931162</v>
      </c>
      <c r="U266" s="435"/>
      <c r="V266" s="436"/>
      <c r="W266" s="437"/>
      <c r="X266" s="637"/>
      <c r="Y266" s="33"/>
      <c r="Z266" s="638">
        <v>616890516.20506203</v>
      </c>
      <c r="AA266" s="33"/>
      <c r="AB266" s="438"/>
      <c r="AC266" s="33"/>
    </row>
    <row r="267" spans="1:29" x14ac:dyDescent="0.3">
      <c r="A267" s="689">
        <v>44650.395833333336</v>
      </c>
      <c r="B267" s="689">
        <v>44651.815972222219</v>
      </c>
      <c r="C267" s="23"/>
      <c r="D267" s="14"/>
      <c r="E267" s="35" t="s">
        <v>1014</v>
      </c>
      <c r="F267" s="36" t="s">
        <v>328</v>
      </c>
      <c r="G267" s="433">
        <v>53226</v>
      </c>
      <c r="H267" s="548" t="s">
        <v>991</v>
      </c>
      <c r="I267" s="433">
        <v>79870</v>
      </c>
      <c r="J267" s="26">
        <f t="shared" si="221"/>
        <v>-26644</v>
      </c>
      <c r="K267" s="27">
        <f t="shared" si="222"/>
        <v>1.4201388888832298</v>
      </c>
      <c r="L267" s="27">
        <f>'[63]HAMPTON OCEAN'!$F$88</f>
        <v>1.0538194444452529</v>
      </c>
      <c r="M267" s="434">
        <f t="shared" si="223"/>
        <v>37479.43276298554</v>
      </c>
      <c r="N267" s="434">
        <f t="shared" si="224"/>
        <v>50507.703459598815</v>
      </c>
      <c r="O267" s="434">
        <v>30000</v>
      </c>
      <c r="P267" s="648">
        <v>163145</v>
      </c>
      <c r="Q267" s="648">
        <v>155665</v>
      </c>
      <c r="R267" s="648">
        <f t="shared" si="220"/>
        <v>7480</v>
      </c>
      <c r="S267" s="435">
        <f t="shared" si="225"/>
        <v>0.14053282230488859</v>
      </c>
      <c r="T267" s="435">
        <f t="shared" si="226"/>
        <v>0.14053282230488859</v>
      </c>
      <c r="U267" s="435"/>
      <c r="V267" s="436"/>
      <c r="W267" s="32"/>
      <c r="X267" s="639"/>
      <c r="Y267" s="33"/>
      <c r="Z267" s="638">
        <v>858306610.87557793</v>
      </c>
      <c r="AA267" s="33"/>
      <c r="AB267" s="438"/>
      <c r="AC267" s="33"/>
    </row>
    <row r="268" spans="1:29" x14ac:dyDescent="0.3">
      <c r="A268" s="689">
        <v>44652.708333333336</v>
      </c>
      <c r="B268" s="689">
        <v>44653.524305555555</v>
      </c>
      <c r="C268" s="23"/>
      <c r="D268" s="14"/>
      <c r="E268" s="35" t="s">
        <v>1015</v>
      </c>
      <c r="F268" s="36" t="s">
        <v>328</v>
      </c>
      <c r="G268" s="433">
        <v>32453</v>
      </c>
      <c r="H268" s="548" t="s">
        <v>991</v>
      </c>
      <c r="I268" s="433">
        <v>78850</v>
      </c>
      <c r="J268" s="26">
        <f t="shared" ref="J268:J280" si="227">G268-I268</f>
        <v>-46397</v>
      </c>
      <c r="K268" s="27">
        <f t="shared" ref="K268:K280" si="228">B268-A268</f>
        <v>0.81597222221898846</v>
      </c>
      <c r="L268" s="27">
        <f>'[64]ANGLO BARINTHUS'!$F$59</f>
        <v>0.62673611110585625</v>
      </c>
      <c r="M268" s="434">
        <f t="shared" ref="M268:M280" si="229">(G268)/K268</f>
        <v>39772.187234200173</v>
      </c>
      <c r="N268" s="434">
        <f t="shared" ref="N268:N280" si="230">(G268)/L268</f>
        <v>51780.963989353826</v>
      </c>
      <c r="O268" s="434">
        <v>30000</v>
      </c>
      <c r="P268" s="648">
        <v>154418</v>
      </c>
      <c r="Q268" s="648">
        <v>150008</v>
      </c>
      <c r="R268" s="648">
        <f t="shared" ref="R268:R280" si="231">P268-Q268</f>
        <v>4410</v>
      </c>
      <c r="S268" s="435">
        <f t="shared" ref="S268:S280" si="232">R268/(G268)</f>
        <v>0.13588882383754969</v>
      </c>
      <c r="T268" s="435">
        <f t="shared" ref="T268:T280" si="233">R268/(G268)</f>
        <v>0.13588882383754969</v>
      </c>
      <c r="U268" s="435"/>
      <c r="V268" s="31"/>
      <c r="W268" s="32"/>
      <c r="X268" s="637"/>
      <c r="Y268" s="33"/>
      <c r="Z268" s="638">
        <v>526124009.61685371</v>
      </c>
      <c r="AA268" s="33"/>
      <c r="AB268" s="438"/>
      <c r="AC268" s="33"/>
    </row>
    <row r="269" spans="1:29" x14ac:dyDescent="0.3">
      <c r="A269" s="689">
        <v>44653.75</v>
      </c>
      <c r="B269" s="689">
        <v>44654.729166666664</v>
      </c>
      <c r="C269" s="23"/>
      <c r="D269" s="23"/>
      <c r="E269" s="35" t="s">
        <v>1014</v>
      </c>
      <c r="F269" s="36" t="s">
        <v>328</v>
      </c>
      <c r="G269" s="433">
        <v>24844</v>
      </c>
      <c r="H269" s="548" t="s">
        <v>991</v>
      </c>
      <c r="I269" s="433">
        <v>26644</v>
      </c>
      <c r="J269" s="26">
        <f t="shared" si="227"/>
        <v>-1800</v>
      </c>
      <c r="K269" s="27">
        <f t="shared" si="228"/>
        <v>0.97916666666424135</v>
      </c>
      <c r="L269" s="27">
        <f>'[64]HAMPTON OCEAN'!$F$57</f>
        <v>0.55555555556202307</v>
      </c>
      <c r="M269" s="434">
        <f t="shared" si="229"/>
        <v>25372.595744743696</v>
      </c>
      <c r="N269" s="434">
        <f t="shared" si="230"/>
        <v>44719.199999479402</v>
      </c>
      <c r="O269" s="434">
        <v>30000</v>
      </c>
      <c r="P269" s="648">
        <v>149550</v>
      </c>
      <c r="Q269" s="648">
        <v>144300</v>
      </c>
      <c r="R269" s="648">
        <f t="shared" si="231"/>
        <v>5250</v>
      </c>
      <c r="S269" s="435">
        <f t="shared" si="232"/>
        <v>0.21131862824021896</v>
      </c>
      <c r="T269" s="435">
        <f t="shared" si="233"/>
        <v>0.21131862824021896</v>
      </c>
      <c r="U269" s="69"/>
      <c r="V269" s="436"/>
      <c r="W269" s="437"/>
      <c r="X269" s="637"/>
      <c r="Y269" s="33"/>
      <c r="Z269" s="638">
        <v>403081780.11703658</v>
      </c>
      <c r="AA269" s="33"/>
      <c r="AB269" s="438"/>
      <c r="AC269" s="33"/>
    </row>
    <row r="270" spans="1:29" x14ac:dyDescent="0.3">
      <c r="A270" s="689">
        <v>44655.027777777781</v>
      </c>
      <c r="B270" s="689">
        <v>44657.805555555555</v>
      </c>
      <c r="C270" s="23"/>
      <c r="D270" s="23"/>
      <c r="E270" s="35" t="s">
        <v>1013</v>
      </c>
      <c r="F270" s="25" t="s">
        <v>328</v>
      </c>
      <c r="G270" s="433">
        <v>49078</v>
      </c>
      <c r="H270" s="548" t="s">
        <v>1004</v>
      </c>
      <c r="I270" s="433">
        <v>50350</v>
      </c>
      <c r="J270" s="26">
        <f t="shared" si="227"/>
        <v>-1272</v>
      </c>
      <c r="K270" s="27">
        <f t="shared" si="228"/>
        <v>2.7777777777737356</v>
      </c>
      <c r="L270" s="27">
        <f>'[64]MINERAL NOBLE'!$F$108</f>
        <v>1.9861111110949423</v>
      </c>
      <c r="M270" s="434">
        <f t="shared" si="229"/>
        <v>17668.080000025711</v>
      </c>
      <c r="N270" s="434">
        <f t="shared" si="230"/>
        <v>24710.601398802566</v>
      </c>
      <c r="O270" s="434">
        <v>30000</v>
      </c>
      <c r="P270" s="648">
        <v>142279</v>
      </c>
      <c r="Q270" s="648">
        <v>127999</v>
      </c>
      <c r="R270" s="648">
        <f t="shared" si="231"/>
        <v>14280</v>
      </c>
      <c r="S270" s="435">
        <f t="shared" si="232"/>
        <v>0.29096540201312199</v>
      </c>
      <c r="T270" s="435">
        <f t="shared" si="233"/>
        <v>0.29096540201312199</v>
      </c>
      <c r="U270" s="435"/>
      <c r="V270" s="436"/>
      <c r="W270" s="437"/>
      <c r="X270" s="637"/>
      <c r="Y270" s="33"/>
      <c r="Z270" s="638">
        <v>794849541.5334481</v>
      </c>
      <c r="AA270" s="33"/>
      <c r="AB270" s="438"/>
      <c r="AC270" s="33"/>
    </row>
    <row r="271" spans="1:29" x14ac:dyDescent="0.3">
      <c r="A271" s="689">
        <v>44658.145833333336</v>
      </c>
      <c r="B271" s="689">
        <v>44659.017361111109</v>
      </c>
      <c r="C271" s="23"/>
      <c r="D271" s="23"/>
      <c r="E271" s="35" t="s">
        <v>1016</v>
      </c>
      <c r="F271" s="25" t="s">
        <v>328</v>
      </c>
      <c r="G271" s="433">
        <v>29421</v>
      </c>
      <c r="H271" s="548" t="s">
        <v>998</v>
      </c>
      <c r="I271" s="433">
        <v>54564</v>
      </c>
      <c r="J271" s="26">
        <f t="shared" si="227"/>
        <v>-25143</v>
      </c>
      <c r="K271" s="27">
        <f t="shared" si="228"/>
        <v>0.87152777777373558</v>
      </c>
      <c r="L271" s="27">
        <f>'[64]THALASSINI AGATHA'!$F$60</f>
        <v>0.57465277778101154</v>
      </c>
      <c r="M271" s="434">
        <f t="shared" si="229"/>
        <v>33757.96015951912</v>
      </c>
      <c r="N271" s="434">
        <f t="shared" si="230"/>
        <v>51197.873111494373</v>
      </c>
      <c r="O271" s="434">
        <v>30000</v>
      </c>
      <c r="P271" s="648">
        <v>126567</v>
      </c>
      <c r="Q271" s="648">
        <v>121787</v>
      </c>
      <c r="R271" s="648">
        <f t="shared" si="231"/>
        <v>4780</v>
      </c>
      <c r="S271" s="435">
        <f t="shared" si="232"/>
        <v>0.16246898473879201</v>
      </c>
      <c r="T271" s="435">
        <f t="shared" si="233"/>
        <v>0.16246898473879201</v>
      </c>
      <c r="U271" s="435"/>
      <c r="V271" s="436"/>
      <c r="W271" s="437"/>
      <c r="X271" s="637"/>
      <c r="Y271" s="33"/>
      <c r="Z271" s="638">
        <v>477075803.43814367</v>
      </c>
      <c r="AA271" s="33"/>
      <c r="AB271" s="438"/>
      <c r="AC271" s="33"/>
    </row>
    <row r="272" spans="1:29" x14ac:dyDescent="0.3">
      <c r="A272" s="689">
        <v>44659.354166666664</v>
      </c>
      <c r="B272" s="689">
        <v>44660.34375</v>
      </c>
      <c r="C272" s="23"/>
      <c r="D272" s="23"/>
      <c r="E272" s="35" t="s">
        <v>1015</v>
      </c>
      <c r="F272" s="25" t="s">
        <v>328</v>
      </c>
      <c r="G272" s="433">
        <v>30137</v>
      </c>
      <c r="H272" s="548" t="s">
        <v>991</v>
      </c>
      <c r="I272" s="433">
        <v>30137</v>
      </c>
      <c r="J272" s="26">
        <f t="shared" si="227"/>
        <v>0</v>
      </c>
      <c r="K272" s="27">
        <f t="shared" si="228"/>
        <v>0.98958333333575865</v>
      </c>
      <c r="L272" s="27">
        <f>'[64]ANGLO BARINTHUS (2)'!$F$64</f>
        <v>0.59375000001091394</v>
      </c>
      <c r="M272" s="434">
        <f t="shared" si="229"/>
        <v>30454.231578872728</v>
      </c>
      <c r="N272" s="434">
        <f t="shared" si="230"/>
        <v>50757.052630645965</v>
      </c>
      <c r="O272" s="434">
        <v>30000</v>
      </c>
      <c r="P272" s="648">
        <v>120143</v>
      </c>
      <c r="Q272" s="648">
        <v>114831</v>
      </c>
      <c r="R272" s="648">
        <f t="shared" si="231"/>
        <v>5312</v>
      </c>
      <c r="S272" s="435">
        <f t="shared" si="232"/>
        <v>0.17626173806284634</v>
      </c>
      <c r="T272" s="435">
        <f t="shared" si="233"/>
        <v>0.17626173806284634</v>
      </c>
      <c r="U272" s="435"/>
      <c r="V272" s="436"/>
      <c r="W272" s="437"/>
      <c r="X272" s="637"/>
      <c r="Y272" s="33"/>
      <c r="Z272" s="638">
        <v>489012540.71118397</v>
      </c>
      <c r="AA272" s="33"/>
      <c r="AB272" s="438"/>
      <c r="AC272" s="33"/>
    </row>
    <row r="273" spans="1:29" x14ac:dyDescent="0.3">
      <c r="A273" s="689">
        <v>44660.819444444445</v>
      </c>
      <c r="B273" s="689">
        <v>44661.875</v>
      </c>
      <c r="C273" s="23"/>
      <c r="D273" s="23"/>
      <c r="E273" s="35" t="s">
        <v>1016</v>
      </c>
      <c r="F273" s="25" t="s">
        <v>328</v>
      </c>
      <c r="G273" s="433">
        <v>25144</v>
      </c>
      <c r="H273" s="548" t="s">
        <v>998</v>
      </c>
      <c r="I273" s="433">
        <v>25143</v>
      </c>
      <c r="J273" s="26">
        <f t="shared" si="227"/>
        <v>1</v>
      </c>
      <c r="K273" s="27">
        <f t="shared" si="228"/>
        <v>1.0555555555547471</v>
      </c>
      <c r="L273" s="27">
        <f>'[64]THALASSINI AGATHA (2)'!$F$60</f>
        <v>0.77083333333212067</v>
      </c>
      <c r="M273" s="434">
        <f t="shared" si="229"/>
        <v>23820.631578965611</v>
      </c>
      <c r="N273" s="434">
        <f t="shared" si="230"/>
        <v>32619.243243294561</v>
      </c>
      <c r="O273" s="434">
        <v>30000</v>
      </c>
      <c r="P273" s="648">
        <v>114265</v>
      </c>
      <c r="Q273" s="648">
        <v>108555</v>
      </c>
      <c r="R273" s="648">
        <f t="shared" si="231"/>
        <v>5710</v>
      </c>
      <c r="S273" s="435">
        <f t="shared" si="232"/>
        <v>0.22709195036589247</v>
      </c>
      <c r="T273" s="435">
        <f t="shared" si="233"/>
        <v>0.22709195036589247</v>
      </c>
      <c r="U273" s="435"/>
      <c r="V273" s="436"/>
      <c r="W273" s="437"/>
      <c r="X273" s="637"/>
      <c r="Y273" s="33"/>
      <c r="Z273" s="638">
        <v>407994535.74151409</v>
      </c>
      <c r="AA273" s="33"/>
      <c r="AB273" s="438"/>
      <c r="AC273" s="33"/>
    </row>
    <row r="274" spans="1:29" x14ac:dyDescent="0.3">
      <c r="A274" s="689">
        <v>44662.1875</v>
      </c>
      <c r="B274" s="689">
        <v>44664.125</v>
      </c>
      <c r="C274" s="23"/>
      <c r="D274" s="23"/>
      <c r="E274" s="35" t="s">
        <v>1017</v>
      </c>
      <c r="F274" s="25" t="s">
        <v>328</v>
      </c>
      <c r="G274" s="433">
        <v>36500</v>
      </c>
      <c r="H274" s="548" t="s">
        <v>1008</v>
      </c>
      <c r="I274" s="433">
        <v>35000</v>
      </c>
      <c r="J274" s="26">
        <f t="shared" si="227"/>
        <v>1500</v>
      </c>
      <c r="K274" s="27">
        <f t="shared" si="228"/>
        <v>1.9375</v>
      </c>
      <c r="L274" s="27">
        <f>'[64]FAR EASTERN MERCURY'!$F$79</f>
        <v>0.94444444445131615</v>
      </c>
      <c r="M274" s="434">
        <f t="shared" si="229"/>
        <v>18838.709677419356</v>
      </c>
      <c r="N274" s="434">
        <f t="shared" si="230"/>
        <v>38647.058823248219</v>
      </c>
      <c r="O274" s="434">
        <v>30000</v>
      </c>
      <c r="P274" s="648">
        <v>107390</v>
      </c>
      <c r="Q274" s="648">
        <v>99783</v>
      </c>
      <c r="R274" s="648">
        <f t="shared" si="231"/>
        <v>7607</v>
      </c>
      <c r="S274" s="435">
        <f t="shared" si="232"/>
        <v>0.2084109589041096</v>
      </c>
      <c r="T274" s="435">
        <f t="shared" si="233"/>
        <v>0.2084109589041096</v>
      </c>
      <c r="U274" s="435"/>
      <c r="V274" s="436"/>
      <c r="W274" s="437"/>
      <c r="X274" s="637"/>
      <c r="Y274" s="33"/>
      <c r="Z274" s="638">
        <v>592194693.8605634</v>
      </c>
      <c r="AA274" s="33"/>
      <c r="AB274" s="438"/>
      <c r="AC274" s="33"/>
    </row>
    <row r="275" spans="1:29" x14ac:dyDescent="0.3">
      <c r="A275" s="689">
        <v>44664.493055555555</v>
      </c>
      <c r="B275" s="689">
        <v>44666.361111111109</v>
      </c>
      <c r="C275" s="23"/>
      <c r="D275" s="23"/>
      <c r="E275" s="35" t="s">
        <v>1010</v>
      </c>
      <c r="F275" s="25" t="s">
        <v>328</v>
      </c>
      <c r="G275" s="433">
        <v>65481</v>
      </c>
      <c r="H275" s="548" t="s">
        <v>992</v>
      </c>
      <c r="I275" s="433">
        <v>65481</v>
      </c>
      <c r="J275" s="26">
        <f t="shared" si="227"/>
        <v>0</v>
      </c>
      <c r="K275" s="27">
        <f t="shared" si="228"/>
        <v>1.8680555555547471</v>
      </c>
      <c r="L275" s="27">
        <f>'[64]OCEAN ARTEMIS'!$F$108</f>
        <v>1.2899305555426206</v>
      </c>
      <c r="M275" s="434">
        <f t="shared" si="229"/>
        <v>35053.026022320002</v>
      </c>
      <c r="N275" s="434">
        <f t="shared" si="230"/>
        <v>50763.197847077005</v>
      </c>
      <c r="O275" s="434">
        <v>30000</v>
      </c>
      <c r="P275" s="648">
        <v>98759</v>
      </c>
      <c r="Q275" s="648">
        <v>89204</v>
      </c>
      <c r="R275" s="648">
        <f t="shared" si="231"/>
        <v>9555</v>
      </c>
      <c r="S275" s="435">
        <f t="shared" si="232"/>
        <v>0.14592019058963668</v>
      </c>
      <c r="T275" s="435">
        <f t="shared" si="233"/>
        <v>0.14592019058963668</v>
      </c>
      <c r="U275" s="435"/>
      <c r="V275" s="436"/>
      <c r="W275" s="437"/>
      <c r="X275" s="637"/>
      <c r="Y275" s="33"/>
      <c r="Z275" s="638">
        <v>1065322320.3414292</v>
      </c>
      <c r="AA275" s="33"/>
      <c r="AB275" s="438"/>
      <c r="AC275" s="33"/>
    </row>
    <row r="276" spans="1:29" x14ac:dyDescent="0.3">
      <c r="A276" s="689">
        <v>44667.041666666664</v>
      </c>
      <c r="B276" s="689">
        <v>44670.458333333336</v>
      </c>
      <c r="C276" s="23"/>
      <c r="D276" s="23"/>
      <c r="E276" s="35" t="s">
        <v>1018</v>
      </c>
      <c r="F276" s="25" t="s">
        <v>328</v>
      </c>
      <c r="G276" s="433">
        <v>77200</v>
      </c>
      <c r="H276" s="548" t="s">
        <v>991</v>
      </c>
      <c r="I276" s="433">
        <v>77200</v>
      </c>
      <c r="J276" s="26">
        <f t="shared" si="227"/>
        <v>0</v>
      </c>
      <c r="K276" s="27">
        <f t="shared" si="228"/>
        <v>3.4166666666715173</v>
      </c>
      <c r="L276" s="27">
        <f>'[64]SENTOSA SPIRIT'!$F$148</f>
        <v>1.5625000000024254</v>
      </c>
      <c r="M276" s="434">
        <f t="shared" si="229"/>
        <v>22595.121951187433</v>
      </c>
      <c r="N276" s="434">
        <f t="shared" si="230"/>
        <v>49407.999999923304</v>
      </c>
      <c r="O276" s="434">
        <v>30000</v>
      </c>
      <c r="P276" s="648">
        <v>86702</v>
      </c>
      <c r="Q276" s="648">
        <v>71021</v>
      </c>
      <c r="R276" s="648">
        <f t="shared" si="231"/>
        <v>15681</v>
      </c>
      <c r="S276" s="435">
        <f t="shared" si="232"/>
        <v>0.20312176165803109</v>
      </c>
      <c r="T276" s="435">
        <f t="shared" si="233"/>
        <v>0.20312176165803109</v>
      </c>
      <c r="U276" s="435"/>
      <c r="V276" s="436"/>
      <c r="W276" s="437"/>
      <c r="X276" s="637"/>
      <c r="Y276" s="33"/>
      <c r="Z276" s="638">
        <v>1256955840.0800002</v>
      </c>
      <c r="AA276" s="33"/>
      <c r="AB276" s="438"/>
      <c r="AC276" s="33"/>
    </row>
    <row r="277" spans="1:29" x14ac:dyDescent="0.3">
      <c r="A277" s="689">
        <v>44670.677083333336</v>
      </c>
      <c r="B277" s="689">
        <v>44672.107638888891</v>
      </c>
      <c r="C277" s="23"/>
      <c r="D277" s="23"/>
      <c r="E277" s="35" t="s">
        <v>1019</v>
      </c>
      <c r="F277" s="25" t="s">
        <v>328</v>
      </c>
      <c r="G277" s="433">
        <v>19435</v>
      </c>
      <c r="H277" s="548" t="s">
        <v>995</v>
      </c>
      <c r="I277" s="433">
        <v>19435</v>
      </c>
      <c r="J277" s="26">
        <f t="shared" si="227"/>
        <v>0</v>
      </c>
      <c r="K277" s="27">
        <f t="shared" si="228"/>
        <v>1.4305555555547471</v>
      </c>
      <c r="L277" s="27">
        <f>'[64]BULK LAMBERT'!$F$74</f>
        <v>0.8350694444598048</v>
      </c>
      <c r="M277" s="434">
        <f t="shared" si="229"/>
        <v>13585.631067968843</v>
      </c>
      <c r="N277" s="462">
        <f t="shared" si="230"/>
        <v>23273.513513085418</v>
      </c>
      <c r="O277" s="434">
        <v>30000</v>
      </c>
      <c r="P277" s="648">
        <v>70835</v>
      </c>
      <c r="Q277" s="648">
        <v>63867</v>
      </c>
      <c r="R277" s="648">
        <f t="shared" si="231"/>
        <v>6968</v>
      </c>
      <c r="S277" s="435">
        <f t="shared" si="232"/>
        <v>0.35852842809364549</v>
      </c>
      <c r="T277" s="435">
        <f t="shared" si="233"/>
        <v>0.35852842809364549</v>
      </c>
      <c r="U277" s="435"/>
      <c r="V277" s="436"/>
      <c r="W277" s="437"/>
      <c r="X277" s="637"/>
      <c r="Y277" s="33"/>
      <c r="Z277" s="638">
        <v>316261672.13420695</v>
      </c>
      <c r="AA277" s="33"/>
      <c r="AB277" s="438"/>
      <c r="AC277" s="33"/>
    </row>
    <row r="278" spans="1:29" x14ac:dyDescent="0.3">
      <c r="A278" s="689">
        <v>44673.027777777781</v>
      </c>
      <c r="B278" s="689">
        <v>44676.013888888891</v>
      </c>
      <c r="C278" s="23"/>
      <c r="D278" s="23"/>
      <c r="E278" s="35" t="s">
        <v>205</v>
      </c>
      <c r="F278" s="25" t="s">
        <v>328</v>
      </c>
      <c r="G278" s="433">
        <v>89600</v>
      </c>
      <c r="H278" s="548" t="s">
        <v>991</v>
      </c>
      <c r="I278" s="433">
        <v>89600</v>
      </c>
      <c r="J278" s="26">
        <f t="shared" si="227"/>
        <v>0</v>
      </c>
      <c r="K278" s="27">
        <f t="shared" si="228"/>
        <v>2.9861111111094942</v>
      </c>
      <c r="L278" s="27">
        <f>'[64]TAIPOWER PROSPERITY V'!$F$161</f>
        <v>1.8020833333199942</v>
      </c>
      <c r="M278" s="434">
        <f t="shared" si="229"/>
        <v>30005.581395365083</v>
      </c>
      <c r="N278" s="567">
        <f t="shared" si="230"/>
        <v>49720.231214240863</v>
      </c>
      <c r="O278" s="434">
        <v>30000</v>
      </c>
      <c r="P278" s="648">
        <v>55782</v>
      </c>
      <c r="Q278" s="648">
        <v>44221</v>
      </c>
      <c r="R278" s="648">
        <f t="shared" si="231"/>
        <v>11561</v>
      </c>
      <c r="S278" s="435">
        <f t="shared" si="232"/>
        <v>0.12902901785714285</v>
      </c>
      <c r="T278" s="435">
        <f t="shared" si="233"/>
        <v>0.12902901785714285</v>
      </c>
      <c r="U278" s="435"/>
      <c r="V278" s="436"/>
      <c r="W278" s="437"/>
      <c r="X278" s="637"/>
      <c r="Y278" s="33"/>
      <c r="Z278" s="638">
        <v>1459658907.4456341</v>
      </c>
      <c r="AA278" s="33"/>
      <c r="AB278" s="438"/>
      <c r="AC278" s="33"/>
    </row>
    <row r="279" spans="1:29" x14ac:dyDescent="0.3">
      <c r="A279" s="689">
        <v>44676.881944444445</v>
      </c>
      <c r="B279" s="689">
        <v>44678.989583333336</v>
      </c>
      <c r="C279" s="23"/>
      <c r="D279" s="23"/>
      <c r="E279" s="35" t="s">
        <v>1020</v>
      </c>
      <c r="F279" s="25" t="s">
        <v>328</v>
      </c>
      <c r="G279" s="433">
        <v>60401</v>
      </c>
      <c r="H279" s="548" t="s">
        <v>995</v>
      </c>
      <c r="I279" s="433">
        <v>60500</v>
      </c>
      <c r="J279" s="26">
        <f t="shared" si="227"/>
        <v>-99</v>
      </c>
      <c r="K279" s="27">
        <f t="shared" si="228"/>
        <v>2.1076388888905058</v>
      </c>
      <c r="L279" s="27">
        <f>'[64]LILA NANTONG'!$F$129</f>
        <v>1.2239583333284827</v>
      </c>
      <c r="M279" s="434">
        <f t="shared" si="229"/>
        <v>28658.13509058757</v>
      </c>
      <c r="N279" s="567">
        <f t="shared" si="230"/>
        <v>49348.902127855144</v>
      </c>
      <c r="O279" s="434">
        <v>30000</v>
      </c>
      <c r="P279" s="648">
        <v>242649</v>
      </c>
      <c r="Q279" s="648">
        <v>230958</v>
      </c>
      <c r="R279" s="648">
        <f t="shared" si="231"/>
        <v>11691</v>
      </c>
      <c r="S279" s="435">
        <f t="shared" si="232"/>
        <v>0.19355639807287958</v>
      </c>
      <c r="T279" s="435">
        <f t="shared" si="233"/>
        <v>0.19355639807287958</v>
      </c>
      <c r="U279" s="435"/>
      <c r="V279" s="436"/>
      <c r="W279" s="437"/>
      <c r="X279" s="637"/>
      <c r="Y279" s="33"/>
      <c r="Z279" s="638">
        <v>989553609.10947311</v>
      </c>
      <c r="AA279" s="33"/>
      <c r="AB279" s="438"/>
      <c r="AC279" s="33"/>
    </row>
    <row r="280" spans="1:29" ht="27.6" x14ac:dyDescent="0.3">
      <c r="A280" s="689">
        <v>44679.8125</v>
      </c>
      <c r="B280" s="689">
        <v>44680.503472222219</v>
      </c>
      <c r="C280" s="47"/>
      <c r="D280" s="47"/>
      <c r="E280" s="650" t="s">
        <v>1021</v>
      </c>
      <c r="F280" s="110" t="s">
        <v>328</v>
      </c>
      <c r="G280" s="487">
        <v>22700</v>
      </c>
      <c r="H280" s="651" t="s">
        <v>1022</v>
      </c>
      <c r="I280" s="487">
        <v>24000</v>
      </c>
      <c r="J280" s="640">
        <f t="shared" si="227"/>
        <v>-1300</v>
      </c>
      <c r="K280" s="493">
        <f t="shared" si="228"/>
        <v>0.69097222221898846</v>
      </c>
      <c r="L280" s="493">
        <f>[64]SKYROS!$F$49</f>
        <v>0.40451388889050577</v>
      </c>
      <c r="M280" s="652">
        <f t="shared" si="229"/>
        <v>32852.261306686414</v>
      </c>
      <c r="N280" s="653">
        <f t="shared" si="230"/>
        <v>56116.73819720059</v>
      </c>
      <c r="O280" s="652">
        <v>30000</v>
      </c>
      <c r="P280" s="654">
        <v>228780</v>
      </c>
      <c r="Q280" s="654">
        <v>225210</v>
      </c>
      <c r="R280" s="654">
        <f t="shared" si="231"/>
        <v>3570</v>
      </c>
      <c r="S280" s="655">
        <f t="shared" si="232"/>
        <v>0.15726872246696036</v>
      </c>
      <c r="T280" s="655">
        <f t="shared" si="233"/>
        <v>0.15726872246696036</v>
      </c>
      <c r="U280" s="450"/>
      <c r="V280" s="500"/>
      <c r="W280" s="656"/>
      <c r="X280" s="657"/>
      <c r="Y280" s="658"/>
      <c r="Z280" s="659">
        <v>372142411.09570414</v>
      </c>
      <c r="AA280" s="658"/>
      <c r="AB280" s="660"/>
      <c r="AC280" s="658"/>
    </row>
    <row r="281" spans="1:29" x14ac:dyDescent="0.3">
      <c r="A281" s="689">
        <v>44680.826388888891</v>
      </c>
      <c r="B281" s="689">
        <v>44682.732638888891</v>
      </c>
      <c r="C281" s="23"/>
      <c r="D281" s="14"/>
      <c r="E281" s="35" t="s">
        <v>1023</v>
      </c>
      <c r="F281" s="25" t="s">
        <v>328</v>
      </c>
      <c r="G281" s="433">
        <v>63800</v>
      </c>
      <c r="H281" s="548" t="s">
        <v>991</v>
      </c>
      <c r="I281" s="433">
        <v>63365</v>
      </c>
      <c r="J281" s="26">
        <f t="shared" ref="J281:J292" si="234">G281-I281</f>
        <v>435</v>
      </c>
      <c r="K281" s="27">
        <f t="shared" ref="K281:K292" si="235">B281-A281</f>
        <v>1.90625</v>
      </c>
      <c r="L281" s="27">
        <f>'[65]FOMENTO ONE'!$F$103</f>
        <v>1.2812500000109139</v>
      </c>
      <c r="M281" s="434">
        <f t="shared" ref="M281:M292" si="236">(G281)/K281</f>
        <v>33468.852459016394</v>
      </c>
      <c r="N281" s="567">
        <f t="shared" ref="N281:N292" si="237">(G281)/L281</f>
        <v>49795.12195079535</v>
      </c>
      <c r="O281" s="434">
        <v>30000</v>
      </c>
      <c r="P281" s="648">
        <v>224393</v>
      </c>
      <c r="Q281" s="648">
        <v>214943</v>
      </c>
      <c r="R281" s="648">
        <f t="shared" ref="R281:R292" si="238">P281-Q281</f>
        <v>9450</v>
      </c>
      <c r="S281" s="435">
        <f t="shared" ref="S281:S292" si="239">R281/(G281)</f>
        <v>0.14811912225705329</v>
      </c>
      <c r="T281" s="435">
        <f t="shared" ref="T281:T292" si="240">R281/(G281)</f>
        <v>0.14811912225705329</v>
      </c>
      <c r="U281" s="435"/>
      <c r="V281" s="436"/>
      <c r="W281" s="437"/>
      <c r="X281" s="637"/>
      <c r="Y281" s="33"/>
      <c r="Z281" s="638">
        <v>1068374590.6760561</v>
      </c>
      <c r="AA281" s="33"/>
      <c r="AB281" s="438"/>
      <c r="AC281" s="33"/>
    </row>
    <row r="282" spans="1:29" x14ac:dyDescent="0.3">
      <c r="A282" s="689">
        <v>44684.1875</v>
      </c>
      <c r="B282" s="689">
        <v>44686.25</v>
      </c>
      <c r="C282" s="23"/>
      <c r="D282" s="14"/>
      <c r="E282" s="35" t="s">
        <v>1001</v>
      </c>
      <c r="F282" s="25" t="s">
        <v>328</v>
      </c>
      <c r="G282" s="433">
        <v>72000</v>
      </c>
      <c r="H282" s="548" t="s">
        <v>991</v>
      </c>
      <c r="I282" s="433">
        <v>72000</v>
      </c>
      <c r="J282" s="26">
        <f t="shared" si="234"/>
        <v>0</v>
      </c>
      <c r="K282" s="27">
        <f t="shared" si="235"/>
        <v>2.0625</v>
      </c>
      <c r="L282" s="27">
        <f>'[65]LUMOSO KASIH'!$F$110</f>
        <v>1.3576388888977817</v>
      </c>
      <c r="M282" s="434">
        <f t="shared" si="236"/>
        <v>34909.090909090912</v>
      </c>
      <c r="N282" s="567">
        <f t="shared" si="237"/>
        <v>53033.24808149405</v>
      </c>
      <c r="O282" s="434">
        <v>30000</v>
      </c>
      <c r="P282" s="648">
        <v>212459</v>
      </c>
      <c r="Q282" s="648">
        <v>201150</v>
      </c>
      <c r="R282" s="648">
        <f t="shared" si="238"/>
        <v>11309</v>
      </c>
      <c r="S282" s="435">
        <f t="shared" si="239"/>
        <v>0.15706944444444446</v>
      </c>
      <c r="T282" s="435">
        <f t="shared" si="240"/>
        <v>0.15706944444444446</v>
      </c>
      <c r="U282" s="435"/>
      <c r="V282" s="436"/>
      <c r="W282" s="437"/>
      <c r="X282" s="637"/>
      <c r="Y282" s="33"/>
      <c r="Z282" s="638">
        <v>1205689193.2394364</v>
      </c>
      <c r="AA282" s="33"/>
      <c r="AB282" s="438"/>
      <c r="AC282" s="33"/>
    </row>
    <row r="283" spans="1:29" x14ac:dyDescent="0.3">
      <c r="A283" s="689">
        <v>44686.552083333336</v>
      </c>
      <c r="B283" s="689">
        <v>44689.208333333336</v>
      </c>
      <c r="C283" s="23"/>
      <c r="D283" s="14"/>
      <c r="E283" s="35" t="s">
        <v>1024</v>
      </c>
      <c r="F283" s="25" t="s">
        <v>328</v>
      </c>
      <c r="G283" s="433">
        <v>74050</v>
      </c>
      <c r="H283" s="548" t="s">
        <v>1004</v>
      </c>
      <c r="I283" s="433">
        <v>74050</v>
      </c>
      <c r="J283" s="26">
        <f t="shared" si="234"/>
        <v>0</v>
      </c>
      <c r="K283" s="27">
        <f t="shared" si="235"/>
        <v>2.65625</v>
      </c>
      <c r="L283" s="27">
        <f>'[65]HONG RUN 6'!$F$141</f>
        <v>1.6284722222432417</v>
      </c>
      <c r="M283" s="434">
        <f t="shared" si="236"/>
        <v>27877.647058823528</v>
      </c>
      <c r="N283" s="567">
        <f t="shared" si="237"/>
        <v>45472.068229690252</v>
      </c>
      <c r="O283" s="434">
        <v>30000</v>
      </c>
      <c r="P283" s="648">
        <v>200616</v>
      </c>
      <c r="Q283" s="648">
        <v>186257</v>
      </c>
      <c r="R283" s="648">
        <f t="shared" si="238"/>
        <v>14359</v>
      </c>
      <c r="S283" s="435">
        <f t="shared" si="239"/>
        <v>0.19390952059419311</v>
      </c>
      <c r="T283" s="435">
        <f t="shared" si="240"/>
        <v>0.19390952059419311</v>
      </c>
      <c r="U283" s="435"/>
      <c r="V283" s="436"/>
      <c r="W283" s="437"/>
      <c r="X283" s="637"/>
      <c r="Y283" s="33"/>
      <c r="Z283" s="638">
        <v>1240017843.8802814</v>
      </c>
      <c r="AA283" s="33"/>
      <c r="AB283" s="438"/>
      <c r="AC283" s="33"/>
    </row>
    <row r="284" spans="1:29" x14ac:dyDescent="0.3">
      <c r="A284" s="689">
        <v>44689.736111111109</v>
      </c>
      <c r="B284" s="689">
        <v>44690.75</v>
      </c>
      <c r="C284" s="23"/>
      <c r="D284" s="14"/>
      <c r="E284" s="35" t="s">
        <v>1025</v>
      </c>
      <c r="F284" s="25" t="s">
        <v>328</v>
      </c>
      <c r="G284" s="433">
        <v>15760</v>
      </c>
      <c r="H284" s="548" t="s">
        <v>995</v>
      </c>
      <c r="I284" s="433">
        <v>15000</v>
      </c>
      <c r="J284" s="26">
        <f t="shared" si="234"/>
        <v>760</v>
      </c>
      <c r="K284" s="27">
        <f t="shared" si="235"/>
        <v>1.0138888888905058</v>
      </c>
      <c r="L284" s="27">
        <f>'[65]NEW ELLY'!$F$58</f>
        <v>0.61805555555110914</v>
      </c>
      <c r="M284" s="434">
        <f t="shared" si="236"/>
        <v>15544.109589016307</v>
      </c>
      <c r="N284" s="567">
        <f t="shared" si="237"/>
        <v>25499.325842880076</v>
      </c>
      <c r="O284" s="434">
        <v>30000</v>
      </c>
      <c r="P284" s="648">
        <v>185628</v>
      </c>
      <c r="Q284" s="648">
        <v>179300</v>
      </c>
      <c r="R284" s="648">
        <f t="shared" si="238"/>
        <v>6328</v>
      </c>
      <c r="S284" s="435">
        <f t="shared" si="239"/>
        <v>0.40152284263959392</v>
      </c>
      <c r="T284" s="435">
        <f t="shared" si="240"/>
        <v>0.40152284263959392</v>
      </c>
      <c r="U284" s="435"/>
      <c r="V284" s="436"/>
      <c r="W284" s="437"/>
      <c r="X284" s="637"/>
      <c r="Y284" s="33"/>
      <c r="Z284" s="638">
        <v>263911967.85352108</v>
      </c>
      <c r="AA284" s="33"/>
      <c r="AB284" s="438"/>
      <c r="AC284" s="33"/>
    </row>
    <row r="285" spans="1:29" x14ac:dyDescent="0.3">
      <c r="A285" s="689">
        <v>44691.559027777781</v>
      </c>
      <c r="B285" s="689">
        <v>44694.791666666664</v>
      </c>
      <c r="C285" s="23"/>
      <c r="D285" s="14"/>
      <c r="E285" s="35" t="s">
        <v>205</v>
      </c>
      <c r="F285" s="25" t="s">
        <v>328</v>
      </c>
      <c r="G285" s="433">
        <v>89900</v>
      </c>
      <c r="H285" s="548" t="s">
        <v>991</v>
      </c>
      <c r="I285" s="433">
        <v>89900</v>
      </c>
      <c r="J285" s="26">
        <f t="shared" si="234"/>
        <v>0</v>
      </c>
      <c r="K285" s="27">
        <f t="shared" si="235"/>
        <v>3.2326388888832298</v>
      </c>
      <c r="L285" s="27">
        <f>'[65]TAIPOWER PROSPERITY V'!$F$140</f>
        <v>1.6770833333090802</v>
      </c>
      <c r="M285" s="434">
        <f t="shared" si="236"/>
        <v>27810.09667029573</v>
      </c>
      <c r="N285" s="567">
        <f t="shared" si="237"/>
        <v>53604.968944874585</v>
      </c>
      <c r="O285" s="434">
        <v>30000</v>
      </c>
      <c r="P285" s="648">
        <v>176188</v>
      </c>
      <c r="Q285" s="648">
        <v>159791</v>
      </c>
      <c r="R285" s="648">
        <f t="shared" si="238"/>
        <v>16397</v>
      </c>
      <c r="S285" s="435">
        <f t="shared" si="239"/>
        <v>0.18239154616240266</v>
      </c>
      <c r="T285" s="435">
        <f t="shared" si="240"/>
        <v>0.18239154616240266</v>
      </c>
      <c r="U285" s="435"/>
      <c r="V285" s="436"/>
      <c r="W285" s="437"/>
      <c r="X285" s="637"/>
      <c r="Y285" s="33"/>
      <c r="Z285" s="638">
        <v>1522680970.2495596</v>
      </c>
      <c r="AA285" s="33"/>
      <c r="AB285" s="438"/>
      <c r="AC285" s="33"/>
    </row>
    <row r="286" spans="1:29" x14ac:dyDescent="0.3">
      <c r="A286" s="689">
        <v>44695.055555555555</v>
      </c>
      <c r="B286" s="689">
        <v>44696.177083333336</v>
      </c>
      <c r="C286" s="23"/>
      <c r="D286" s="14"/>
      <c r="E286" s="35" t="s">
        <v>1026</v>
      </c>
      <c r="F286" s="25" t="s">
        <v>328</v>
      </c>
      <c r="G286" s="433">
        <v>30001</v>
      </c>
      <c r="H286" s="548" t="s">
        <v>1008</v>
      </c>
      <c r="I286" s="433">
        <v>30000</v>
      </c>
      <c r="J286" s="26">
        <f t="shared" si="234"/>
        <v>1</v>
      </c>
      <c r="K286" s="27">
        <f t="shared" si="235"/>
        <v>1.1215277777810115</v>
      </c>
      <c r="L286" s="27">
        <f>[65]RESTINGA!$F$67</f>
        <v>0.55381944444889086</v>
      </c>
      <c r="M286" s="434">
        <f t="shared" si="236"/>
        <v>26750.117646981693</v>
      </c>
      <c r="N286" s="567">
        <f t="shared" si="237"/>
        <v>54171.084639063512</v>
      </c>
      <c r="O286" s="434">
        <v>30000</v>
      </c>
      <c r="P286" s="648">
        <v>156958</v>
      </c>
      <c r="Q286" s="648">
        <v>151812</v>
      </c>
      <c r="R286" s="648">
        <f t="shared" si="238"/>
        <v>5146</v>
      </c>
      <c r="S286" s="435">
        <f t="shared" si="239"/>
        <v>0.17152761574614178</v>
      </c>
      <c r="T286" s="435">
        <f t="shared" si="240"/>
        <v>0.17152761574614178</v>
      </c>
      <c r="U286" s="435"/>
      <c r="V286" s="436"/>
      <c r="W286" s="437"/>
      <c r="X286" s="637"/>
      <c r="Y286" s="33"/>
      <c r="Z286" s="638">
        <v>515753552.88635153</v>
      </c>
      <c r="AA286" s="33"/>
      <c r="AB286" s="438"/>
      <c r="AC286" s="33"/>
    </row>
    <row r="287" spans="1:29" x14ac:dyDescent="0.3">
      <c r="A287" s="689">
        <v>44696.517361111109</v>
      </c>
      <c r="B287" s="689">
        <v>44698.128472222219</v>
      </c>
      <c r="C287" s="23"/>
      <c r="D287" s="14"/>
      <c r="E287" s="35" t="s">
        <v>1027</v>
      </c>
      <c r="F287" s="25" t="s">
        <v>328</v>
      </c>
      <c r="G287" s="433">
        <v>47902</v>
      </c>
      <c r="H287" s="548" t="s">
        <v>1028</v>
      </c>
      <c r="I287" s="433">
        <v>83040</v>
      </c>
      <c r="J287" s="26">
        <f t="shared" si="234"/>
        <v>-35138</v>
      </c>
      <c r="K287" s="27">
        <f t="shared" si="235"/>
        <v>1.6111111111094942</v>
      </c>
      <c r="L287" s="27">
        <f>'[65]MAHA ANOSHA'!$F$85</f>
        <v>0.90451388889050577</v>
      </c>
      <c r="M287" s="434">
        <f t="shared" si="236"/>
        <v>29732.275862098802</v>
      </c>
      <c r="N287" s="567">
        <f t="shared" si="237"/>
        <v>52958.833013341035</v>
      </c>
      <c r="O287" s="434">
        <v>30000</v>
      </c>
      <c r="P287" s="648">
        <v>151227</v>
      </c>
      <c r="Q287" s="648">
        <v>141460</v>
      </c>
      <c r="R287" s="648">
        <f t="shared" si="238"/>
        <v>9767</v>
      </c>
      <c r="S287" s="435">
        <f t="shared" si="239"/>
        <v>0.20389545321698468</v>
      </c>
      <c r="T287" s="435">
        <f t="shared" si="240"/>
        <v>0.20389545321698468</v>
      </c>
      <c r="U287" s="435"/>
      <c r="V287" s="436"/>
      <c r="W287" s="437"/>
      <c r="X287" s="637"/>
      <c r="Y287" s="33"/>
      <c r="Z287" s="638">
        <v>823493439.89740384</v>
      </c>
      <c r="AA287" s="33"/>
      <c r="AB287" s="438"/>
      <c r="AC287" s="33"/>
    </row>
    <row r="288" spans="1:29" x14ac:dyDescent="0.3">
      <c r="A288" s="689">
        <v>44698.388888888891</v>
      </c>
      <c r="B288" s="689">
        <v>44700.118055555555</v>
      </c>
      <c r="C288" s="23"/>
      <c r="D288" s="14"/>
      <c r="E288" s="35" t="s">
        <v>1029</v>
      </c>
      <c r="F288" s="25" t="s">
        <v>328</v>
      </c>
      <c r="G288" s="433">
        <v>54100</v>
      </c>
      <c r="H288" s="548" t="s">
        <v>991</v>
      </c>
      <c r="I288" s="433">
        <v>54100</v>
      </c>
      <c r="J288" s="26">
        <f t="shared" si="234"/>
        <v>0</v>
      </c>
      <c r="K288" s="27">
        <f t="shared" si="235"/>
        <v>1.7291666666642413</v>
      </c>
      <c r="L288" s="27">
        <f>[65]ATMOSPHERE!$F$102</f>
        <v>1.0625000000278912</v>
      </c>
      <c r="M288" s="434">
        <f t="shared" si="236"/>
        <v>31286.746987995692</v>
      </c>
      <c r="N288" s="567">
        <f t="shared" si="237"/>
        <v>50917.647057486909</v>
      </c>
      <c r="O288" s="434">
        <v>30000</v>
      </c>
      <c r="P288" s="648">
        <v>141210</v>
      </c>
      <c r="Q288" s="648">
        <v>132182</v>
      </c>
      <c r="R288" s="648">
        <f t="shared" si="238"/>
        <v>9028</v>
      </c>
      <c r="S288" s="435">
        <f t="shared" si="239"/>
        <v>0.16687615526802219</v>
      </c>
      <c r="T288" s="435">
        <f t="shared" si="240"/>
        <v>0.16687615526802219</v>
      </c>
      <c r="U288" s="435"/>
      <c r="V288" s="436"/>
      <c r="W288" s="437"/>
      <c r="X288" s="637"/>
      <c r="Y288" s="33"/>
      <c r="Z288" s="638">
        <v>936321398.9082396</v>
      </c>
      <c r="AA288" s="33"/>
      <c r="AB288" s="438"/>
      <c r="AC288" s="33"/>
    </row>
    <row r="289" spans="1:29" x14ac:dyDescent="0.3">
      <c r="A289" s="689">
        <v>44700.368055555555</v>
      </c>
      <c r="B289" s="689">
        <v>44702.173611111109</v>
      </c>
      <c r="C289" s="23"/>
      <c r="D289" s="14"/>
      <c r="E289" s="35" t="s">
        <v>1026</v>
      </c>
      <c r="F289" s="25" t="s">
        <v>328</v>
      </c>
      <c r="G289" s="433">
        <v>46335</v>
      </c>
      <c r="H289" s="548" t="s">
        <v>1008</v>
      </c>
      <c r="I289" s="433">
        <v>46500</v>
      </c>
      <c r="J289" s="26">
        <f t="shared" si="234"/>
        <v>-165</v>
      </c>
      <c r="K289" s="27">
        <f t="shared" si="235"/>
        <v>1.8055555555547471</v>
      </c>
      <c r="L289" s="27">
        <f>'[65]RESTINGA (2)'!$F$100</f>
        <v>0.93576388887837914</v>
      </c>
      <c r="M289" s="434">
        <f t="shared" si="236"/>
        <v>25662.461538473028</v>
      </c>
      <c r="N289" s="567">
        <f t="shared" si="237"/>
        <v>49515.695733394714</v>
      </c>
      <c r="O289" s="434">
        <v>30000</v>
      </c>
      <c r="P289" s="648">
        <v>131242</v>
      </c>
      <c r="Q289" s="648">
        <v>120764</v>
      </c>
      <c r="R289" s="648">
        <f t="shared" si="238"/>
        <v>10478</v>
      </c>
      <c r="S289" s="435">
        <f t="shared" si="239"/>
        <v>0.22613575051257148</v>
      </c>
      <c r="T289" s="435">
        <f t="shared" si="240"/>
        <v>0.22613575051257148</v>
      </c>
      <c r="U289" s="435"/>
      <c r="V289" s="436"/>
      <c r="W289" s="437"/>
      <c r="X289" s="639"/>
      <c r="Y289" s="33"/>
      <c r="Z289" s="638">
        <v>800136182.4135555</v>
      </c>
      <c r="AA289" s="33"/>
      <c r="AB289" s="438"/>
      <c r="AC289" s="33"/>
    </row>
    <row r="290" spans="1:29" x14ac:dyDescent="0.3">
      <c r="A290" s="689">
        <v>44702.434027777781</v>
      </c>
      <c r="B290" s="689">
        <v>44705.013888888891</v>
      </c>
      <c r="C290" s="23"/>
      <c r="D290" s="14"/>
      <c r="E290" s="35" t="s">
        <v>1030</v>
      </c>
      <c r="F290" s="25" t="s">
        <v>328</v>
      </c>
      <c r="G290" s="433">
        <v>88000</v>
      </c>
      <c r="H290" s="548" t="s">
        <v>991</v>
      </c>
      <c r="I290" s="433">
        <v>88000</v>
      </c>
      <c r="J290" s="26">
        <f t="shared" si="234"/>
        <v>0</v>
      </c>
      <c r="K290" s="27">
        <f t="shared" si="235"/>
        <v>2.5798611111094942</v>
      </c>
      <c r="L290" s="27">
        <f>'[65]TW MANILA'!$F$135</f>
        <v>1.7604166666812187</v>
      </c>
      <c r="M290" s="434">
        <f t="shared" si="236"/>
        <v>34110.36339167683</v>
      </c>
      <c r="N290" s="567">
        <f t="shared" si="237"/>
        <v>49988.165680060163</v>
      </c>
      <c r="O290" s="434">
        <v>30000</v>
      </c>
      <c r="P290" s="648">
        <v>120077</v>
      </c>
      <c r="Q290" s="648">
        <v>106161</v>
      </c>
      <c r="R290" s="648">
        <f t="shared" si="238"/>
        <v>13916</v>
      </c>
      <c r="S290" s="435">
        <f t="shared" si="239"/>
        <v>0.15813636363636363</v>
      </c>
      <c r="T290" s="435">
        <f t="shared" si="240"/>
        <v>0.15813636363636363</v>
      </c>
      <c r="U290" s="435"/>
      <c r="V290" s="436"/>
      <c r="W290" s="437"/>
      <c r="X290" s="639"/>
      <c r="Y290" s="33"/>
      <c r="Z290" s="638">
        <v>1520277252.9225349</v>
      </c>
      <c r="AA290" s="33"/>
      <c r="AB290" s="438"/>
      <c r="AC290" s="33"/>
    </row>
    <row r="291" spans="1:29" x14ac:dyDescent="0.3">
      <c r="A291" s="689">
        <v>44705.368055555555</v>
      </c>
      <c r="B291" s="689">
        <v>44706.131944444445</v>
      </c>
      <c r="C291" s="23"/>
      <c r="D291" s="14"/>
      <c r="E291" s="35" t="s">
        <v>1031</v>
      </c>
      <c r="F291" s="25" t="s">
        <v>328</v>
      </c>
      <c r="G291" s="433">
        <v>23719</v>
      </c>
      <c r="H291" s="548" t="s">
        <v>1028</v>
      </c>
      <c r="I291" s="433">
        <v>25000</v>
      </c>
      <c r="J291" s="26">
        <f t="shared" si="234"/>
        <v>-1281</v>
      </c>
      <c r="K291" s="27">
        <f t="shared" si="235"/>
        <v>0.76388888889050577</v>
      </c>
      <c r="L291" s="27">
        <f>'[65]YANGTZE XING ZHONG'!$F$56</f>
        <v>0.47569444444889086</v>
      </c>
      <c r="M291" s="434">
        <f t="shared" si="236"/>
        <v>31050.327272661551</v>
      </c>
      <c r="N291" s="567">
        <f t="shared" si="237"/>
        <v>49861.839415592323</v>
      </c>
      <c r="O291" s="434">
        <v>30000</v>
      </c>
      <c r="P291" s="648">
        <v>104501</v>
      </c>
      <c r="Q291" s="648">
        <v>99310</v>
      </c>
      <c r="R291" s="648">
        <f t="shared" si="238"/>
        <v>5191</v>
      </c>
      <c r="S291" s="435">
        <f t="shared" si="239"/>
        <v>0.21885408322441924</v>
      </c>
      <c r="T291" s="435">
        <f t="shared" si="240"/>
        <v>0.21885408322441924</v>
      </c>
      <c r="U291" s="435"/>
      <c r="V291" s="436"/>
      <c r="W291" s="437"/>
      <c r="X291" s="639"/>
      <c r="Y291" s="33"/>
      <c r="Z291" s="638">
        <v>409242063.78175128</v>
      </c>
      <c r="AA291" s="33"/>
      <c r="AB291" s="438"/>
      <c r="AC291" s="33"/>
    </row>
    <row r="292" spans="1:29" x14ac:dyDescent="0.3">
      <c r="A292" s="689">
        <v>44708.625</v>
      </c>
      <c r="B292" s="689">
        <v>44710.541666666664</v>
      </c>
      <c r="C292" s="23"/>
      <c r="D292" s="14"/>
      <c r="E292" s="35" t="s">
        <v>1032</v>
      </c>
      <c r="F292" s="36" t="s">
        <v>328</v>
      </c>
      <c r="G292" s="433">
        <v>59781</v>
      </c>
      <c r="H292" s="548" t="s">
        <v>991</v>
      </c>
      <c r="I292" s="433">
        <v>59781</v>
      </c>
      <c r="J292" s="26">
        <f t="shared" si="234"/>
        <v>0</v>
      </c>
      <c r="K292" s="27">
        <f t="shared" si="235"/>
        <v>1.9166666666642413</v>
      </c>
      <c r="L292" s="27">
        <f>'[65]GOLDEN SCAPE'!$F$102</f>
        <v>1.3993055555426206</v>
      </c>
      <c r="M292" s="434">
        <f t="shared" si="236"/>
        <v>31190.086956561208</v>
      </c>
      <c r="N292" s="567">
        <f t="shared" si="237"/>
        <v>42721.905707590944</v>
      </c>
      <c r="O292" s="434">
        <v>30000</v>
      </c>
      <c r="P292" s="648">
        <v>93627</v>
      </c>
      <c r="Q292" s="648">
        <v>83507</v>
      </c>
      <c r="R292" s="648">
        <f t="shared" si="238"/>
        <v>10120</v>
      </c>
      <c r="S292" s="435">
        <f t="shared" si="239"/>
        <v>0.1692845552934879</v>
      </c>
      <c r="T292" s="435">
        <f t="shared" si="240"/>
        <v>0.1692845552934879</v>
      </c>
      <c r="U292" s="435"/>
      <c r="V292" s="436"/>
      <c r="W292" s="437"/>
      <c r="X292" s="637"/>
      <c r="Y292" s="33"/>
      <c r="Z292" s="638">
        <v>1023209996.1004626</v>
      </c>
      <c r="AA292" s="33"/>
      <c r="AB292" s="438"/>
      <c r="AC292" s="33"/>
    </row>
    <row r="293" spans="1:29" x14ac:dyDescent="0.3">
      <c r="A293" s="689">
        <v>44713.548611111109</v>
      </c>
      <c r="B293" s="689">
        <v>44714.666666666664</v>
      </c>
      <c r="C293" s="23"/>
      <c r="D293" s="14"/>
      <c r="E293" s="24" t="s">
        <v>1033</v>
      </c>
      <c r="F293" s="36" t="s">
        <v>328</v>
      </c>
      <c r="G293" s="433">
        <v>32547</v>
      </c>
      <c r="H293" s="548" t="s">
        <v>1034</v>
      </c>
      <c r="I293" s="433">
        <v>30000</v>
      </c>
      <c r="J293" s="26">
        <f t="shared" ref="J293:J306" si="241">G293-I293</f>
        <v>2547</v>
      </c>
      <c r="K293" s="27">
        <f t="shared" ref="K293:K306" si="242">B293-A293</f>
        <v>1.1180555555547471</v>
      </c>
      <c r="L293" s="27">
        <f>'[66]RUBY INDAH'!$F$82</f>
        <v>0.80034722222141375</v>
      </c>
      <c r="M293" s="434">
        <f t="shared" ref="M293:M306" si="243">(G293)/K293</f>
        <v>29110.360248468252</v>
      </c>
      <c r="N293" s="567">
        <f t="shared" ref="N293:N306" si="244">(G293)/L293</f>
        <v>40666.099783121339</v>
      </c>
      <c r="O293" s="434">
        <v>30000</v>
      </c>
      <c r="P293" s="648">
        <v>227283</v>
      </c>
      <c r="Q293" s="648">
        <v>220998</v>
      </c>
      <c r="R293" s="648">
        <f t="shared" ref="R293:R306" si="245">P293-Q293</f>
        <v>6285</v>
      </c>
      <c r="S293" s="435">
        <f t="shared" ref="S293:S306" si="246">R293/(G293)</f>
        <v>0.1931053553322887</v>
      </c>
      <c r="T293" s="435">
        <f t="shared" ref="T293:T306" si="247">R293/(G293)</f>
        <v>0.1931053553322887</v>
      </c>
      <c r="U293" s="435"/>
      <c r="V293" s="436"/>
      <c r="W293" s="32"/>
      <c r="X293" s="637"/>
      <c r="Y293" s="33"/>
      <c r="Z293" s="638">
        <v>559854754.53758037</v>
      </c>
      <c r="AA293" s="33"/>
      <c r="AB293" s="438"/>
      <c r="AC293" s="33"/>
    </row>
    <row r="294" spans="1:29" x14ac:dyDescent="0.3">
      <c r="A294" s="689">
        <v>44715.774305555555</v>
      </c>
      <c r="B294" s="689">
        <v>44717.25</v>
      </c>
      <c r="C294" s="23"/>
      <c r="D294" s="14"/>
      <c r="E294" s="24" t="s">
        <v>800</v>
      </c>
      <c r="F294" s="36" t="s">
        <v>328</v>
      </c>
      <c r="G294" s="433">
        <v>41553</v>
      </c>
      <c r="H294" s="548" t="s">
        <v>991</v>
      </c>
      <c r="I294" s="433">
        <v>42000</v>
      </c>
      <c r="J294" s="26">
        <f t="shared" si="241"/>
        <v>-447</v>
      </c>
      <c r="K294" s="27">
        <f t="shared" si="242"/>
        <v>1.4756944444452529</v>
      </c>
      <c r="L294" s="27">
        <f>'[66]ORIENT PRIMA'!$F$91</f>
        <v>0.99479166666302865</v>
      </c>
      <c r="M294" s="434">
        <f t="shared" si="243"/>
        <v>28158.268235278691</v>
      </c>
      <c r="N294" s="567">
        <f t="shared" si="244"/>
        <v>41770.554973974744</v>
      </c>
      <c r="O294" s="434">
        <v>30000</v>
      </c>
      <c r="P294" s="648">
        <v>218226</v>
      </c>
      <c r="Q294" s="648">
        <v>209181</v>
      </c>
      <c r="R294" s="648">
        <f t="shared" si="245"/>
        <v>9045</v>
      </c>
      <c r="S294" s="435">
        <f t="shared" si="246"/>
        <v>0.21767381416504222</v>
      </c>
      <c r="T294" s="435">
        <f t="shared" si="247"/>
        <v>0.21767381416504222</v>
      </c>
      <c r="U294" s="435"/>
      <c r="V294" s="436"/>
      <c r="W294" s="32"/>
      <c r="X294" s="637"/>
      <c r="Y294" s="33"/>
      <c r="Z294" s="638">
        <v>702567111.5551728</v>
      </c>
      <c r="AA294" s="33"/>
      <c r="AB294" s="438"/>
      <c r="AC294" s="33"/>
    </row>
    <row r="295" spans="1:29" x14ac:dyDescent="0.3">
      <c r="A295" s="689">
        <v>44718.701388888891</v>
      </c>
      <c r="B295" s="689">
        <v>44720.381944444445</v>
      </c>
      <c r="C295" s="23"/>
      <c r="D295" s="14"/>
      <c r="E295" s="24" t="s">
        <v>1035</v>
      </c>
      <c r="F295" s="36" t="s">
        <v>328</v>
      </c>
      <c r="G295" s="433">
        <v>60600</v>
      </c>
      <c r="H295" s="548" t="s">
        <v>1028</v>
      </c>
      <c r="I295" s="433">
        <v>60000</v>
      </c>
      <c r="J295" s="26">
        <f t="shared" si="241"/>
        <v>600</v>
      </c>
      <c r="K295" s="27">
        <f t="shared" si="242"/>
        <v>1.6805555555547471</v>
      </c>
      <c r="L295" s="27">
        <f>'[66]STAR EUROPE'!$F$103</f>
        <v>1.1927083333102928</v>
      </c>
      <c r="M295" s="434">
        <f t="shared" si="243"/>
        <v>36059.504132248752</v>
      </c>
      <c r="N295" s="567">
        <f t="shared" si="244"/>
        <v>50808.733625435663</v>
      </c>
      <c r="O295" s="434">
        <v>30000</v>
      </c>
      <c r="P295" s="648">
        <v>205999</v>
      </c>
      <c r="Q295" s="648">
        <v>196763</v>
      </c>
      <c r="R295" s="648">
        <f t="shared" si="245"/>
        <v>9236</v>
      </c>
      <c r="S295" s="435">
        <f t="shared" si="246"/>
        <v>0.15240924092409242</v>
      </c>
      <c r="T295" s="435">
        <f t="shared" si="247"/>
        <v>0.15240924092409242</v>
      </c>
      <c r="U295" s="435"/>
      <c r="V295" s="436"/>
      <c r="W295" s="32"/>
      <c r="X295" s="637"/>
      <c r="Y295" s="33"/>
      <c r="Z295" s="638">
        <v>1028240600.0569016</v>
      </c>
      <c r="AA295" s="33"/>
      <c r="AB295" s="438"/>
      <c r="AC295" s="33"/>
    </row>
    <row r="296" spans="1:29" x14ac:dyDescent="0.3">
      <c r="A296" s="689">
        <v>44720.854166666664</v>
      </c>
      <c r="B296" s="689">
        <v>44721.649305555555</v>
      </c>
      <c r="C296" s="23"/>
      <c r="D296" s="14"/>
      <c r="E296" s="24" t="s">
        <v>1036</v>
      </c>
      <c r="F296" s="36" t="s">
        <v>328</v>
      </c>
      <c r="G296" s="433">
        <v>26269</v>
      </c>
      <c r="H296" s="548" t="s">
        <v>995</v>
      </c>
      <c r="I296" s="433">
        <v>82500</v>
      </c>
      <c r="J296" s="26">
        <f t="shared" si="241"/>
        <v>-56231</v>
      </c>
      <c r="K296" s="27">
        <f t="shared" si="242"/>
        <v>0.79513888889050577</v>
      </c>
      <c r="L296" s="27">
        <f>[66]CARO!$F$56</f>
        <v>0.49131944445252884</v>
      </c>
      <c r="M296" s="434">
        <f t="shared" si="243"/>
        <v>33036.99563312059</v>
      </c>
      <c r="N296" s="567">
        <f t="shared" si="244"/>
        <v>53466.233214667947</v>
      </c>
      <c r="O296" s="434">
        <v>30000</v>
      </c>
      <c r="P296" s="648">
        <v>194866</v>
      </c>
      <c r="Q296" s="648">
        <v>190469</v>
      </c>
      <c r="R296" s="648">
        <f t="shared" si="245"/>
        <v>4397</v>
      </c>
      <c r="S296" s="435">
        <f t="shared" si="246"/>
        <v>0.16738360805512201</v>
      </c>
      <c r="T296" s="435">
        <f t="shared" si="247"/>
        <v>0.16738360805512201</v>
      </c>
      <c r="U296" s="435"/>
      <c r="V296" s="436"/>
      <c r="W296" s="32"/>
      <c r="X296" s="637"/>
      <c r="Y296" s="33"/>
      <c r="Z296" s="638">
        <v>446344819.75641847</v>
      </c>
      <c r="AA296" s="33"/>
      <c r="AB296" s="438"/>
      <c r="AC296" s="33"/>
    </row>
    <row r="297" spans="1:29" x14ac:dyDescent="0.3">
      <c r="A297" s="689">
        <v>44721.899305555555</v>
      </c>
      <c r="B297" s="689">
        <v>44723.458333333336</v>
      </c>
      <c r="C297" s="23"/>
      <c r="D297" s="14"/>
      <c r="E297" s="24" t="s">
        <v>1037</v>
      </c>
      <c r="F297" s="36" t="s">
        <v>328</v>
      </c>
      <c r="G297" s="433">
        <v>54611</v>
      </c>
      <c r="H297" s="548" t="s">
        <v>991</v>
      </c>
      <c r="I297" s="433">
        <v>54611</v>
      </c>
      <c r="J297" s="26">
        <f t="shared" si="241"/>
        <v>0</v>
      </c>
      <c r="K297" s="27">
        <f t="shared" si="242"/>
        <v>1.5590277777810115</v>
      </c>
      <c r="L297" s="27">
        <f>'[66]GENCO RESOLUTE'!$F$84</f>
        <v>1.1059027777773736</v>
      </c>
      <c r="M297" s="434">
        <f t="shared" si="243"/>
        <v>35028.881959838254</v>
      </c>
      <c r="N297" s="567">
        <f t="shared" si="244"/>
        <v>49381.375196250388</v>
      </c>
      <c r="O297" s="434">
        <v>30000</v>
      </c>
      <c r="P297" s="648">
        <v>189381</v>
      </c>
      <c r="Q297" s="648">
        <v>180244</v>
      </c>
      <c r="R297" s="648">
        <f t="shared" si="245"/>
        <v>9137</v>
      </c>
      <c r="S297" s="435">
        <f t="shared" si="246"/>
        <v>0.16731061507754849</v>
      </c>
      <c r="T297" s="435">
        <f t="shared" si="247"/>
        <v>0.16731061507754849</v>
      </c>
      <c r="U297" s="435"/>
      <c r="V297" s="436"/>
      <c r="W297" s="32"/>
      <c r="X297" s="637"/>
      <c r="Y297" s="33"/>
      <c r="Z297" s="638">
        <v>937084846.63726199</v>
      </c>
      <c r="AA297" s="33"/>
      <c r="AB297" s="438"/>
      <c r="AC297" s="33"/>
    </row>
    <row r="298" spans="1:29" x14ac:dyDescent="0.3">
      <c r="A298" s="689">
        <v>44723.895833333336</v>
      </c>
      <c r="B298" s="689">
        <v>44724.895833333336</v>
      </c>
      <c r="C298" s="23"/>
      <c r="D298" s="14"/>
      <c r="E298" s="35" t="s">
        <v>1038</v>
      </c>
      <c r="F298" s="36" t="s">
        <v>328</v>
      </c>
      <c r="G298" s="433">
        <v>18179</v>
      </c>
      <c r="H298" s="548" t="s">
        <v>995</v>
      </c>
      <c r="I298" s="433">
        <v>18179</v>
      </c>
      <c r="J298" s="26">
        <f t="shared" si="241"/>
        <v>0</v>
      </c>
      <c r="K298" s="27">
        <f t="shared" si="242"/>
        <v>1</v>
      </c>
      <c r="L298" s="27">
        <f>'[66]CARO (2)'!$F$63</f>
        <v>0.60069444445252884</v>
      </c>
      <c r="M298" s="434">
        <f t="shared" si="243"/>
        <v>18179</v>
      </c>
      <c r="N298" s="567">
        <f t="shared" si="244"/>
        <v>30263.306357974208</v>
      </c>
      <c r="O298" s="434">
        <v>30000</v>
      </c>
      <c r="P298" s="648">
        <v>178119</v>
      </c>
      <c r="Q298" s="648">
        <v>172557</v>
      </c>
      <c r="R298" s="648">
        <f t="shared" si="245"/>
        <v>5562</v>
      </c>
      <c r="S298" s="435">
        <f t="shared" si="246"/>
        <v>0.30595742340062709</v>
      </c>
      <c r="T298" s="435">
        <f t="shared" si="247"/>
        <v>0.30595742340062709</v>
      </c>
      <c r="U298" s="435"/>
      <c r="V298" s="436"/>
      <c r="W298" s="32"/>
      <c r="X298" s="637"/>
      <c r="Y298" s="33"/>
      <c r="Z298" s="638">
        <v>311938353.57379985</v>
      </c>
      <c r="AA298" s="33"/>
      <c r="AB298" s="438"/>
      <c r="AC298" s="33"/>
    </row>
    <row r="299" spans="1:29" x14ac:dyDescent="0.3">
      <c r="A299" s="689">
        <v>44725.243055555555</v>
      </c>
      <c r="B299" s="689">
        <v>44726.260416666664</v>
      </c>
      <c r="C299" s="23"/>
      <c r="D299" s="14"/>
      <c r="E299" s="35" t="s">
        <v>1039</v>
      </c>
      <c r="F299" s="36" t="s">
        <v>328</v>
      </c>
      <c r="G299" s="433">
        <v>28192</v>
      </c>
      <c r="H299" s="548" t="s">
        <v>1028</v>
      </c>
      <c r="I299" s="433">
        <v>29002</v>
      </c>
      <c r="J299" s="26">
        <f t="shared" si="241"/>
        <v>-810</v>
      </c>
      <c r="K299" s="27">
        <f t="shared" si="242"/>
        <v>1.0173611111094942</v>
      </c>
      <c r="L299" s="27">
        <f>'[66]AM GHENT'!$F$62</f>
        <v>0.60243055556566105</v>
      </c>
      <c r="M299" s="434">
        <f t="shared" si="243"/>
        <v>27710.907849873391</v>
      </c>
      <c r="N299" s="567">
        <f t="shared" si="244"/>
        <v>46797.095100079554</v>
      </c>
      <c r="O299" s="434">
        <v>30000</v>
      </c>
      <c r="P299" s="648">
        <v>171635</v>
      </c>
      <c r="Q299" s="648">
        <v>166025</v>
      </c>
      <c r="R299" s="648">
        <f t="shared" si="245"/>
        <v>5610</v>
      </c>
      <c r="S299" s="435">
        <f t="shared" si="246"/>
        <v>0.19899262202043133</v>
      </c>
      <c r="T299" s="435">
        <f t="shared" si="247"/>
        <v>0.19899262202043133</v>
      </c>
      <c r="U299" s="435"/>
      <c r="V299" s="436"/>
      <c r="W299" s="32"/>
      <c r="X299" s="637"/>
      <c r="Y299" s="33"/>
      <c r="Z299" s="638">
        <v>489090845.17705917</v>
      </c>
      <c r="AA299" s="33"/>
      <c r="AB299" s="438"/>
      <c r="AC299" s="33"/>
    </row>
    <row r="300" spans="1:29" x14ac:dyDescent="0.3">
      <c r="A300" s="689">
        <v>44726.548611111109</v>
      </c>
      <c r="B300" s="689">
        <v>44728.857638888891</v>
      </c>
      <c r="C300" s="23"/>
      <c r="D300" s="14"/>
      <c r="E300" s="35" t="s">
        <v>1040</v>
      </c>
      <c r="F300" s="36" t="s">
        <v>328</v>
      </c>
      <c r="G300" s="433">
        <v>75057</v>
      </c>
      <c r="H300" s="548" t="s">
        <v>1041</v>
      </c>
      <c r="I300" s="433">
        <v>77000</v>
      </c>
      <c r="J300" s="26">
        <f t="shared" si="241"/>
        <v>-1943</v>
      </c>
      <c r="K300" s="27">
        <f t="shared" si="242"/>
        <v>2.3090277777810115</v>
      </c>
      <c r="L300" s="27">
        <f>'[66]ALEXANDRA P'!$F$121</f>
        <v>1.6163194444343389</v>
      </c>
      <c r="M300" s="434">
        <f t="shared" si="243"/>
        <v>32505.888721758987</v>
      </c>
      <c r="N300" s="567">
        <f t="shared" si="244"/>
        <v>46436.983888582494</v>
      </c>
      <c r="O300" s="434">
        <v>30000</v>
      </c>
      <c r="P300" s="648">
        <v>164944</v>
      </c>
      <c r="Q300" s="648">
        <v>151943</v>
      </c>
      <c r="R300" s="648">
        <f t="shared" si="245"/>
        <v>13001</v>
      </c>
      <c r="S300" s="435">
        <f t="shared" si="246"/>
        <v>0.17321502324899743</v>
      </c>
      <c r="T300" s="435">
        <f t="shared" si="247"/>
        <v>0.17321502324899743</v>
      </c>
      <c r="U300" s="435"/>
      <c r="V300" s="436"/>
      <c r="W300" s="32"/>
      <c r="X300" s="639"/>
      <c r="Y300" s="33"/>
      <c r="Z300" s="638">
        <v>1336631867.3408601</v>
      </c>
      <c r="AA300" s="33"/>
      <c r="AB300" s="438"/>
      <c r="AC300" s="33"/>
    </row>
    <row r="301" spans="1:29" x14ac:dyDescent="0.3">
      <c r="A301" s="689">
        <v>44729.451388888891</v>
      </c>
      <c r="B301" s="689">
        <v>44729.677083333336</v>
      </c>
      <c r="C301" s="23"/>
      <c r="D301" s="14"/>
      <c r="E301" s="35" t="s">
        <v>1042</v>
      </c>
      <c r="F301" s="36" t="s">
        <v>328</v>
      </c>
      <c r="G301" s="433">
        <v>5253</v>
      </c>
      <c r="H301" s="548" t="s">
        <v>1009</v>
      </c>
      <c r="I301" s="433">
        <v>20000</v>
      </c>
      <c r="J301" s="26">
        <f t="shared" si="241"/>
        <v>-14747</v>
      </c>
      <c r="K301" s="27">
        <f t="shared" si="242"/>
        <v>0.22569444444525288</v>
      </c>
      <c r="L301" s="27">
        <f>'[66]EGRET STAR'!$F$33</f>
        <v>0.14062500000363798</v>
      </c>
      <c r="M301" s="434">
        <f t="shared" si="243"/>
        <v>23274.8307691474</v>
      </c>
      <c r="N301" s="567">
        <f t="shared" si="244"/>
        <v>37354.666665700301</v>
      </c>
      <c r="O301" s="434">
        <v>30000</v>
      </c>
      <c r="P301" s="648">
        <v>149925</v>
      </c>
      <c r="Q301" s="648">
        <v>148455</v>
      </c>
      <c r="R301" s="648">
        <f t="shared" si="245"/>
        <v>1470</v>
      </c>
      <c r="S301" s="435">
        <f t="shared" si="246"/>
        <v>0.27984009137635635</v>
      </c>
      <c r="T301" s="435">
        <f t="shared" si="247"/>
        <v>0.27984009137635635</v>
      </c>
      <c r="U301" s="435"/>
      <c r="V301" s="436"/>
      <c r="W301" s="32"/>
      <c r="X301" s="637"/>
      <c r="Y301" s="33"/>
      <c r="Z301" s="638">
        <v>93497923.115845233</v>
      </c>
      <c r="AA301" s="33"/>
      <c r="AB301" s="438"/>
      <c r="AC301" s="33"/>
    </row>
    <row r="302" spans="1:29" x14ac:dyDescent="0.3">
      <c r="A302" s="689">
        <v>44729.944444444445</v>
      </c>
      <c r="B302" s="689">
        <v>44732.277777777781</v>
      </c>
      <c r="C302" s="23"/>
      <c r="D302" s="14"/>
      <c r="E302" s="35" t="s">
        <v>1043</v>
      </c>
      <c r="F302" s="36" t="s">
        <v>328</v>
      </c>
      <c r="G302" s="433">
        <v>79075</v>
      </c>
      <c r="H302" s="548" t="s">
        <v>991</v>
      </c>
      <c r="I302" s="433">
        <v>79075</v>
      </c>
      <c r="J302" s="26">
        <f t="shared" si="241"/>
        <v>0</v>
      </c>
      <c r="K302" s="27">
        <f t="shared" si="242"/>
        <v>2.3333333333357587</v>
      </c>
      <c r="L302" s="27">
        <f>'[66]AQUAVITA SKY'!$F$130</f>
        <v>1.5208333333127182</v>
      </c>
      <c r="M302" s="434">
        <f t="shared" si="243"/>
        <v>33889.285714250487</v>
      </c>
      <c r="N302" s="567">
        <f t="shared" si="244"/>
        <v>51994.520548649998</v>
      </c>
      <c r="O302" s="434">
        <v>30000</v>
      </c>
      <c r="P302" s="648">
        <v>147861</v>
      </c>
      <c r="Q302" s="648">
        <v>135351</v>
      </c>
      <c r="R302" s="648">
        <f t="shared" si="245"/>
        <v>12510</v>
      </c>
      <c r="S302" s="435">
        <f t="shared" si="246"/>
        <v>0.15820423648435031</v>
      </c>
      <c r="T302" s="435">
        <f t="shared" si="247"/>
        <v>0.15820423648435031</v>
      </c>
      <c r="U302" s="435"/>
      <c r="V302" s="436"/>
      <c r="W302" s="32"/>
      <c r="X302" s="637"/>
      <c r="Y302" s="33"/>
      <c r="Z302" s="638">
        <v>1420237973.972465</v>
      </c>
      <c r="AA302" s="33"/>
      <c r="AB302" s="438"/>
      <c r="AC302" s="33"/>
    </row>
    <row r="303" spans="1:29" x14ac:dyDescent="0.3">
      <c r="A303" s="689">
        <v>44732.541666666664</v>
      </c>
      <c r="B303" s="689">
        <v>44734.576388888891</v>
      </c>
      <c r="C303" s="23"/>
      <c r="D303" s="14"/>
      <c r="E303" s="35" t="s">
        <v>1044</v>
      </c>
      <c r="F303" s="36" t="s">
        <v>328</v>
      </c>
      <c r="G303" s="433">
        <v>71320</v>
      </c>
      <c r="H303" s="548" t="s">
        <v>991</v>
      </c>
      <c r="I303" s="433">
        <v>71320</v>
      </c>
      <c r="J303" s="26">
        <f t="shared" si="241"/>
        <v>0</v>
      </c>
      <c r="K303" s="27">
        <f t="shared" si="242"/>
        <v>2.0347222222262644</v>
      </c>
      <c r="L303" s="27">
        <f>'[66]CAMELLIA ISLAND'!$F$114</f>
        <v>1.4027777777979888</v>
      </c>
      <c r="M303" s="434">
        <f t="shared" si="243"/>
        <v>35051.467576722178</v>
      </c>
      <c r="N303" s="567">
        <f t="shared" si="244"/>
        <v>50841.980197287274</v>
      </c>
      <c r="O303" s="434">
        <v>30000</v>
      </c>
      <c r="P303" s="648">
        <v>133229</v>
      </c>
      <c r="Q303" s="648">
        <v>123985</v>
      </c>
      <c r="R303" s="648">
        <f t="shared" si="245"/>
        <v>9244</v>
      </c>
      <c r="S303" s="435">
        <f t="shared" si="246"/>
        <v>0.12961301177790241</v>
      </c>
      <c r="T303" s="435">
        <f t="shared" si="247"/>
        <v>0.12961301177790241</v>
      </c>
      <c r="U303" s="435"/>
      <c r="V303" s="436"/>
      <c r="W303" s="32"/>
      <c r="X303" s="637"/>
      <c r="Y303" s="33"/>
      <c r="Z303" s="638">
        <v>1277765284.1894083</v>
      </c>
      <c r="AA303" s="33"/>
      <c r="AB303" s="438"/>
      <c r="AC303" s="33"/>
    </row>
    <row r="304" spans="1:29" x14ac:dyDescent="0.3">
      <c r="A304" s="689">
        <v>44734.8125</v>
      </c>
      <c r="B304" s="689">
        <v>44737.274305555555</v>
      </c>
      <c r="C304" s="23"/>
      <c r="D304" s="14"/>
      <c r="E304" s="35" t="s">
        <v>1045</v>
      </c>
      <c r="F304" s="36" t="s">
        <v>328</v>
      </c>
      <c r="G304" s="433">
        <v>76625</v>
      </c>
      <c r="H304" s="548" t="s">
        <v>1008</v>
      </c>
      <c r="I304" s="433">
        <v>77000</v>
      </c>
      <c r="J304" s="26">
        <f t="shared" si="241"/>
        <v>-375</v>
      </c>
      <c r="K304" s="27">
        <f t="shared" si="242"/>
        <v>2.4618055555547471</v>
      </c>
      <c r="L304" s="27">
        <f>'[66]BBG YULIN'!$F$137</f>
        <v>1.5156249999951494</v>
      </c>
      <c r="M304" s="434">
        <f t="shared" si="243"/>
        <v>31125.528913973551</v>
      </c>
      <c r="N304" s="567">
        <f t="shared" si="244"/>
        <v>50556.701031089637</v>
      </c>
      <c r="O304" s="434">
        <v>30000</v>
      </c>
      <c r="P304" s="648">
        <v>120800</v>
      </c>
      <c r="Q304" s="648">
        <v>107687</v>
      </c>
      <c r="R304" s="648">
        <f t="shared" si="245"/>
        <v>13113</v>
      </c>
      <c r="S304" s="435">
        <f t="shared" si="246"/>
        <v>0.17113213703099511</v>
      </c>
      <c r="T304" s="435">
        <f t="shared" si="247"/>
        <v>0.17113213703099511</v>
      </c>
      <c r="U304" s="435"/>
      <c r="V304" s="436"/>
      <c r="W304" s="32"/>
      <c r="X304" s="637"/>
      <c r="Y304" s="33"/>
      <c r="Z304" s="638">
        <v>1378806797.3845952</v>
      </c>
      <c r="AA304" s="33"/>
      <c r="AB304" s="438"/>
      <c r="AC304" s="33"/>
    </row>
    <row r="305" spans="1:29" x14ac:dyDescent="0.3">
      <c r="A305" s="689">
        <v>44737.583333333336</v>
      </c>
      <c r="B305" s="689">
        <v>44738.649305555555</v>
      </c>
      <c r="C305" s="23"/>
      <c r="D305" s="14"/>
      <c r="E305" s="35" t="s">
        <v>1046</v>
      </c>
      <c r="F305" s="36" t="s">
        <v>328</v>
      </c>
      <c r="G305" s="433">
        <v>20851</v>
      </c>
      <c r="H305" s="548" t="s">
        <v>1047</v>
      </c>
      <c r="I305" s="433">
        <v>54611</v>
      </c>
      <c r="J305" s="26">
        <f t="shared" si="241"/>
        <v>-33760</v>
      </c>
      <c r="K305" s="27">
        <f t="shared" si="242"/>
        <v>1.0659722222189885</v>
      </c>
      <c r="L305" s="27">
        <f>'[66]CORINTHIAN PHOENIX'!$F$52</f>
        <v>0.71354166666424135</v>
      </c>
      <c r="M305" s="434">
        <f t="shared" si="243"/>
        <v>19560.547231329696</v>
      </c>
      <c r="N305" s="567">
        <f t="shared" si="244"/>
        <v>29221.83941615772</v>
      </c>
      <c r="O305" s="434">
        <v>30000</v>
      </c>
      <c r="P305" s="648">
        <v>106360</v>
      </c>
      <c r="Q305" s="648">
        <v>101409</v>
      </c>
      <c r="R305" s="648">
        <f t="shared" si="245"/>
        <v>4951</v>
      </c>
      <c r="S305" s="435">
        <f t="shared" si="246"/>
        <v>0.23744664524483239</v>
      </c>
      <c r="T305" s="435">
        <f t="shared" si="247"/>
        <v>0.23744664524483239</v>
      </c>
      <c r="U305" s="435"/>
      <c r="V305" s="436"/>
      <c r="W305" s="32"/>
      <c r="X305" s="637"/>
      <c r="Y305" s="33"/>
      <c r="Z305" s="638">
        <v>375197396.83218527</v>
      </c>
      <c r="AA305" s="33"/>
      <c r="AB305" s="438"/>
      <c r="AC305" s="33"/>
    </row>
    <row r="306" spans="1:29" x14ac:dyDescent="0.3">
      <c r="A306" s="689">
        <v>44738.923611111109</v>
      </c>
      <c r="B306" s="689">
        <v>44741.010416666664</v>
      </c>
      <c r="C306" s="23"/>
      <c r="D306" s="14"/>
      <c r="E306" s="35" t="s">
        <v>1048</v>
      </c>
      <c r="F306" s="36" t="s">
        <v>328</v>
      </c>
      <c r="G306" s="433">
        <v>72423</v>
      </c>
      <c r="H306" s="548" t="s">
        <v>998</v>
      </c>
      <c r="I306" s="433">
        <v>73200</v>
      </c>
      <c r="J306" s="26">
        <f t="shared" si="241"/>
        <v>-777</v>
      </c>
      <c r="K306" s="27">
        <f t="shared" si="242"/>
        <v>2.0868055555547471</v>
      </c>
      <c r="L306" s="27">
        <f>'[66]PRABHU SUMAT'!$F$129</f>
        <v>1.4010416666703047</v>
      </c>
      <c r="M306" s="434">
        <f t="shared" si="243"/>
        <v>34705.198003341233</v>
      </c>
      <c r="N306" s="567">
        <f t="shared" si="244"/>
        <v>51692.252787969861</v>
      </c>
      <c r="O306" s="434">
        <v>30000</v>
      </c>
      <c r="P306" s="648">
        <v>99215</v>
      </c>
      <c r="Q306" s="648">
        <v>87452</v>
      </c>
      <c r="R306" s="648">
        <f t="shared" si="245"/>
        <v>11763</v>
      </c>
      <c r="S306" s="435">
        <f t="shared" si="246"/>
        <v>0.16242077792966322</v>
      </c>
      <c r="T306" s="435">
        <f t="shared" si="247"/>
        <v>0.16242077792966322</v>
      </c>
      <c r="U306" s="435"/>
      <c r="V306" s="436"/>
      <c r="W306" s="32"/>
      <c r="X306" s="637"/>
      <c r="Y306" s="33"/>
      <c r="Z306" s="638">
        <v>1301979065.2213483</v>
      </c>
      <c r="AA306" s="33"/>
      <c r="AB306" s="438"/>
      <c r="AC306" s="33"/>
    </row>
    <row r="307" spans="1:29" x14ac:dyDescent="0.3">
      <c r="A307" s="689">
        <v>44741.364583333336</v>
      </c>
      <c r="B307" s="689">
        <v>44743.131944444445</v>
      </c>
      <c r="C307" s="23"/>
      <c r="D307" s="14"/>
      <c r="E307" s="35" t="s">
        <v>524</v>
      </c>
      <c r="F307" s="36" t="s">
        <v>328</v>
      </c>
      <c r="G307" s="433">
        <v>68000</v>
      </c>
      <c r="H307" s="548" t="s">
        <v>991</v>
      </c>
      <c r="I307" s="433">
        <v>68000</v>
      </c>
      <c r="J307" s="26">
        <f t="shared" ref="J307:J317" si="248">G307-I307</f>
        <v>0</v>
      </c>
      <c r="K307" s="27">
        <f t="shared" ref="K307:K317" si="249">B307-A307</f>
        <v>1.7673611111094942</v>
      </c>
      <c r="L307" s="27">
        <f>'[67]KARTINI SAMUDRA'!$F$106</f>
        <v>1.302083333341822</v>
      </c>
      <c r="M307" s="434">
        <f t="shared" ref="M307:M317" si="250">(G307)/K307</f>
        <v>38475.442043257201</v>
      </c>
      <c r="N307" s="567">
        <f t="shared" ref="N307:N317" si="251">(G307)/L307</f>
        <v>52223.999999659536</v>
      </c>
      <c r="O307" s="434">
        <v>30000</v>
      </c>
      <c r="P307" s="648">
        <v>85892</v>
      </c>
      <c r="Q307" s="648">
        <v>76439</v>
      </c>
      <c r="R307" s="648">
        <f t="shared" ref="R307:R317" si="252">P307-Q307</f>
        <v>9453</v>
      </c>
      <c r="S307" s="435">
        <f t="shared" ref="S307:S317" si="253">R307/(G307)</f>
        <v>0.13901470588235293</v>
      </c>
      <c r="T307" s="435">
        <f t="shared" ref="T307:T317" si="254">R307/(G307)</f>
        <v>0.13901470588235293</v>
      </c>
      <c r="U307" s="435"/>
      <c r="V307" s="436"/>
      <c r="W307" s="437"/>
      <c r="X307" s="637"/>
      <c r="Y307" s="33"/>
      <c r="Z307" s="638">
        <v>1250946231.5183101</v>
      </c>
      <c r="AA307" s="33"/>
      <c r="AB307" s="438"/>
      <c r="AC307" s="33"/>
    </row>
    <row r="308" spans="1:29" x14ac:dyDescent="0.3">
      <c r="A308" s="689">
        <v>44743.430555555555</v>
      </c>
      <c r="B308" s="689">
        <v>44744.888888888891</v>
      </c>
      <c r="C308" s="23"/>
      <c r="D308" s="14"/>
      <c r="E308" s="35" t="s">
        <v>410</v>
      </c>
      <c r="F308" s="25" t="s">
        <v>328</v>
      </c>
      <c r="G308" s="433">
        <v>30131</v>
      </c>
      <c r="H308" s="548" t="s">
        <v>1034</v>
      </c>
      <c r="I308" s="433">
        <v>44000</v>
      </c>
      <c r="J308" s="26">
        <f t="shared" si="248"/>
        <v>-13869</v>
      </c>
      <c r="K308" s="27">
        <f t="shared" si="249"/>
        <v>1.4583333333357587</v>
      </c>
      <c r="L308" s="27">
        <f>'[67]ORIENTAL ENTERPRISE'!$F$65</f>
        <v>0.57465277777373558</v>
      </c>
      <c r="M308" s="434">
        <f t="shared" si="250"/>
        <v>20661.257142822782</v>
      </c>
      <c r="N308" s="567">
        <f t="shared" si="251"/>
        <v>52433.401813057644</v>
      </c>
      <c r="O308" s="434">
        <v>30000</v>
      </c>
      <c r="P308" s="648">
        <v>75108</v>
      </c>
      <c r="Q308" s="648">
        <v>68188</v>
      </c>
      <c r="R308" s="648">
        <f t="shared" si="252"/>
        <v>6920</v>
      </c>
      <c r="S308" s="435">
        <f t="shared" si="253"/>
        <v>0.22966380140055093</v>
      </c>
      <c r="T308" s="435">
        <f t="shared" si="254"/>
        <v>0.22966380140055093</v>
      </c>
      <c r="U308" s="435"/>
      <c r="V308" s="436"/>
      <c r="W308" s="437"/>
      <c r="X308" s="637"/>
      <c r="Y308" s="33"/>
      <c r="Z308" s="638">
        <v>558479480.95649862</v>
      </c>
      <c r="AA308" s="33"/>
      <c r="AB308" s="438"/>
      <c r="AC308" s="33"/>
    </row>
    <row r="309" spans="1:29" x14ac:dyDescent="0.3">
      <c r="A309" s="689">
        <v>44745.138888888891</v>
      </c>
      <c r="B309" s="689">
        <v>44746.868055555555</v>
      </c>
      <c r="C309" s="23"/>
      <c r="D309" s="14"/>
      <c r="E309" s="35" t="s">
        <v>1049</v>
      </c>
      <c r="F309" s="25" t="s">
        <v>328</v>
      </c>
      <c r="G309" s="433">
        <v>58700</v>
      </c>
      <c r="H309" s="548" t="s">
        <v>1004</v>
      </c>
      <c r="I309" s="433">
        <v>58500</v>
      </c>
      <c r="J309" s="26">
        <f t="shared" si="248"/>
        <v>200</v>
      </c>
      <c r="K309" s="27">
        <f t="shared" si="249"/>
        <v>1.7291666666642413</v>
      </c>
      <c r="L309" s="27">
        <f>'[67]ULUSOY 12'!$F$112</f>
        <v>1.1076388888747413</v>
      </c>
      <c r="M309" s="434">
        <f t="shared" si="250"/>
        <v>33946.987951854841</v>
      </c>
      <c r="N309" s="567">
        <f t="shared" si="251"/>
        <v>52995.611285943356</v>
      </c>
      <c r="O309" s="434">
        <v>30000</v>
      </c>
      <c r="P309" s="648">
        <v>66025</v>
      </c>
      <c r="Q309" s="648">
        <v>57463</v>
      </c>
      <c r="R309" s="648">
        <f t="shared" si="252"/>
        <v>8562</v>
      </c>
      <c r="S309" s="435">
        <f t="shared" si="253"/>
        <v>0.1458603066439523</v>
      </c>
      <c r="T309" s="435">
        <f t="shared" si="254"/>
        <v>0.1458603066439523</v>
      </c>
      <c r="U309" s="435"/>
      <c r="V309" s="436"/>
      <c r="W309" s="437"/>
      <c r="X309" s="637"/>
      <c r="Y309" s="33"/>
      <c r="Z309" s="638">
        <v>1088007219.5461972</v>
      </c>
      <c r="AA309" s="33"/>
      <c r="AB309" s="438"/>
      <c r="AC309" s="33"/>
    </row>
    <row r="310" spans="1:29" x14ac:dyDescent="0.3">
      <c r="A310" s="689">
        <v>44748.645833333336</v>
      </c>
      <c r="B310" s="689">
        <v>44750.541666666664</v>
      </c>
      <c r="C310" s="23"/>
      <c r="D310" s="14"/>
      <c r="E310" s="35" t="s">
        <v>1050</v>
      </c>
      <c r="F310" s="25" t="s">
        <v>328</v>
      </c>
      <c r="G310" s="433">
        <v>67900</v>
      </c>
      <c r="H310" s="548" t="s">
        <v>991</v>
      </c>
      <c r="I310" s="433">
        <v>67900</v>
      </c>
      <c r="J310" s="26">
        <f t="shared" si="248"/>
        <v>0</v>
      </c>
      <c r="K310" s="27">
        <f t="shared" si="249"/>
        <v>1.8958333333284827</v>
      </c>
      <c r="L310" s="27">
        <f>'[67]ASL MOON'!$F$111</f>
        <v>1.3194444444367643</v>
      </c>
      <c r="M310" s="434">
        <f t="shared" si="250"/>
        <v>35815.38461547625</v>
      </c>
      <c r="N310" s="567">
        <f t="shared" si="251"/>
        <v>51461.052631878491</v>
      </c>
      <c r="O310" s="434">
        <v>30000</v>
      </c>
      <c r="P310" s="648">
        <v>251690</v>
      </c>
      <c r="Q310" s="648">
        <v>240278</v>
      </c>
      <c r="R310" s="648">
        <f t="shared" si="252"/>
        <v>11412</v>
      </c>
      <c r="S310" s="435">
        <f t="shared" si="253"/>
        <v>0.16807069219440354</v>
      </c>
      <c r="T310" s="435">
        <f t="shared" si="254"/>
        <v>0.16807069219440354</v>
      </c>
      <c r="U310" s="435"/>
      <c r="V310" s="436"/>
      <c r="W310" s="437"/>
      <c r="X310" s="637"/>
      <c r="Y310" s="33"/>
      <c r="Z310" s="638">
        <v>1262363112.6582396</v>
      </c>
      <c r="AA310" s="33"/>
      <c r="AB310" s="438"/>
      <c r="AC310" s="33"/>
    </row>
    <row r="311" spans="1:29" x14ac:dyDescent="0.3">
      <c r="A311" s="689">
        <v>44750.857638888891</v>
      </c>
      <c r="B311" s="689">
        <v>44751.333333333336</v>
      </c>
      <c r="C311" s="23"/>
      <c r="D311" s="14"/>
      <c r="E311" s="35" t="s">
        <v>1051</v>
      </c>
      <c r="F311" s="25" t="s">
        <v>328</v>
      </c>
      <c r="G311" s="433">
        <v>14000</v>
      </c>
      <c r="H311" s="548" t="s">
        <v>991</v>
      </c>
      <c r="I311" s="433">
        <v>14000</v>
      </c>
      <c r="J311" s="26">
        <f t="shared" si="248"/>
        <v>0</v>
      </c>
      <c r="K311" s="27">
        <f t="shared" si="249"/>
        <v>0.47569444444525288</v>
      </c>
      <c r="L311" s="27">
        <f>'[67]FLYING TIGER'!$F$41</f>
        <v>0.27777777778101154</v>
      </c>
      <c r="M311" s="434">
        <f t="shared" si="250"/>
        <v>29430.656934256553</v>
      </c>
      <c r="N311" s="567">
        <f t="shared" si="251"/>
        <v>50399.999999413267</v>
      </c>
      <c r="O311" s="434">
        <v>30000</v>
      </c>
      <c r="P311" s="648">
        <v>239344</v>
      </c>
      <c r="Q311" s="648">
        <v>236935</v>
      </c>
      <c r="R311" s="648">
        <f t="shared" si="252"/>
        <v>2409</v>
      </c>
      <c r="S311" s="435">
        <f t="shared" si="253"/>
        <v>0.17207142857142857</v>
      </c>
      <c r="T311" s="435">
        <f t="shared" si="254"/>
        <v>0.17207142857142857</v>
      </c>
      <c r="U311" s="435"/>
      <c r="V311" s="436"/>
      <c r="W311" s="437"/>
      <c r="X311" s="637"/>
      <c r="Y311" s="33"/>
      <c r="Z311" s="638">
        <v>260149209.90809855</v>
      </c>
      <c r="AA311" s="33"/>
      <c r="AB311" s="438"/>
      <c r="AC311" s="33"/>
    </row>
    <row r="312" spans="1:29" x14ac:dyDescent="0.3">
      <c r="A312" s="689">
        <v>44751.604166666664</v>
      </c>
      <c r="B312" s="689">
        <v>44754.916666666664</v>
      </c>
      <c r="C312" s="23"/>
      <c r="D312" s="14"/>
      <c r="E312" s="35" t="s">
        <v>1052</v>
      </c>
      <c r="F312" s="25" t="s">
        <v>328</v>
      </c>
      <c r="G312" s="433">
        <v>44393</v>
      </c>
      <c r="H312" s="548" t="s">
        <v>1028</v>
      </c>
      <c r="I312" s="433">
        <v>44393</v>
      </c>
      <c r="J312" s="26">
        <f t="shared" si="248"/>
        <v>0</v>
      </c>
      <c r="K312" s="27">
        <f t="shared" si="249"/>
        <v>3.3125</v>
      </c>
      <c r="L312" s="27">
        <f>[67]PARAPOLA!$F$91</f>
        <v>1.3506944444476783</v>
      </c>
      <c r="M312" s="434">
        <f t="shared" si="250"/>
        <v>13401.66037735849</v>
      </c>
      <c r="N312" s="567">
        <f t="shared" si="251"/>
        <v>32866.796915088402</v>
      </c>
      <c r="O312" s="434">
        <v>30000</v>
      </c>
      <c r="P312" s="648">
        <v>235861</v>
      </c>
      <c r="Q312" s="648">
        <v>222975</v>
      </c>
      <c r="R312" s="648">
        <f t="shared" si="252"/>
        <v>12886</v>
      </c>
      <c r="S312" s="435">
        <f t="shared" si="253"/>
        <v>0.29027098866938483</v>
      </c>
      <c r="T312" s="435">
        <f t="shared" si="254"/>
        <v>0.29027098866938483</v>
      </c>
      <c r="U312" s="435"/>
      <c r="V312" s="436"/>
      <c r="W312" s="437"/>
      <c r="X312" s="637"/>
      <c r="Y312" s="33"/>
      <c r="Z312" s="638">
        <v>823911766.86677122</v>
      </c>
      <c r="AA312" s="33"/>
      <c r="AB312" s="438"/>
      <c r="AC312" s="33"/>
    </row>
    <row r="313" spans="1:29" x14ac:dyDescent="0.3">
      <c r="A313" s="689">
        <v>44755.166666666664</v>
      </c>
      <c r="B313" s="689">
        <v>44755.65625</v>
      </c>
      <c r="C313" s="23"/>
      <c r="D313" s="14"/>
      <c r="E313" s="35" t="s">
        <v>1053</v>
      </c>
      <c r="F313" s="25" t="s">
        <v>328</v>
      </c>
      <c r="G313" s="433">
        <v>5736</v>
      </c>
      <c r="H313" s="548" t="s">
        <v>1054</v>
      </c>
      <c r="I313" s="433">
        <v>30000</v>
      </c>
      <c r="J313" s="26">
        <f t="shared" si="248"/>
        <v>-24264</v>
      </c>
      <c r="K313" s="27">
        <f t="shared" si="249"/>
        <v>0.48958333333575865</v>
      </c>
      <c r="L313" s="27">
        <f>'[67]SHEN YU 79'!$F$49</f>
        <v>0.21527777777737356</v>
      </c>
      <c r="M313" s="434">
        <f t="shared" si="250"/>
        <v>11716.085106324939</v>
      </c>
      <c r="N313" s="567">
        <f t="shared" si="251"/>
        <v>26644.645161340351</v>
      </c>
      <c r="O313" s="434">
        <v>30000</v>
      </c>
      <c r="P313" s="648">
        <v>219861</v>
      </c>
      <c r="Q313" s="648">
        <v>217501</v>
      </c>
      <c r="R313" s="648">
        <f t="shared" si="252"/>
        <v>2360</v>
      </c>
      <c r="S313" s="435">
        <f t="shared" si="253"/>
        <v>0.41143654114365413</v>
      </c>
      <c r="T313" s="435">
        <f t="shared" si="254"/>
        <v>0.41143654114365413</v>
      </c>
      <c r="U313" s="435"/>
      <c r="V313" s="436"/>
      <c r="W313" s="437"/>
      <c r="X313" s="637"/>
      <c r="Y313" s="33"/>
      <c r="Z313" s="638">
        <v>106716522.33307184</v>
      </c>
      <c r="AA313" s="33"/>
      <c r="AB313" s="438"/>
      <c r="AC313" s="33"/>
    </row>
    <row r="314" spans="1:29" x14ac:dyDescent="0.3">
      <c r="A314" s="689">
        <v>44756.513888888891</v>
      </c>
      <c r="B314" s="689">
        <v>44756.895833333336</v>
      </c>
      <c r="C314" s="23"/>
      <c r="D314" s="14"/>
      <c r="E314" s="35" t="s">
        <v>1055</v>
      </c>
      <c r="F314" s="25" t="s">
        <v>328</v>
      </c>
      <c r="G314" s="433">
        <v>14000</v>
      </c>
      <c r="H314" s="548" t="s">
        <v>992</v>
      </c>
      <c r="I314" s="433">
        <v>14000</v>
      </c>
      <c r="J314" s="26">
        <f t="shared" si="248"/>
        <v>0</v>
      </c>
      <c r="K314" s="27">
        <f t="shared" si="249"/>
        <v>0.38194444444525288</v>
      </c>
      <c r="L314" s="27">
        <f>[67]GIACOMETTI!$F$35</f>
        <v>0.28472222221535048</v>
      </c>
      <c r="M314" s="434">
        <f t="shared" si="250"/>
        <v>36654.545454467872</v>
      </c>
      <c r="N314" s="567">
        <f t="shared" si="251"/>
        <v>49170.731708503801</v>
      </c>
      <c r="O314" s="434">
        <v>30000</v>
      </c>
      <c r="P314" s="648">
        <v>215616</v>
      </c>
      <c r="Q314" s="648">
        <v>213306</v>
      </c>
      <c r="R314" s="648">
        <f t="shared" si="252"/>
        <v>2310</v>
      </c>
      <c r="S314" s="435">
        <f t="shared" si="253"/>
        <v>0.16500000000000001</v>
      </c>
      <c r="T314" s="435">
        <f t="shared" si="254"/>
        <v>0.16500000000000001</v>
      </c>
      <c r="U314" s="435"/>
      <c r="V314" s="436"/>
      <c r="W314" s="437"/>
      <c r="X314" s="637"/>
      <c r="Y314" s="33"/>
      <c r="Z314" s="638">
        <v>260254681.78697184</v>
      </c>
      <c r="AA314" s="33"/>
      <c r="AB314" s="438"/>
      <c r="AC314" s="33"/>
    </row>
    <row r="315" spans="1:29" x14ac:dyDescent="0.3">
      <c r="A315" s="689">
        <v>44757.159722222219</v>
      </c>
      <c r="B315" s="689">
        <v>44761.291666666664</v>
      </c>
      <c r="C315" s="23"/>
      <c r="D315" s="14"/>
      <c r="E315" s="35" t="s">
        <v>1056</v>
      </c>
      <c r="F315" s="25" t="s">
        <v>394</v>
      </c>
      <c r="G315" s="433">
        <v>108980</v>
      </c>
      <c r="H315" s="548" t="s">
        <v>998</v>
      </c>
      <c r="I315" s="433">
        <v>108980</v>
      </c>
      <c r="J315" s="26">
        <f t="shared" si="248"/>
        <v>0</v>
      </c>
      <c r="K315" s="27">
        <f t="shared" si="249"/>
        <v>4.1319444444452529</v>
      </c>
      <c r="L315" s="27">
        <f>'[67]REGINA OLDENDORFF'!$F$180</f>
        <v>2.1180555555426204</v>
      </c>
      <c r="M315" s="434">
        <f t="shared" si="250"/>
        <v>26374.991596633496</v>
      </c>
      <c r="N315" s="567">
        <f t="shared" si="251"/>
        <v>51452.852459330621</v>
      </c>
      <c r="O315" s="434">
        <v>30000</v>
      </c>
      <c r="P315" s="648">
        <v>212109</v>
      </c>
      <c r="Q315" s="648">
        <v>193029</v>
      </c>
      <c r="R315" s="648">
        <f t="shared" si="252"/>
        <v>19080</v>
      </c>
      <c r="S315" s="435">
        <f t="shared" si="253"/>
        <v>0.17507799596256193</v>
      </c>
      <c r="T315" s="435">
        <f t="shared" si="254"/>
        <v>0.17507799596256193</v>
      </c>
      <c r="U315" s="435"/>
      <c r="V315" s="436"/>
      <c r="W315" s="437"/>
      <c r="X315" s="637"/>
      <c r="Y315" s="33"/>
      <c r="Z315" s="638">
        <v>2020889931.2022109</v>
      </c>
      <c r="AA315" s="33"/>
      <c r="AB315" s="438"/>
      <c r="AC315" s="33"/>
    </row>
    <row r="316" spans="1:29" x14ac:dyDescent="0.3">
      <c r="A316" s="689">
        <v>44761.604166666664</v>
      </c>
      <c r="B316" s="689">
        <v>44766.375</v>
      </c>
      <c r="C316" s="23"/>
      <c r="D316" s="14"/>
      <c r="E316" s="35" t="s">
        <v>305</v>
      </c>
      <c r="F316" s="25" t="s">
        <v>394</v>
      </c>
      <c r="G316" s="433">
        <v>119600</v>
      </c>
      <c r="H316" s="548" t="s">
        <v>1009</v>
      </c>
      <c r="I316" s="433">
        <v>158007</v>
      </c>
      <c r="J316" s="26">
        <f t="shared" si="248"/>
        <v>-38407</v>
      </c>
      <c r="K316" s="27">
        <f t="shared" si="249"/>
        <v>4.7708333333357587</v>
      </c>
      <c r="L316" s="27">
        <f>'[68]MINERAL DRAGON'!$F$228</f>
        <v>2.9722222222214136</v>
      </c>
      <c r="M316" s="434">
        <f t="shared" si="250"/>
        <v>25068.995633175029</v>
      </c>
      <c r="N316" s="567">
        <f t="shared" si="251"/>
        <v>40239.252336459547</v>
      </c>
      <c r="O316" s="434">
        <v>30000</v>
      </c>
      <c r="P316" s="648">
        <v>191407</v>
      </c>
      <c r="Q316" s="648">
        <v>166335</v>
      </c>
      <c r="R316" s="648">
        <f t="shared" si="252"/>
        <v>25072</v>
      </c>
      <c r="S316" s="435">
        <f t="shared" si="253"/>
        <v>0.20963210702341137</v>
      </c>
      <c r="T316" s="435">
        <f t="shared" si="254"/>
        <v>0.20963210702341137</v>
      </c>
      <c r="U316" s="435"/>
      <c r="V316" s="436"/>
      <c r="W316" s="437"/>
      <c r="X316" s="637"/>
      <c r="Y316" s="33"/>
      <c r="Z316" s="638">
        <v>2226396147.04</v>
      </c>
      <c r="AA316" s="33"/>
      <c r="AB316" s="438"/>
      <c r="AC316" s="33"/>
    </row>
    <row r="317" spans="1:29" x14ac:dyDescent="0.3">
      <c r="A317" s="689">
        <v>44767.53125</v>
      </c>
      <c r="B317" s="689">
        <v>44769.041666666664</v>
      </c>
      <c r="C317" s="23"/>
      <c r="D317" s="14"/>
      <c r="E317" s="35" t="s">
        <v>1057</v>
      </c>
      <c r="F317" s="25" t="s">
        <v>328</v>
      </c>
      <c r="G317" s="433">
        <v>57660</v>
      </c>
      <c r="H317" s="548" t="s">
        <v>992</v>
      </c>
      <c r="I317" s="433">
        <v>77000</v>
      </c>
      <c r="J317" s="26">
        <f t="shared" si="248"/>
        <v>-19340</v>
      </c>
      <c r="K317" s="27">
        <f t="shared" si="249"/>
        <v>1.5104166666642413</v>
      </c>
      <c r="L317" s="27">
        <f>'[67]THERESA JILIN'!$F$92</f>
        <v>1.0815972222299024</v>
      </c>
      <c r="M317" s="434">
        <f t="shared" si="250"/>
        <v>38174.896551785438</v>
      </c>
      <c r="N317" s="567">
        <f t="shared" si="251"/>
        <v>53310.048153714553</v>
      </c>
      <c r="O317" s="434">
        <v>30000</v>
      </c>
      <c r="P317" s="648">
        <v>161458</v>
      </c>
      <c r="Q317" s="648">
        <v>153272</v>
      </c>
      <c r="R317" s="648">
        <f t="shared" si="252"/>
        <v>8186</v>
      </c>
      <c r="S317" s="435">
        <f t="shared" si="253"/>
        <v>0.14197016996184531</v>
      </c>
      <c r="T317" s="435">
        <f t="shared" si="254"/>
        <v>0.14197016996184531</v>
      </c>
      <c r="U317" s="435"/>
      <c r="V317" s="436"/>
      <c r="W317" s="437"/>
      <c r="X317" s="637"/>
      <c r="Y317" s="33"/>
      <c r="Z317" s="638">
        <v>1069011196.3068168</v>
      </c>
      <c r="AA317" s="33"/>
      <c r="AB317" s="438"/>
      <c r="AC317" s="33"/>
    </row>
    <row r="318" spans="1:29" x14ac:dyDescent="0.3">
      <c r="A318" s="689">
        <v>44769.40625</v>
      </c>
      <c r="B318" s="689">
        <v>44774.208333333336</v>
      </c>
      <c r="C318" s="23"/>
      <c r="D318" s="14"/>
      <c r="E318" s="35" t="s">
        <v>1058</v>
      </c>
      <c r="F318" s="25" t="s">
        <v>394</v>
      </c>
      <c r="G318" s="433">
        <v>107150</v>
      </c>
      <c r="H318" s="548" t="s">
        <v>1009</v>
      </c>
      <c r="I318" s="433">
        <v>110300</v>
      </c>
      <c r="J318" s="26">
        <f t="shared" ref="J318:J329" si="255">G318-I318</f>
        <v>-3150</v>
      </c>
      <c r="K318" s="27">
        <f t="shared" ref="K318:K329" si="256">B318-A318</f>
        <v>4.8020833333357587</v>
      </c>
      <c r="L318" s="27">
        <f>'[69]CAPE PROTEUS'!$F$203</f>
        <v>2.6770833333490978</v>
      </c>
      <c r="M318" s="434">
        <f t="shared" ref="M318:M329" si="257">(G318)/K318</f>
        <v>22313.232104110204</v>
      </c>
      <c r="N318" s="567">
        <f t="shared" ref="N318:N329" si="258">(G318)/L318</f>
        <v>40024.902723499712</v>
      </c>
      <c r="O318" s="434">
        <v>30000</v>
      </c>
      <c r="P318" s="648">
        <v>152123</v>
      </c>
      <c r="Q318" s="648">
        <v>127378</v>
      </c>
      <c r="R318" s="648">
        <f t="shared" ref="R318:R329" si="259">P318-Q318</f>
        <v>24745</v>
      </c>
      <c r="S318" s="435">
        <f t="shared" ref="S318:S329" si="260">R318/(G318)</f>
        <v>0.23093793747083527</v>
      </c>
      <c r="T318" s="435">
        <f t="shared" ref="T318:T329" si="261">R318/(G318)</f>
        <v>0.23093793747083527</v>
      </c>
      <c r="U318" s="435"/>
      <c r="V318" s="436"/>
      <c r="W318" s="437"/>
      <c r="X318" s="637"/>
      <c r="Y318" s="33"/>
      <c r="Z318" s="638">
        <v>2150236390.3415494</v>
      </c>
      <c r="AA318" s="33"/>
      <c r="AB318" s="438"/>
      <c r="AC318" s="33"/>
    </row>
    <row r="319" spans="1:29" x14ac:dyDescent="0.3">
      <c r="A319" s="689">
        <v>44774.472222222219</v>
      </c>
      <c r="B319" s="689">
        <v>44778.079861111109</v>
      </c>
      <c r="C319" s="23"/>
      <c r="D319" s="14"/>
      <c r="E319" s="35" t="s">
        <v>1059</v>
      </c>
      <c r="F319" s="25" t="s">
        <v>328</v>
      </c>
      <c r="G319" s="433">
        <v>63507</v>
      </c>
      <c r="H319" s="548" t="s">
        <v>1028</v>
      </c>
      <c r="I319" s="433">
        <v>82500</v>
      </c>
      <c r="J319" s="26">
        <f t="shared" si="255"/>
        <v>-18993</v>
      </c>
      <c r="K319" s="27">
        <f t="shared" si="256"/>
        <v>3.6076388888905058</v>
      </c>
      <c r="L319" s="27">
        <f>'[69]WISDOM OF THE SEA 1'!$F$109</f>
        <v>1.2065972222153505</v>
      </c>
      <c r="M319" s="434">
        <f t="shared" si="257"/>
        <v>17603.480269482003</v>
      </c>
      <c r="N319" s="567">
        <f t="shared" si="258"/>
        <v>52633.139568645078</v>
      </c>
      <c r="O319" s="434">
        <v>30000</v>
      </c>
      <c r="P319" s="648">
        <v>126506</v>
      </c>
      <c r="Q319" s="648">
        <v>112705</v>
      </c>
      <c r="R319" s="648">
        <f t="shared" si="259"/>
        <v>13801</v>
      </c>
      <c r="S319" s="435">
        <f t="shared" si="260"/>
        <v>0.21731462673406082</v>
      </c>
      <c r="T319" s="435">
        <f t="shared" si="261"/>
        <v>0.21731462673406082</v>
      </c>
      <c r="U319" s="435"/>
      <c r="V319" s="436"/>
      <c r="W319" s="437"/>
      <c r="X319" s="637"/>
      <c r="Y319" s="33"/>
      <c r="Z319" s="638">
        <v>1283414718.733753</v>
      </c>
      <c r="AA319" s="33"/>
      <c r="AB319" s="438"/>
      <c r="AC319" s="33"/>
    </row>
    <row r="320" spans="1:29" x14ac:dyDescent="0.3">
      <c r="A320" s="689">
        <v>44778.388888888891</v>
      </c>
      <c r="B320" s="689">
        <v>44780.354166666664</v>
      </c>
      <c r="C320" s="23"/>
      <c r="D320" s="14"/>
      <c r="E320" s="35" t="s">
        <v>1060</v>
      </c>
      <c r="F320" s="25" t="s">
        <v>328</v>
      </c>
      <c r="G320" s="433">
        <v>68000</v>
      </c>
      <c r="H320" s="548" t="s">
        <v>991</v>
      </c>
      <c r="I320" s="433">
        <v>68000</v>
      </c>
      <c r="J320" s="26">
        <f t="shared" si="255"/>
        <v>0</v>
      </c>
      <c r="K320" s="27">
        <f t="shared" si="256"/>
        <v>1.9652777777737356</v>
      </c>
      <c r="L320" s="27">
        <f>'[70]MANALAGI ASTI'!$F$120</f>
        <v>1.2812499999818101</v>
      </c>
      <c r="M320" s="434">
        <f t="shared" si="257"/>
        <v>34600.706713852087</v>
      </c>
      <c r="N320" s="567">
        <f t="shared" si="258"/>
        <v>53073.1707324608</v>
      </c>
      <c r="O320" s="434">
        <v>30000</v>
      </c>
      <c r="P320" s="648">
        <v>111701</v>
      </c>
      <c r="Q320" s="648">
        <v>100361</v>
      </c>
      <c r="R320" s="648">
        <f t="shared" si="259"/>
        <v>11340</v>
      </c>
      <c r="S320" s="435">
        <f t="shared" si="260"/>
        <v>0.16676470588235295</v>
      </c>
      <c r="T320" s="435">
        <f t="shared" si="261"/>
        <v>0.16676470588235295</v>
      </c>
      <c r="U320" s="435"/>
      <c r="V320" s="436"/>
      <c r="W320" s="437"/>
      <c r="X320" s="639"/>
      <c r="Y320" s="33"/>
      <c r="Z320" s="638">
        <v>1370722683.6281691</v>
      </c>
      <c r="AA320" s="33"/>
      <c r="AB320" s="438"/>
      <c r="AC320" s="33"/>
    </row>
    <row r="321" spans="1:29" x14ac:dyDescent="0.3">
      <c r="A321" s="689">
        <v>44780.618055555555</v>
      </c>
      <c r="B321" s="689">
        <v>44781.180555555555</v>
      </c>
      <c r="C321" s="23"/>
      <c r="D321" s="14"/>
      <c r="E321" s="35" t="s">
        <v>1059</v>
      </c>
      <c r="F321" s="25" t="s">
        <v>328</v>
      </c>
      <c r="G321" s="433">
        <v>18993</v>
      </c>
      <c r="H321" s="548" t="s">
        <v>1028</v>
      </c>
      <c r="I321" s="433">
        <v>82500</v>
      </c>
      <c r="J321" s="26">
        <f t="shared" si="255"/>
        <v>-63507</v>
      </c>
      <c r="K321" s="27">
        <f t="shared" si="256"/>
        <v>0.5625</v>
      </c>
      <c r="L321" s="27">
        <f>'[70]WISDOM OF THE SEA 1 (2)'!$F$45</f>
        <v>0.40972222222262644</v>
      </c>
      <c r="M321" s="434">
        <f t="shared" si="257"/>
        <v>33765.333333333336</v>
      </c>
      <c r="N321" s="567">
        <f t="shared" si="258"/>
        <v>46355.796610123762</v>
      </c>
      <c r="O321" s="434">
        <v>30000</v>
      </c>
      <c r="P321" s="648">
        <v>99840</v>
      </c>
      <c r="Q321" s="648">
        <v>96430</v>
      </c>
      <c r="R321" s="648">
        <f t="shared" si="259"/>
        <v>3410</v>
      </c>
      <c r="S321" s="435">
        <f t="shared" si="260"/>
        <v>0.1795398304638551</v>
      </c>
      <c r="T321" s="435">
        <f t="shared" si="261"/>
        <v>0.1795398304638551</v>
      </c>
      <c r="U321" s="435"/>
      <c r="V321" s="436"/>
      <c r="W321" s="437"/>
      <c r="X321" s="637"/>
      <c r="Y321" s="33"/>
      <c r="Z321" s="638">
        <v>382854940.14926201</v>
      </c>
      <c r="AA321" s="33"/>
      <c r="AB321" s="438"/>
      <c r="AC321" s="33"/>
    </row>
    <row r="322" spans="1:29" x14ac:dyDescent="0.3">
      <c r="A322" s="689">
        <v>44781.784722222219</v>
      </c>
      <c r="B322" s="689">
        <v>44784.701388888891</v>
      </c>
      <c r="C322" s="23"/>
      <c r="D322" s="14"/>
      <c r="E322" s="35" t="s">
        <v>1001</v>
      </c>
      <c r="F322" s="25" t="s">
        <v>328</v>
      </c>
      <c r="G322" s="433">
        <v>72000</v>
      </c>
      <c r="H322" s="548" t="s">
        <v>991</v>
      </c>
      <c r="I322" s="433">
        <v>72000</v>
      </c>
      <c r="J322" s="26">
        <f t="shared" si="255"/>
        <v>0</v>
      </c>
      <c r="K322" s="27">
        <f t="shared" si="256"/>
        <v>2.9166666666715173</v>
      </c>
      <c r="L322" s="27">
        <f>'[70]LUMOSO KASIH'!$F$120</f>
        <v>1.4340277777834369</v>
      </c>
      <c r="M322" s="434">
        <f t="shared" si="257"/>
        <v>24685.714285673232</v>
      </c>
      <c r="N322" s="567">
        <f t="shared" si="258"/>
        <v>50208.232445322443</v>
      </c>
      <c r="O322" s="434">
        <v>30000</v>
      </c>
      <c r="P322" s="648">
        <v>95048</v>
      </c>
      <c r="Q322" s="648">
        <v>82821</v>
      </c>
      <c r="R322" s="648">
        <f t="shared" si="259"/>
        <v>12227</v>
      </c>
      <c r="S322" s="435">
        <f t="shared" si="260"/>
        <v>0.16981944444444444</v>
      </c>
      <c r="T322" s="435">
        <f t="shared" si="261"/>
        <v>0.16981944444444444</v>
      </c>
      <c r="U322" s="435"/>
      <c r="V322" s="436"/>
      <c r="W322" s="437"/>
      <c r="X322" s="637"/>
      <c r="Y322" s="33"/>
      <c r="Z322" s="638">
        <v>1447073180.8098593</v>
      </c>
      <c r="AA322" s="33"/>
      <c r="AB322" s="438"/>
      <c r="AC322" s="33"/>
    </row>
    <row r="323" spans="1:29" x14ac:dyDescent="0.3">
      <c r="A323" s="689">
        <v>44785.013888888891</v>
      </c>
      <c r="B323" s="689">
        <v>44785.770833333336</v>
      </c>
      <c r="C323" s="23"/>
      <c r="D323" s="14"/>
      <c r="E323" s="35" t="s">
        <v>1024</v>
      </c>
      <c r="F323" s="36" t="s">
        <v>328</v>
      </c>
      <c r="G323" s="433">
        <v>20300</v>
      </c>
      <c r="H323" s="548" t="s">
        <v>1004</v>
      </c>
      <c r="I323" s="433">
        <v>20000</v>
      </c>
      <c r="J323" s="26">
        <f t="shared" si="255"/>
        <v>300</v>
      </c>
      <c r="K323" s="27">
        <f t="shared" si="256"/>
        <v>0.75694444444525288</v>
      </c>
      <c r="L323" s="27">
        <f>'[70]HONG RUN 6'!$F$55</f>
        <v>0.55208333332848269</v>
      </c>
      <c r="M323" s="434">
        <f t="shared" si="257"/>
        <v>26818.348623824568</v>
      </c>
      <c r="N323" s="567">
        <f t="shared" si="258"/>
        <v>36769.811321077781</v>
      </c>
      <c r="O323" s="434">
        <v>30000</v>
      </c>
      <c r="P323" s="648">
        <v>80667</v>
      </c>
      <c r="Q323" s="648">
        <v>76487</v>
      </c>
      <c r="R323" s="648">
        <f t="shared" si="259"/>
        <v>4180</v>
      </c>
      <c r="S323" s="435">
        <f t="shared" si="260"/>
        <v>0.20591133004926107</v>
      </c>
      <c r="T323" s="435">
        <f t="shared" si="261"/>
        <v>0.20591133004926107</v>
      </c>
      <c r="U323" s="435"/>
      <c r="V323" s="436"/>
      <c r="W323" s="32"/>
      <c r="X323" s="637"/>
      <c r="Y323" s="33"/>
      <c r="Z323" s="638">
        <v>404842767.01713026</v>
      </c>
      <c r="AA323" s="33"/>
      <c r="AB323" s="438"/>
      <c r="AC323" s="33"/>
    </row>
    <row r="324" spans="1:29" x14ac:dyDescent="0.3">
      <c r="A324" s="689">
        <v>44786.489583333336</v>
      </c>
      <c r="B324" s="689">
        <v>44789.055555555555</v>
      </c>
      <c r="C324" s="23"/>
      <c r="D324" s="14"/>
      <c r="E324" s="35" t="s">
        <v>1061</v>
      </c>
      <c r="F324" s="36" t="s">
        <v>328</v>
      </c>
      <c r="G324" s="433">
        <v>86890</v>
      </c>
      <c r="H324" s="548" t="s">
        <v>991</v>
      </c>
      <c r="I324" s="433">
        <v>86890</v>
      </c>
      <c r="J324" s="26">
        <f t="shared" si="255"/>
        <v>0</v>
      </c>
      <c r="K324" s="27">
        <f t="shared" si="256"/>
        <v>2.5659722222189885</v>
      </c>
      <c r="L324" s="27">
        <f>[69]HEIDE!$F$154</f>
        <v>1.559027777779799</v>
      </c>
      <c r="M324" s="434">
        <f t="shared" si="257"/>
        <v>33862.408660394503</v>
      </c>
      <c r="N324" s="567">
        <f t="shared" si="258"/>
        <v>55733.452115740663</v>
      </c>
      <c r="O324" s="434">
        <v>30000</v>
      </c>
      <c r="P324" s="648">
        <v>74546</v>
      </c>
      <c r="Q324" s="648">
        <v>61314</v>
      </c>
      <c r="R324" s="648">
        <f t="shared" si="259"/>
        <v>13232</v>
      </c>
      <c r="S324" s="435">
        <f t="shared" si="260"/>
        <v>0.15228449764069513</v>
      </c>
      <c r="T324" s="435">
        <f t="shared" si="261"/>
        <v>0.15228449764069513</v>
      </c>
      <c r="U324" s="435"/>
      <c r="V324" s="31"/>
      <c r="W324" s="32"/>
      <c r="X324" s="637"/>
      <c r="Y324" s="33"/>
      <c r="Z324" s="638">
        <v>1718993284.2360404</v>
      </c>
      <c r="AA324" s="33"/>
      <c r="AB324" s="438"/>
      <c r="AC324" s="33"/>
    </row>
    <row r="325" spans="1:29" x14ac:dyDescent="0.3">
      <c r="A325" s="689">
        <v>44789.326388888891</v>
      </c>
      <c r="B325" s="689">
        <v>44791.5</v>
      </c>
      <c r="C325" s="23"/>
      <c r="D325" s="14"/>
      <c r="E325" s="35" t="s">
        <v>1062</v>
      </c>
      <c r="F325" s="36" t="s">
        <v>328</v>
      </c>
      <c r="G325" s="433">
        <v>71725</v>
      </c>
      <c r="H325" s="548" t="s">
        <v>1041</v>
      </c>
      <c r="I325" s="433">
        <v>71725</v>
      </c>
      <c r="J325" s="26">
        <f t="shared" si="255"/>
        <v>0</v>
      </c>
      <c r="K325" s="27">
        <f t="shared" si="256"/>
        <v>2.1736111111094942</v>
      </c>
      <c r="L325" s="27">
        <f>'[69]AUSCA 1'!$F$136</f>
        <v>1.4374999999660456</v>
      </c>
      <c r="M325" s="434">
        <f t="shared" si="257"/>
        <v>32998.083067117201</v>
      </c>
      <c r="N325" s="567">
        <f t="shared" si="258"/>
        <v>49895.6521750916</v>
      </c>
      <c r="O325" s="434">
        <v>30000</v>
      </c>
      <c r="P325" s="648">
        <v>60557</v>
      </c>
      <c r="Q325" s="648">
        <v>47457</v>
      </c>
      <c r="R325" s="648">
        <f t="shared" si="259"/>
        <v>13100</v>
      </c>
      <c r="S325" s="435">
        <f t="shared" si="260"/>
        <v>0.18264203555245731</v>
      </c>
      <c r="T325" s="435">
        <f t="shared" si="261"/>
        <v>0.18264203555245731</v>
      </c>
      <c r="U325" s="435"/>
      <c r="V325" s="31"/>
      <c r="W325" s="32"/>
      <c r="X325" s="637"/>
      <c r="Y325" s="33"/>
      <c r="Z325" s="638">
        <v>1424800595.4055061</v>
      </c>
      <c r="AA325" s="33"/>
      <c r="AB325" s="438"/>
      <c r="AC325" s="33"/>
    </row>
    <row r="326" spans="1:29" x14ac:dyDescent="0.3">
      <c r="A326" s="689">
        <v>44792.75</v>
      </c>
      <c r="B326" s="689">
        <v>44795.34375</v>
      </c>
      <c r="C326" s="23"/>
      <c r="D326" s="14"/>
      <c r="E326" s="35" t="s">
        <v>44</v>
      </c>
      <c r="F326" s="36" t="s">
        <v>32</v>
      </c>
      <c r="G326" s="433">
        <v>89500</v>
      </c>
      <c r="H326" s="548" t="s">
        <v>991</v>
      </c>
      <c r="I326" s="433">
        <v>89500</v>
      </c>
      <c r="J326" s="26">
        <f t="shared" si="255"/>
        <v>0</v>
      </c>
      <c r="K326" s="27">
        <f t="shared" si="256"/>
        <v>2.59375</v>
      </c>
      <c r="L326" s="27">
        <f>'[69]TAIPOWER PROSPERITY VIII'!$F$137</f>
        <v>1.6701388888565514</v>
      </c>
      <c r="M326" s="434">
        <f t="shared" si="257"/>
        <v>34506.024096385539</v>
      </c>
      <c r="N326" s="567">
        <f t="shared" si="258"/>
        <v>53588.357589395178</v>
      </c>
      <c r="O326" s="434">
        <v>30000</v>
      </c>
      <c r="P326" s="648">
        <v>243474</v>
      </c>
      <c r="Q326" s="648">
        <v>228874</v>
      </c>
      <c r="R326" s="648">
        <f t="shared" si="259"/>
        <v>14600</v>
      </c>
      <c r="S326" s="435">
        <f t="shared" si="260"/>
        <v>0.16312849162011173</v>
      </c>
      <c r="T326" s="435">
        <f t="shared" si="261"/>
        <v>0.16312849162011173</v>
      </c>
      <c r="U326" s="435"/>
      <c r="V326" s="31"/>
      <c r="W326" s="32"/>
      <c r="X326" s="637"/>
      <c r="Y326" s="33"/>
      <c r="Z326" s="638">
        <v>1794506169.3834503</v>
      </c>
      <c r="AA326" s="33"/>
      <c r="AB326" s="438"/>
      <c r="AC326" s="33"/>
    </row>
    <row r="327" spans="1:29" x14ac:dyDescent="0.3">
      <c r="A327" s="689">
        <v>44795.708333333336</v>
      </c>
      <c r="B327" s="689">
        <v>44797.555555555555</v>
      </c>
      <c r="C327" s="23"/>
      <c r="D327" s="14"/>
      <c r="E327" s="35" t="s">
        <v>782</v>
      </c>
      <c r="F327" s="36" t="s">
        <v>32</v>
      </c>
      <c r="G327" s="433">
        <v>67000</v>
      </c>
      <c r="H327" s="548" t="s">
        <v>992</v>
      </c>
      <c r="I327" s="433">
        <v>67000</v>
      </c>
      <c r="J327" s="26">
        <f t="shared" si="255"/>
        <v>0</v>
      </c>
      <c r="K327" s="27">
        <f t="shared" si="256"/>
        <v>1.8472222222189885</v>
      </c>
      <c r="L327" s="27">
        <f>'[69]LUMOSO PRATAMA'!$F$111</f>
        <v>1.2361111111155576</v>
      </c>
      <c r="M327" s="434">
        <f t="shared" si="257"/>
        <v>36270.676691792818</v>
      </c>
      <c r="N327" s="567">
        <f t="shared" si="258"/>
        <v>54202.247190816262</v>
      </c>
      <c r="O327" s="434">
        <v>30000</v>
      </c>
      <c r="P327" s="648">
        <v>227834</v>
      </c>
      <c r="Q327" s="648">
        <v>217494</v>
      </c>
      <c r="R327" s="648">
        <f t="shared" si="259"/>
        <v>10340</v>
      </c>
      <c r="S327" s="435">
        <f t="shared" si="260"/>
        <v>0.15432835820895521</v>
      </c>
      <c r="T327" s="435">
        <f t="shared" si="261"/>
        <v>0.15432835820895521</v>
      </c>
      <c r="U327" s="435"/>
      <c r="V327" s="31"/>
      <c r="W327" s="32"/>
      <c r="X327" s="637"/>
      <c r="Y327" s="33"/>
      <c r="Z327" s="638">
        <v>1348175893.9177816</v>
      </c>
      <c r="AA327" s="33"/>
      <c r="AB327" s="438"/>
      <c r="AC327" s="33"/>
    </row>
    <row r="328" spans="1:29" x14ac:dyDescent="0.3">
      <c r="A328" s="689">
        <v>44797.819444444445</v>
      </c>
      <c r="B328" s="689">
        <v>44800.041666666664</v>
      </c>
      <c r="C328" s="23"/>
      <c r="D328" s="14"/>
      <c r="E328" s="35" t="s">
        <v>1063</v>
      </c>
      <c r="F328" s="36" t="s">
        <v>328</v>
      </c>
      <c r="G328" s="433">
        <v>65500</v>
      </c>
      <c r="H328" s="548" t="s">
        <v>992</v>
      </c>
      <c r="I328" s="433">
        <v>65500</v>
      </c>
      <c r="J328" s="26">
        <f t="shared" si="255"/>
        <v>0</v>
      </c>
      <c r="K328" s="27">
        <f t="shared" si="256"/>
        <v>2.2222222222189885</v>
      </c>
      <c r="L328" s="27">
        <f>'[69]MARIA NASHWAH'!$F$128</f>
        <v>1.2951388888711033</v>
      </c>
      <c r="M328" s="434">
        <f t="shared" si="257"/>
        <v>29475.000000042892</v>
      </c>
      <c r="N328" s="567">
        <f t="shared" si="258"/>
        <v>50573.726542249467</v>
      </c>
      <c r="O328" s="434">
        <v>30000</v>
      </c>
      <c r="P328" s="648">
        <v>216946</v>
      </c>
      <c r="Q328" s="648">
        <v>205066</v>
      </c>
      <c r="R328" s="648">
        <f t="shared" si="259"/>
        <v>11880</v>
      </c>
      <c r="S328" s="435">
        <f t="shared" si="260"/>
        <v>0.18137404580152672</v>
      </c>
      <c r="T328" s="435">
        <f t="shared" si="261"/>
        <v>0.18137404580152672</v>
      </c>
      <c r="U328" s="435"/>
      <c r="V328" s="31"/>
      <c r="W328" s="32"/>
      <c r="X328" s="637"/>
      <c r="Y328" s="33"/>
      <c r="Z328" s="638">
        <v>1307411147.5102115</v>
      </c>
      <c r="AA328" s="33"/>
      <c r="AB328" s="438"/>
      <c r="AC328" s="33"/>
    </row>
    <row r="329" spans="1:29" x14ac:dyDescent="0.3">
      <c r="A329" s="689">
        <v>44800.472222222219</v>
      </c>
      <c r="B329" s="689">
        <v>44802.065972222219</v>
      </c>
      <c r="C329" s="23"/>
      <c r="D329" s="14"/>
      <c r="E329" s="35" t="s">
        <v>1064</v>
      </c>
      <c r="F329" s="36" t="s">
        <v>328</v>
      </c>
      <c r="G329" s="433">
        <v>52000</v>
      </c>
      <c r="H329" s="548" t="s">
        <v>1008</v>
      </c>
      <c r="I329" s="433">
        <v>77000</v>
      </c>
      <c r="J329" s="26">
        <f t="shared" si="255"/>
        <v>-25000</v>
      </c>
      <c r="K329" s="27">
        <f t="shared" si="256"/>
        <v>1.59375</v>
      </c>
      <c r="L329" s="27">
        <f>'[69]GRAMPUS CHARM'!$F$90</f>
        <v>0.97048611109009164</v>
      </c>
      <c r="M329" s="434">
        <f t="shared" si="257"/>
        <v>32627.450980392157</v>
      </c>
      <c r="N329" s="567">
        <f t="shared" si="258"/>
        <v>53581.395349997714</v>
      </c>
      <c r="O329" s="434">
        <v>30000</v>
      </c>
      <c r="P329" s="648">
        <v>203966</v>
      </c>
      <c r="Q329" s="648">
        <v>194648</v>
      </c>
      <c r="R329" s="648">
        <f t="shared" si="259"/>
        <v>9318</v>
      </c>
      <c r="S329" s="435">
        <f t="shared" si="260"/>
        <v>0.17919230769230768</v>
      </c>
      <c r="T329" s="435">
        <f t="shared" si="261"/>
        <v>0.17919230769230768</v>
      </c>
      <c r="U329" s="435"/>
      <c r="V329" s="31"/>
      <c r="W329" s="32"/>
      <c r="X329" s="637"/>
      <c r="Y329" s="33"/>
      <c r="Z329" s="638">
        <v>1037944727.7943664</v>
      </c>
      <c r="AA329" s="33"/>
      <c r="AB329" s="438"/>
      <c r="AC329" s="33"/>
    </row>
    <row r="330" spans="1:29" x14ac:dyDescent="0.3">
      <c r="A330" s="689">
        <v>44803.666666666664</v>
      </c>
      <c r="B330" s="689">
        <v>44806.020833333336</v>
      </c>
      <c r="C330" s="23"/>
      <c r="D330" s="14"/>
      <c r="E330" s="35" t="s">
        <v>920</v>
      </c>
      <c r="F330" s="36" t="s">
        <v>328</v>
      </c>
      <c r="G330" s="433">
        <v>67000</v>
      </c>
      <c r="H330" s="548" t="s">
        <v>992</v>
      </c>
      <c r="I330" s="433">
        <v>67000</v>
      </c>
      <c r="J330" s="26">
        <f t="shared" ref="J330:J339" si="262">G330-I330</f>
        <v>0</v>
      </c>
      <c r="K330" s="27">
        <f t="shared" ref="K330:K339" si="263">B330-A330</f>
        <v>2.3541666666715173</v>
      </c>
      <c r="L330" s="27">
        <f>'[71]MANALAGI DASA'!$F$121</f>
        <v>1.4097222222104999</v>
      </c>
      <c r="M330" s="434">
        <f t="shared" ref="M330:M339" si="264">(G330)/K330</f>
        <v>28460.176991091801</v>
      </c>
      <c r="N330" s="567">
        <f t="shared" ref="N330:N339" si="265">(G330)/L330</f>
        <v>47527.093596454317</v>
      </c>
      <c r="O330" s="434">
        <v>30000</v>
      </c>
      <c r="P330" s="648">
        <v>192187</v>
      </c>
      <c r="Q330" s="648">
        <v>179103</v>
      </c>
      <c r="R330" s="648">
        <f t="shared" ref="R330:R339" si="266">P330-Q330</f>
        <v>13084</v>
      </c>
      <c r="S330" s="435">
        <f t="shared" ref="S330:S339" si="267">R330/(G330)</f>
        <v>0.19528358208955224</v>
      </c>
      <c r="T330" s="435">
        <f t="shared" ref="T330:T339" si="268">R330/(G330)</f>
        <v>0.19528358208955224</v>
      </c>
      <c r="U330" s="435"/>
      <c r="V330" s="436"/>
      <c r="W330" s="437"/>
      <c r="X330" s="637"/>
      <c r="Y330" s="33"/>
      <c r="Z330" s="638">
        <v>1354836410.3577466</v>
      </c>
      <c r="AA330" s="33"/>
      <c r="AB330" s="438"/>
      <c r="AC330" s="33"/>
    </row>
    <row r="331" spans="1:29" x14ac:dyDescent="0.3">
      <c r="A331" s="689">
        <v>44806.326388888891</v>
      </c>
      <c r="B331" s="689">
        <v>44808.597222222219</v>
      </c>
      <c r="C331" s="23"/>
      <c r="D331" s="14"/>
      <c r="E331" s="35" t="s">
        <v>1065</v>
      </c>
      <c r="F331" s="25" t="s">
        <v>328</v>
      </c>
      <c r="G331" s="433">
        <v>78500</v>
      </c>
      <c r="H331" s="548" t="s">
        <v>1004</v>
      </c>
      <c r="I331" s="433">
        <v>78500</v>
      </c>
      <c r="J331" s="26">
        <f t="shared" si="262"/>
        <v>0</v>
      </c>
      <c r="K331" s="27">
        <f t="shared" si="263"/>
        <v>2.2708333333284827</v>
      </c>
      <c r="L331" s="27">
        <f>[71]AVALON!$F$129</f>
        <v>1.6145833333163562</v>
      </c>
      <c r="M331" s="434">
        <f t="shared" si="264"/>
        <v>34568.807339523381</v>
      </c>
      <c r="N331" s="567">
        <f t="shared" si="265"/>
        <v>48619.354839220905</v>
      </c>
      <c r="O331" s="434">
        <v>30000</v>
      </c>
      <c r="P331" s="648">
        <v>178011</v>
      </c>
      <c r="Q331" s="648">
        <v>165911</v>
      </c>
      <c r="R331" s="648">
        <f t="shared" si="266"/>
        <v>12100</v>
      </c>
      <c r="S331" s="435">
        <f t="shared" si="267"/>
        <v>0.15414012738853503</v>
      </c>
      <c r="T331" s="435">
        <f t="shared" si="268"/>
        <v>0.15414012738853503</v>
      </c>
      <c r="U331" s="435"/>
      <c r="V331" s="436"/>
      <c r="W331" s="437"/>
      <c r="X331" s="637"/>
      <c r="Y331" s="33"/>
      <c r="Z331" s="638">
        <v>1589958099.8239434</v>
      </c>
      <c r="AA331" s="33"/>
      <c r="AB331" s="438"/>
      <c r="AC331" s="33"/>
    </row>
    <row r="332" spans="1:29" x14ac:dyDescent="0.3">
      <c r="A332" s="689">
        <v>44809.444444444445</v>
      </c>
      <c r="B332" s="689">
        <v>44811.875</v>
      </c>
      <c r="C332" s="23"/>
      <c r="D332" s="14"/>
      <c r="E332" s="35" t="s">
        <v>952</v>
      </c>
      <c r="F332" s="25" t="s">
        <v>333</v>
      </c>
      <c r="G332" s="433">
        <v>88000</v>
      </c>
      <c r="H332" s="548" t="s">
        <v>991</v>
      </c>
      <c r="I332" s="433">
        <v>88000</v>
      </c>
      <c r="J332" s="26">
        <f t="shared" si="262"/>
        <v>0</v>
      </c>
      <c r="K332" s="27">
        <f t="shared" si="263"/>
        <v>2.4305555555547471</v>
      </c>
      <c r="L332" s="27">
        <f>[71]WELPROFIT!$F$139</f>
        <v>1.7256944444294884</v>
      </c>
      <c r="M332" s="434">
        <f t="shared" si="264"/>
        <v>36205.714285726332</v>
      </c>
      <c r="N332" s="567">
        <f t="shared" si="265"/>
        <v>50993.963783138126</v>
      </c>
      <c r="O332" s="434">
        <v>30000</v>
      </c>
      <c r="P332" s="648">
        <v>163870</v>
      </c>
      <c r="Q332" s="648">
        <v>149670</v>
      </c>
      <c r="R332" s="648">
        <f t="shared" si="266"/>
        <v>14200</v>
      </c>
      <c r="S332" s="435">
        <f t="shared" si="267"/>
        <v>0.16136363636363638</v>
      </c>
      <c r="T332" s="435">
        <f t="shared" si="268"/>
        <v>0.16136363636363638</v>
      </c>
      <c r="U332" s="435"/>
      <c r="V332" s="436"/>
      <c r="W332" s="437"/>
      <c r="X332" s="637"/>
      <c r="Y332" s="33"/>
      <c r="Z332" s="638">
        <v>1779666961.584507</v>
      </c>
      <c r="AA332" s="33"/>
      <c r="AB332" s="438"/>
      <c r="AC332" s="33"/>
    </row>
    <row r="333" spans="1:29" x14ac:dyDescent="0.3">
      <c r="A333" s="689">
        <v>44812.173611111109</v>
      </c>
      <c r="B333" s="689">
        <v>44813.888888888891</v>
      </c>
      <c r="C333" s="23"/>
      <c r="D333" s="14"/>
      <c r="E333" s="35" t="s">
        <v>1066</v>
      </c>
      <c r="F333" s="25" t="s">
        <v>328</v>
      </c>
      <c r="G333" s="433">
        <v>37397</v>
      </c>
      <c r="H333" s="548" t="s">
        <v>998</v>
      </c>
      <c r="I333" s="433">
        <v>37397</v>
      </c>
      <c r="J333" s="26">
        <f t="shared" si="262"/>
        <v>0</v>
      </c>
      <c r="K333" s="27">
        <f t="shared" si="263"/>
        <v>1.7152777777810115</v>
      </c>
      <c r="L333" s="27">
        <f>'[71]GH POWER'!$F$72</f>
        <v>0.73611111111313221</v>
      </c>
      <c r="M333" s="434">
        <f t="shared" si="264"/>
        <v>21802.299595100598</v>
      </c>
      <c r="N333" s="567">
        <f t="shared" si="265"/>
        <v>50803.47169797372</v>
      </c>
      <c r="O333" s="434">
        <v>30000</v>
      </c>
      <c r="P333" s="648">
        <v>149281</v>
      </c>
      <c r="Q333" s="648">
        <v>141706</v>
      </c>
      <c r="R333" s="648">
        <f t="shared" si="266"/>
        <v>7575</v>
      </c>
      <c r="S333" s="435">
        <f t="shared" si="267"/>
        <v>0.20255635478781719</v>
      </c>
      <c r="T333" s="435">
        <f t="shared" si="268"/>
        <v>0.20255635478781719</v>
      </c>
      <c r="U333" s="435"/>
      <c r="V333" s="436"/>
      <c r="W333" s="437"/>
      <c r="X333" s="637"/>
      <c r="Y333" s="33"/>
      <c r="Z333" s="638">
        <v>757831577.4423722</v>
      </c>
      <c r="AA333" s="33"/>
      <c r="AB333" s="438"/>
      <c r="AC333" s="33"/>
    </row>
    <row r="334" spans="1:29" x14ac:dyDescent="0.3">
      <c r="A334" s="689">
        <v>44815.986111111109</v>
      </c>
      <c r="B334" s="689">
        <v>44816.649305555555</v>
      </c>
      <c r="C334" s="23"/>
      <c r="D334" s="14"/>
      <c r="E334" s="35" t="s">
        <v>1067</v>
      </c>
      <c r="F334" s="25" t="s">
        <v>328</v>
      </c>
      <c r="G334" s="433">
        <v>23567</v>
      </c>
      <c r="H334" s="548" t="s">
        <v>1004</v>
      </c>
      <c r="I334" s="433">
        <v>60500</v>
      </c>
      <c r="J334" s="26">
        <f t="shared" si="262"/>
        <v>-36933</v>
      </c>
      <c r="K334" s="27">
        <f t="shared" si="263"/>
        <v>0.66319444444525288</v>
      </c>
      <c r="L334" s="27">
        <f>'[71]BEI LUN HAI SHI'!$F$57</f>
        <v>0.42534722221535048</v>
      </c>
      <c r="M334" s="434">
        <f t="shared" si="264"/>
        <v>35535.581151789142</v>
      </c>
      <c r="N334" s="567">
        <f t="shared" si="265"/>
        <v>55406.497960078799</v>
      </c>
      <c r="O334" s="434">
        <v>30000</v>
      </c>
      <c r="P334" s="648">
        <v>137575</v>
      </c>
      <c r="Q334" s="648">
        <v>132615</v>
      </c>
      <c r="R334" s="648">
        <f t="shared" si="266"/>
        <v>4960</v>
      </c>
      <c r="S334" s="435">
        <f t="shared" si="267"/>
        <v>0.21046378410489244</v>
      </c>
      <c r="T334" s="435">
        <f t="shared" si="268"/>
        <v>0.21046378410489244</v>
      </c>
      <c r="U334" s="435"/>
      <c r="V334" s="436"/>
      <c r="W334" s="437"/>
      <c r="X334" s="637"/>
      <c r="Y334" s="33"/>
      <c r="Z334" s="638">
        <v>474725868.21796691</v>
      </c>
      <c r="AA334" s="33"/>
      <c r="AB334" s="438"/>
      <c r="AC334" s="33"/>
    </row>
    <row r="335" spans="1:29" x14ac:dyDescent="0.3">
      <c r="A335" s="689">
        <v>44820.986111111109</v>
      </c>
      <c r="B335" s="689">
        <v>44823.118055555555</v>
      </c>
      <c r="C335" s="23"/>
      <c r="D335" s="14"/>
      <c r="E335" s="35" t="s">
        <v>1068</v>
      </c>
      <c r="F335" s="25" t="s">
        <v>333</v>
      </c>
      <c r="G335" s="433">
        <v>83180</v>
      </c>
      <c r="H335" s="548" t="s">
        <v>991</v>
      </c>
      <c r="I335" s="433">
        <v>83180</v>
      </c>
      <c r="J335" s="26">
        <f t="shared" si="262"/>
        <v>0</v>
      </c>
      <c r="K335" s="27">
        <f t="shared" si="263"/>
        <v>2.1319444444452529</v>
      </c>
      <c r="L335" s="27">
        <f>'[71]CEMTEX HONOR'!$F$125</f>
        <v>1.527777777768885</v>
      </c>
      <c r="M335" s="434">
        <f t="shared" si="264"/>
        <v>39016.026058617128</v>
      </c>
      <c r="N335" s="567">
        <f t="shared" si="265"/>
        <v>54445.090909407816</v>
      </c>
      <c r="O335" s="434">
        <v>30000</v>
      </c>
      <c r="P335" s="648">
        <v>124575</v>
      </c>
      <c r="Q335" s="648">
        <v>111915</v>
      </c>
      <c r="R335" s="648">
        <f t="shared" si="266"/>
        <v>12660</v>
      </c>
      <c r="S335" s="435">
        <f t="shared" si="267"/>
        <v>0.15220004808848281</v>
      </c>
      <c r="T335" s="435">
        <f t="shared" si="268"/>
        <v>0.15220004808848281</v>
      </c>
      <c r="U335" s="435"/>
      <c r="V335" s="436"/>
      <c r="W335" s="437"/>
      <c r="X335" s="637"/>
      <c r="Y335" s="33"/>
      <c r="Z335" s="638">
        <v>1705571967.7001722</v>
      </c>
      <c r="AA335" s="33"/>
      <c r="AB335" s="438"/>
      <c r="AC335" s="33"/>
    </row>
    <row r="336" spans="1:29" x14ac:dyDescent="0.3">
      <c r="A336" s="689">
        <v>44823.625</v>
      </c>
      <c r="B336" s="689">
        <v>44826.055555555555</v>
      </c>
      <c r="C336" s="23"/>
      <c r="D336" s="14"/>
      <c r="E336" s="35" t="s">
        <v>1069</v>
      </c>
      <c r="F336" s="25" t="s">
        <v>328</v>
      </c>
      <c r="G336" s="433">
        <v>83100</v>
      </c>
      <c r="H336" s="548" t="s">
        <v>991</v>
      </c>
      <c r="I336" s="433">
        <v>83100</v>
      </c>
      <c r="J336" s="26">
        <f t="shared" si="262"/>
        <v>0</v>
      </c>
      <c r="K336" s="27">
        <f t="shared" si="263"/>
        <v>2.4305555555547471</v>
      </c>
      <c r="L336" s="27">
        <f>'[71]NING MAY'!$F$134</f>
        <v>1.6354166666521148</v>
      </c>
      <c r="M336" s="434">
        <f t="shared" si="264"/>
        <v>34189.714285725655</v>
      </c>
      <c r="N336" s="567">
        <f t="shared" si="265"/>
        <v>50812.738853955314</v>
      </c>
      <c r="O336" s="434">
        <v>30000</v>
      </c>
      <c r="P336" s="648">
        <v>110723</v>
      </c>
      <c r="Q336" s="648">
        <v>97523</v>
      </c>
      <c r="R336" s="648">
        <f t="shared" si="266"/>
        <v>13200</v>
      </c>
      <c r="S336" s="435">
        <f t="shared" si="267"/>
        <v>0.1588447653429603</v>
      </c>
      <c r="T336" s="435">
        <f t="shared" si="268"/>
        <v>0.1588447653429603</v>
      </c>
      <c r="U336" s="435"/>
      <c r="V336" s="436"/>
      <c r="W336" s="437"/>
      <c r="X336" s="637"/>
      <c r="Y336" s="33"/>
      <c r="Z336" s="638">
        <v>1716267157.4549468</v>
      </c>
      <c r="AA336" s="33"/>
      <c r="AB336" s="438"/>
      <c r="AC336" s="33"/>
    </row>
    <row r="337" spans="1:29" x14ac:dyDescent="0.3">
      <c r="A337" s="689">
        <v>44826.305555555555</v>
      </c>
      <c r="B337" s="689">
        <v>44828.972222222219</v>
      </c>
      <c r="C337" s="23"/>
      <c r="D337" s="14"/>
      <c r="E337" s="35" t="s">
        <v>1070</v>
      </c>
      <c r="F337" s="25" t="s">
        <v>333</v>
      </c>
      <c r="G337" s="433">
        <v>88000</v>
      </c>
      <c r="H337" s="548" t="s">
        <v>991</v>
      </c>
      <c r="I337" s="433">
        <v>88000</v>
      </c>
      <c r="J337" s="26">
        <f t="shared" si="262"/>
        <v>0</v>
      </c>
      <c r="K337" s="27">
        <f t="shared" si="263"/>
        <v>2.6666666666642413</v>
      </c>
      <c r="L337" s="27">
        <f>'[71]SHI DAI 20'!$F$144</f>
        <v>1.6423611111119196</v>
      </c>
      <c r="M337" s="434">
        <f t="shared" si="264"/>
        <v>33000.000000030013</v>
      </c>
      <c r="N337" s="567">
        <f t="shared" si="265"/>
        <v>53581.395348810831</v>
      </c>
      <c r="O337" s="434">
        <v>30000</v>
      </c>
      <c r="P337" s="648">
        <v>96542</v>
      </c>
      <c r="Q337" s="648">
        <v>81727</v>
      </c>
      <c r="R337" s="648">
        <f t="shared" si="266"/>
        <v>14815</v>
      </c>
      <c r="S337" s="435">
        <f t="shared" si="267"/>
        <v>0.16835227272727274</v>
      </c>
      <c r="T337" s="435">
        <f t="shared" si="268"/>
        <v>0.16835227272727274</v>
      </c>
      <c r="U337" s="435"/>
      <c r="V337" s="436"/>
      <c r="W337" s="437"/>
      <c r="X337" s="637"/>
      <c r="Y337" s="33"/>
      <c r="Z337" s="638">
        <v>1821835291.1619718</v>
      </c>
      <c r="AA337" s="33"/>
      <c r="AB337" s="438"/>
      <c r="AC337" s="33"/>
    </row>
    <row r="338" spans="1:29" x14ac:dyDescent="0.3">
      <c r="A338" s="689">
        <v>44829.194444444445</v>
      </c>
      <c r="B338" s="689">
        <v>44830.375</v>
      </c>
      <c r="C338" s="23"/>
      <c r="D338" s="14"/>
      <c r="E338" s="35" t="s">
        <v>1071</v>
      </c>
      <c r="F338" s="25" t="s">
        <v>328</v>
      </c>
      <c r="G338" s="433">
        <v>34948</v>
      </c>
      <c r="H338" s="548" t="s">
        <v>1028</v>
      </c>
      <c r="I338" s="433">
        <v>34948</v>
      </c>
      <c r="J338" s="26">
        <f t="shared" si="262"/>
        <v>0</v>
      </c>
      <c r="K338" s="27">
        <f t="shared" si="263"/>
        <v>1.1805555555547471</v>
      </c>
      <c r="L338" s="27">
        <f>'[71]NAVIOS PHOENIX'!$F$73</f>
        <v>0.71875</v>
      </c>
      <c r="M338" s="434">
        <f t="shared" si="264"/>
        <v>29603.011764726154</v>
      </c>
      <c r="N338" s="567">
        <f t="shared" si="265"/>
        <v>48623.304347826088</v>
      </c>
      <c r="O338" s="434">
        <v>30000</v>
      </c>
      <c r="P338" s="648">
        <v>80393</v>
      </c>
      <c r="Q338" s="648">
        <v>74180</v>
      </c>
      <c r="R338" s="648">
        <f t="shared" si="266"/>
        <v>6213</v>
      </c>
      <c r="S338" s="435">
        <f t="shared" si="267"/>
        <v>0.17777841364312694</v>
      </c>
      <c r="T338" s="435">
        <f t="shared" si="268"/>
        <v>0.17777841364312694</v>
      </c>
      <c r="U338" s="435"/>
      <c r="V338" s="436"/>
      <c r="W338" s="437"/>
      <c r="X338" s="637"/>
      <c r="Y338" s="33"/>
      <c r="Z338" s="638">
        <v>723517042.67646122</v>
      </c>
      <c r="AA338" s="33"/>
      <c r="AB338" s="438"/>
      <c r="AC338" s="33"/>
    </row>
    <row r="339" spans="1:29" x14ac:dyDescent="0.3">
      <c r="A339" s="689">
        <v>44830.680555555555</v>
      </c>
      <c r="B339" s="689">
        <v>44833.083333333336</v>
      </c>
      <c r="C339" s="23"/>
      <c r="D339" s="14"/>
      <c r="E339" s="35" t="s">
        <v>1072</v>
      </c>
      <c r="F339" s="25" t="s">
        <v>328</v>
      </c>
      <c r="G339" s="433">
        <v>60479</v>
      </c>
      <c r="H339" s="548" t="s">
        <v>995</v>
      </c>
      <c r="I339" s="433">
        <v>60500</v>
      </c>
      <c r="J339" s="26">
        <f t="shared" si="262"/>
        <v>-21</v>
      </c>
      <c r="K339" s="27">
        <f t="shared" si="263"/>
        <v>2.4027777777810115</v>
      </c>
      <c r="L339" s="27">
        <f>'[71]KYLA FORTUNE'!$F$122</f>
        <v>1.7118055555644485</v>
      </c>
      <c r="M339" s="434">
        <f t="shared" si="264"/>
        <v>25170.450867018149</v>
      </c>
      <c r="N339" s="567">
        <f t="shared" si="265"/>
        <v>35330.531439978731</v>
      </c>
      <c r="O339" s="434">
        <v>30000</v>
      </c>
      <c r="P339" s="648">
        <v>73139</v>
      </c>
      <c r="Q339" s="648">
        <v>59798</v>
      </c>
      <c r="R339" s="648">
        <f t="shared" si="266"/>
        <v>13341</v>
      </c>
      <c r="S339" s="435">
        <f t="shared" si="267"/>
        <v>0.22058896476462905</v>
      </c>
      <c r="T339" s="435">
        <f t="shared" si="268"/>
        <v>0.22058896476462905</v>
      </c>
      <c r="U339" s="435"/>
      <c r="V339" s="436"/>
      <c r="W339" s="32"/>
      <c r="X339" s="637"/>
      <c r="Y339" s="33"/>
      <c r="Z339" s="638">
        <v>1278296454.447211</v>
      </c>
      <c r="AA339" s="33"/>
      <c r="AB339" s="438"/>
      <c r="AC339" s="33"/>
    </row>
    <row r="340" spans="1:29" x14ac:dyDescent="0.3">
      <c r="A340" s="689">
        <v>44834.041666666664</v>
      </c>
      <c r="B340" s="689">
        <v>44835.625</v>
      </c>
      <c r="C340" s="23"/>
      <c r="D340" s="14"/>
      <c r="E340" s="35" t="s">
        <v>1073</v>
      </c>
      <c r="F340" s="25" t="s">
        <v>328</v>
      </c>
      <c r="G340" s="433">
        <v>49600</v>
      </c>
      <c r="H340" s="548" t="s">
        <v>991</v>
      </c>
      <c r="I340" s="433">
        <v>49600</v>
      </c>
      <c r="J340" s="26">
        <f t="shared" ref="J340:J348" si="269">G340-I340</f>
        <v>0</v>
      </c>
      <c r="K340" s="27">
        <f t="shared" ref="K340:K348" si="270">B340-A340</f>
        <v>1.5833333333357587</v>
      </c>
      <c r="L340" s="27">
        <f>[72]VALADON!$F$87</f>
        <v>1.1909722222044365</v>
      </c>
      <c r="M340" s="434">
        <f t="shared" ref="M340:M348" si="271">(G340)/K340</f>
        <v>31326.315789425698</v>
      </c>
      <c r="N340" s="567">
        <f t="shared" ref="N340:N348" si="272">(G340)/L340</f>
        <v>41646.647230942639</v>
      </c>
      <c r="O340" s="434">
        <v>30000</v>
      </c>
      <c r="P340" s="648">
        <v>57642</v>
      </c>
      <c r="Q340" s="648">
        <v>48603</v>
      </c>
      <c r="R340" s="648">
        <f t="shared" ref="R340:R348" si="273">P340-Q340</f>
        <v>9039</v>
      </c>
      <c r="S340" s="435">
        <f t="shared" ref="S340:S348" si="274">R340/(G340)</f>
        <v>0.18223790322580646</v>
      </c>
      <c r="T340" s="435">
        <f t="shared" ref="T340:T348" si="275">R340/(G340)</f>
        <v>0.18223790322580646</v>
      </c>
      <c r="U340" s="435"/>
      <c r="V340" s="436"/>
      <c r="W340" s="32"/>
      <c r="X340" s="637"/>
      <c r="Y340" s="33"/>
      <c r="Z340" s="638">
        <v>1044612983.2969013</v>
      </c>
      <c r="AA340" s="33"/>
      <c r="AB340" s="438"/>
      <c r="AC340" s="33"/>
    </row>
    <row r="341" spans="1:29" x14ac:dyDescent="0.3">
      <c r="A341" s="689">
        <v>44836.65625</v>
      </c>
      <c r="B341" s="689">
        <v>44838.923611111109</v>
      </c>
      <c r="C341" s="23"/>
      <c r="D341" s="14"/>
      <c r="E341" s="35" t="s">
        <v>1074</v>
      </c>
      <c r="F341" s="25" t="s">
        <v>328</v>
      </c>
      <c r="G341" s="433">
        <v>72000</v>
      </c>
      <c r="H341" s="548" t="s">
        <v>991</v>
      </c>
      <c r="I341" s="433">
        <v>72000</v>
      </c>
      <c r="J341" s="26">
        <f t="shared" si="269"/>
        <v>0</v>
      </c>
      <c r="K341" s="27">
        <f t="shared" si="270"/>
        <v>2.2673611111094942</v>
      </c>
      <c r="L341" s="27">
        <f>'[72]ZALEHA FITRAT'!$F$126</f>
        <v>1.3333333333127182</v>
      </c>
      <c r="M341" s="434">
        <f t="shared" si="271"/>
        <v>31754.977029119123</v>
      </c>
      <c r="N341" s="567">
        <f t="shared" si="272"/>
        <v>54000.000000834916</v>
      </c>
      <c r="O341" s="434">
        <v>30000</v>
      </c>
      <c r="P341" s="648">
        <v>245532</v>
      </c>
      <c r="Q341" s="648">
        <v>233420</v>
      </c>
      <c r="R341" s="648">
        <f t="shared" si="273"/>
        <v>12112</v>
      </c>
      <c r="S341" s="435">
        <f t="shared" si="274"/>
        <v>0.16822222222222222</v>
      </c>
      <c r="T341" s="435">
        <f t="shared" si="275"/>
        <v>0.16822222222222222</v>
      </c>
      <c r="U341" s="435"/>
      <c r="V341" s="31"/>
      <c r="W341" s="32"/>
      <c r="X341" s="637"/>
      <c r="Y341" s="33"/>
      <c r="Z341" s="638">
        <v>1525602510.7478871</v>
      </c>
      <c r="AA341" s="33"/>
      <c r="AB341" s="438"/>
      <c r="AC341" s="33"/>
    </row>
    <row r="342" spans="1:29" x14ac:dyDescent="0.3">
      <c r="A342" s="689">
        <v>44840.885416666664</v>
      </c>
      <c r="B342" s="689">
        <v>44843.527777777781</v>
      </c>
      <c r="C342" s="23"/>
      <c r="D342" s="23"/>
      <c r="E342" s="35" t="s">
        <v>1075</v>
      </c>
      <c r="F342" s="25" t="s">
        <v>328</v>
      </c>
      <c r="G342" s="433">
        <v>71500</v>
      </c>
      <c r="H342" s="548" t="s">
        <v>1004</v>
      </c>
      <c r="I342" s="433">
        <v>72000</v>
      </c>
      <c r="J342" s="26">
        <f t="shared" si="269"/>
        <v>-500</v>
      </c>
      <c r="K342" s="27">
        <f t="shared" si="270"/>
        <v>2.6423611111167702</v>
      </c>
      <c r="L342" s="27">
        <f>[72]ANASTHASIA!$F$146</f>
        <v>1.30208333334546</v>
      </c>
      <c r="M342" s="434">
        <f t="shared" si="271"/>
        <v>27059.132720047171</v>
      </c>
      <c r="N342" s="567">
        <f t="shared" si="272"/>
        <v>54911.999999488587</v>
      </c>
      <c r="O342" s="434">
        <v>30000</v>
      </c>
      <c r="P342" s="648">
        <v>228669</v>
      </c>
      <c r="Q342" s="648">
        <v>214358</v>
      </c>
      <c r="R342" s="648">
        <f t="shared" si="273"/>
        <v>14311</v>
      </c>
      <c r="S342" s="435">
        <f t="shared" si="274"/>
        <v>0.20015384615384615</v>
      </c>
      <c r="T342" s="435">
        <f t="shared" si="275"/>
        <v>0.20015384615384615</v>
      </c>
      <c r="U342" s="69"/>
      <c r="V342" s="436"/>
      <c r="W342" s="437"/>
      <c r="X342" s="637"/>
      <c r="Y342" s="33"/>
      <c r="Z342" s="638">
        <v>1507943456.0834508</v>
      </c>
      <c r="AA342" s="33"/>
      <c r="AB342" s="438"/>
      <c r="AC342" s="33"/>
    </row>
    <row r="343" spans="1:29" x14ac:dyDescent="0.3">
      <c r="A343" s="689">
        <v>44846.020833333336</v>
      </c>
      <c r="B343" s="689">
        <v>44849.333333333336</v>
      </c>
      <c r="C343" s="23"/>
      <c r="D343" s="23"/>
      <c r="E343" s="35" t="s">
        <v>1076</v>
      </c>
      <c r="F343" s="25" t="s">
        <v>39</v>
      </c>
      <c r="G343" s="433">
        <v>60500</v>
      </c>
      <c r="H343" s="548" t="s">
        <v>1077</v>
      </c>
      <c r="I343" s="433">
        <v>60500</v>
      </c>
      <c r="J343" s="26">
        <f t="shared" si="269"/>
        <v>0</v>
      </c>
      <c r="K343" s="27">
        <f t="shared" si="270"/>
        <v>3.3125</v>
      </c>
      <c r="L343" s="27">
        <f>'[72]ATHENIAN PHOENIX (A)'!$F$113</f>
        <v>1.7135706018489145</v>
      </c>
      <c r="M343" s="434">
        <f t="shared" si="271"/>
        <v>18264.150943396227</v>
      </c>
      <c r="N343" s="567">
        <f t="shared" si="272"/>
        <v>35306.394691132948</v>
      </c>
      <c r="O343" s="434">
        <v>30000</v>
      </c>
      <c r="P343" s="648">
        <v>209041</v>
      </c>
      <c r="Q343" s="648">
        <v>193017</v>
      </c>
      <c r="R343" s="648">
        <f t="shared" si="273"/>
        <v>16024</v>
      </c>
      <c r="S343" s="435">
        <f t="shared" si="274"/>
        <v>0.26485950413223142</v>
      </c>
      <c r="T343" s="435">
        <f t="shared" si="275"/>
        <v>0.26485950413223142</v>
      </c>
      <c r="U343" s="435"/>
      <c r="V343" s="436"/>
      <c r="W343" s="437"/>
      <c r="X343" s="637"/>
      <c r="Y343" s="33"/>
      <c r="Z343" s="638">
        <v>1302247812.7728875</v>
      </c>
      <c r="AA343" s="33"/>
      <c r="AB343" s="438"/>
      <c r="AC343" s="33"/>
    </row>
    <row r="344" spans="1:29" x14ac:dyDescent="0.3">
      <c r="A344" s="689">
        <v>44849.444444444445</v>
      </c>
      <c r="B344" s="689">
        <v>44852.631944444445</v>
      </c>
      <c r="C344" s="23"/>
      <c r="D344" s="14"/>
      <c r="E344" s="35" t="s">
        <v>1078</v>
      </c>
      <c r="F344" s="36" t="s">
        <v>39</v>
      </c>
      <c r="G344" s="433">
        <v>66000</v>
      </c>
      <c r="H344" s="548" t="s">
        <v>1077</v>
      </c>
      <c r="I344" s="433">
        <v>66000</v>
      </c>
      <c r="J344" s="26">
        <f t="shared" si="269"/>
        <v>0</v>
      </c>
      <c r="K344" s="27">
        <f t="shared" si="270"/>
        <v>3.1875</v>
      </c>
      <c r="L344" s="27">
        <f>'[72]ATHENIAN PHOENIX (B)'!$F$133</f>
        <v>1.7708333333430346</v>
      </c>
      <c r="M344" s="434">
        <f t="shared" si="271"/>
        <v>20705.882352941175</v>
      </c>
      <c r="N344" s="567">
        <f t="shared" si="272"/>
        <v>37270.588235089934</v>
      </c>
      <c r="O344" s="434">
        <v>30000</v>
      </c>
      <c r="P344" s="648">
        <v>191190</v>
      </c>
      <c r="Q344" s="648">
        <v>176867</v>
      </c>
      <c r="R344" s="648">
        <f t="shared" si="273"/>
        <v>14323</v>
      </c>
      <c r="S344" s="435">
        <f t="shared" si="274"/>
        <v>0.21701515151515152</v>
      </c>
      <c r="T344" s="435">
        <f t="shared" si="275"/>
        <v>0.21701515151515152</v>
      </c>
      <c r="U344" s="435"/>
      <c r="V344" s="31"/>
      <c r="W344" s="32"/>
      <c r="X344" s="639"/>
      <c r="Y344" s="33"/>
      <c r="Z344" s="638">
        <v>1433256655.3521125</v>
      </c>
      <c r="AA344" s="33"/>
      <c r="AB344" s="438"/>
      <c r="AC344" s="33"/>
    </row>
    <row r="345" spans="1:29" x14ac:dyDescent="0.3">
      <c r="A345" s="689">
        <v>44852.875</v>
      </c>
      <c r="B345" s="689">
        <v>44855.993055555555</v>
      </c>
      <c r="C345" s="23"/>
      <c r="D345" s="14"/>
      <c r="E345" s="35" t="s">
        <v>1079</v>
      </c>
      <c r="F345" s="36" t="s">
        <v>333</v>
      </c>
      <c r="G345" s="433">
        <v>86591</v>
      </c>
      <c r="H345" s="548" t="s">
        <v>1080</v>
      </c>
      <c r="I345" s="433">
        <v>88000</v>
      </c>
      <c r="J345" s="26">
        <f t="shared" si="269"/>
        <v>-1409</v>
      </c>
      <c r="K345" s="27">
        <f t="shared" si="270"/>
        <v>3.1180555555547471</v>
      </c>
      <c r="L345" s="27">
        <f>[72]RISCEA!$F$158</f>
        <v>1.8593749999660456</v>
      </c>
      <c r="M345" s="434">
        <f t="shared" si="271"/>
        <v>27770.832962145287</v>
      </c>
      <c r="N345" s="567">
        <f t="shared" si="272"/>
        <v>46569.949580682354</v>
      </c>
      <c r="O345" s="434">
        <v>30000</v>
      </c>
      <c r="P345" s="648">
        <v>175597</v>
      </c>
      <c r="Q345" s="648">
        <v>158051</v>
      </c>
      <c r="R345" s="648">
        <f t="shared" si="273"/>
        <v>17546</v>
      </c>
      <c r="S345" s="435">
        <f t="shared" si="274"/>
        <v>0.20263075839290456</v>
      </c>
      <c r="T345" s="435">
        <f t="shared" si="275"/>
        <v>0.20263075839290456</v>
      </c>
      <c r="U345" s="435"/>
      <c r="V345" s="31"/>
      <c r="W345" s="32"/>
      <c r="X345" s="637"/>
      <c r="Y345" s="33"/>
      <c r="Z345" s="638">
        <v>1898739385.671042</v>
      </c>
      <c r="AA345" s="33"/>
      <c r="AB345" s="438"/>
      <c r="AC345" s="33"/>
    </row>
    <row r="346" spans="1:29" x14ac:dyDescent="0.3">
      <c r="A346" s="689">
        <v>44856.395833333336</v>
      </c>
      <c r="B346" s="689">
        <v>44857.534722222219</v>
      </c>
      <c r="C346" s="23"/>
      <c r="D346" s="14"/>
      <c r="E346" s="35" t="s">
        <v>1081</v>
      </c>
      <c r="F346" s="36" t="s">
        <v>328</v>
      </c>
      <c r="G346" s="433">
        <v>45074</v>
      </c>
      <c r="H346" s="548" t="s">
        <v>1004</v>
      </c>
      <c r="I346" s="433">
        <v>78950</v>
      </c>
      <c r="J346" s="26">
        <f t="shared" si="269"/>
        <v>-33876</v>
      </c>
      <c r="K346" s="27">
        <f t="shared" si="270"/>
        <v>1.1388888888832298</v>
      </c>
      <c r="L346" s="27">
        <f>'[72]MAGIC VENUS'!$F$78</f>
        <v>0.84548611109130434</v>
      </c>
      <c r="M346" s="434">
        <f t="shared" si="271"/>
        <v>39577.170731903971</v>
      </c>
      <c r="N346" s="567">
        <f t="shared" si="272"/>
        <v>53311.342917059985</v>
      </c>
      <c r="O346" s="434">
        <v>30000</v>
      </c>
      <c r="P346" s="648">
        <v>155943</v>
      </c>
      <c r="Q346" s="648">
        <v>150138</v>
      </c>
      <c r="R346" s="648">
        <f t="shared" si="273"/>
        <v>5805</v>
      </c>
      <c r="S346" s="435">
        <f t="shared" si="274"/>
        <v>0.12878821493543949</v>
      </c>
      <c r="T346" s="435">
        <f t="shared" si="275"/>
        <v>0.12878821493543949</v>
      </c>
      <c r="U346" s="435"/>
      <c r="V346" s="31"/>
      <c r="W346" s="32"/>
      <c r="X346" s="637"/>
      <c r="Y346" s="33"/>
      <c r="Z346" s="638">
        <v>991368039.67278147</v>
      </c>
      <c r="AA346" s="33"/>
      <c r="AB346" s="438"/>
      <c r="AC346" s="33"/>
    </row>
    <row r="347" spans="1:29" x14ac:dyDescent="0.3">
      <c r="A347" s="689">
        <v>44857.8125</v>
      </c>
      <c r="B347" s="689">
        <v>44859.958333333336</v>
      </c>
      <c r="C347" s="23"/>
      <c r="D347" s="23"/>
      <c r="E347" s="35" t="s">
        <v>1082</v>
      </c>
      <c r="F347" s="25" t="s">
        <v>328</v>
      </c>
      <c r="G347" s="433">
        <v>71141</v>
      </c>
      <c r="H347" s="548" t="s">
        <v>1041</v>
      </c>
      <c r="I347" s="433">
        <v>71441</v>
      </c>
      <c r="J347" s="26">
        <f t="shared" si="269"/>
        <v>-300</v>
      </c>
      <c r="K347" s="27">
        <f t="shared" si="270"/>
        <v>2.1458333333357587</v>
      </c>
      <c r="L347" s="27">
        <f>'[72]GENCO LIBERTY'!$F$124</f>
        <v>1.3628472222117125</v>
      </c>
      <c r="M347" s="434">
        <f t="shared" si="271"/>
        <v>33153.087378603304</v>
      </c>
      <c r="N347" s="567">
        <f t="shared" si="272"/>
        <v>52200.275159638215</v>
      </c>
      <c r="O347" s="434">
        <v>30000</v>
      </c>
      <c r="P347" s="648">
        <v>149179</v>
      </c>
      <c r="Q347" s="648">
        <v>136670</v>
      </c>
      <c r="R347" s="648">
        <f t="shared" si="273"/>
        <v>12509</v>
      </c>
      <c r="S347" s="435">
        <f t="shared" si="274"/>
        <v>0.17583390731083343</v>
      </c>
      <c r="T347" s="435">
        <f t="shared" si="275"/>
        <v>0.17583390731083343</v>
      </c>
      <c r="U347" s="69"/>
      <c r="V347" s="436"/>
      <c r="W347" s="437"/>
      <c r="X347" s="637"/>
      <c r="Y347" s="33"/>
      <c r="Z347" s="638">
        <v>1561635843.8998413</v>
      </c>
      <c r="AA347" s="33"/>
      <c r="AB347" s="438"/>
      <c r="AC347" s="33"/>
    </row>
    <row r="348" spans="1:29" x14ac:dyDescent="0.3">
      <c r="A348" s="689">
        <v>44863.104166666664</v>
      </c>
      <c r="B348" s="689">
        <v>44865.763888888891</v>
      </c>
      <c r="C348" s="23"/>
      <c r="D348" s="23"/>
      <c r="E348" s="35" t="s">
        <v>1083</v>
      </c>
      <c r="F348" s="25" t="s">
        <v>333</v>
      </c>
      <c r="G348" s="433">
        <v>88000</v>
      </c>
      <c r="H348" s="548" t="s">
        <v>991</v>
      </c>
      <c r="I348" s="433">
        <v>88000</v>
      </c>
      <c r="J348" s="26">
        <f t="shared" si="269"/>
        <v>0</v>
      </c>
      <c r="K348" s="27">
        <f t="shared" si="270"/>
        <v>2.6597222222262644</v>
      </c>
      <c r="L348" s="27">
        <f>'[72]ANGLO CYNOSURE'!$F$138</f>
        <v>1.9305555555717244</v>
      </c>
      <c r="M348" s="434">
        <f t="shared" si="271"/>
        <v>33086.161879845276</v>
      </c>
      <c r="N348" s="567">
        <f t="shared" si="272"/>
        <v>45582.733812567873</v>
      </c>
      <c r="O348" s="434">
        <v>30000</v>
      </c>
      <c r="P348" s="648">
        <v>131171</v>
      </c>
      <c r="Q348" s="648">
        <v>116316</v>
      </c>
      <c r="R348" s="648">
        <f t="shared" si="273"/>
        <v>14855</v>
      </c>
      <c r="S348" s="435">
        <f t="shared" si="274"/>
        <v>0.16880681818181817</v>
      </c>
      <c r="T348" s="435">
        <f t="shared" si="275"/>
        <v>0.16880681818181817</v>
      </c>
      <c r="U348" s="435"/>
      <c r="V348" s="436"/>
      <c r="W348" s="437"/>
      <c r="X348" s="637"/>
      <c r="Y348" s="33"/>
      <c r="Z348" s="638">
        <v>1922660125.3014081</v>
      </c>
      <c r="AA348" s="33"/>
      <c r="AB348" s="438"/>
      <c r="AC348" s="33"/>
    </row>
    <row r="349" spans="1:29" x14ac:dyDescent="0.3">
      <c r="A349" s="689">
        <v>44866.541666666664</v>
      </c>
      <c r="B349" s="689">
        <v>44868.236111111109</v>
      </c>
      <c r="C349" s="23"/>
      <c r="D349" s="14"/>
      <c r="E349" s="35" t="s">
        <v>754</v>
      </c>
      <c r="F349" s="25" t="s">
        <v>328</v>
      </c>
      <c r="G349" s="433">
        <v>60500</v>
      </c>
      <c r="H349" s="548" t="s">
        <v>991</v>
      </c>
      <c r="I349" s="433">
        <v>60500</v>
      </c>
      <c r="J349" s="26">
        <f t="shared" ref="J349:J356" si="276">G349-I349</f>
        <v>0</v>
      </c>
      <c r="K349" s="27">
        <f t="shared" ref="K349:K356" si="277">B349-A349</f>
        <v>1.6944444444452529</v>
      </c>
      <c r="L349" s="27">
        <f>'[73]ORIENTAL GLORY'!$F$104</f>
        <v>1.2256944444476783</v>
      </c>
      <c r="M349" s="434">
        <f t="shared" ref="M349:M356" si="278">(G349)/K349</f>
        <v>35704.918032769849</v>
      </c>
      <c r="N349" s="567">
        <f t="shared" ref="N349:N356" si="279">(G349)/L349</f>
        <v>49359.773370974588</v>
      </c>
      <c r="O349" s="434">
        <v>30000</v>
      </c>
      <c r="P349" s="648">
        <v>114050</v>
      </c>
      <c r="Q349" s="648">
        <v>105570</v>
      </c>
      <c r="R349" s="648">
        <f t="shared" ref="R349:R356" si="280">P349-Q349</f>
        <v>8480</v>
      </c>
      <c r="S349" s="435">
        <f t="shared" ref="S349:S356" si="281">R349/(G349)</f>
        <v>0.14016528925619834</v>
      </c>
      <c r="T349" s="435">
        <f t="shared" ref="T349:T356" si="282">R349/(G349)</f>
        <v>0.14016528925619834</v>
      </c>
      <c r="U349" s="435"/>
      <c r="V349" s="436"/>
      <c r="W349" s="437"/>
      <c r="X349" s="639"/>
      <c r="Y349" s="33"/>
      <c r="Z349" s="638"/>
      <c r="AA349" s="33"/>
      <c r="AB349" s="438"/>
      <c r="AC349" s="33"/>
    </row>
    <row r="350" spans="1:29" x14ac:dyDescent="0.3">
      <c r="A350" s="689">
        <v>44874.888888888891</v>
      </c>
      <c r="B350" s="689">
        <v>44876.305555555555</v>
      </c>
      <c r="C350" s="23"/>
      <c r="D350" s="14"/>
      <c r="E350" s="35" t="s">
        <v>1084</v>
      </c>
      <c r="F350" s="25" t="s">
        <v>328</v>
      </c>
      <c r="G350" s="433">
        <v>56969</v>
      </c>
      <c r="H350" s="548" t="s">
        <v>992</v>
      </c>
      <c r="I350" s="433">
        <v>88250</v>
      </c>
      <c r="J350" s="26">
        <f t="shared" si="276"/>
        <v>-31281</v>
      </c>
      <c r="K350" s="27">
        <f t="shared" si="277"/>
        <v>1.4166666666642413</v>
      </c>
      <c r="L350" s="27">
        <f>'[73]MIYAGAWA MARU'!$F$87</f>
        <v>1.0503472222117125</v>
      </c>
      <c r="M350" s="434">
        <f t="shared" si="278"/>
        <v>40213.411764774726</v>
      </c>
      <c r="N350" s="567">
        <f t="shared" si="279"/>
        <v>54238.254545997253</v>
      </c>
      <c r="O350" s="434">
        <v>30000</v>
      </c>
      <c r="P350" s="648">
        <v>91052</v>
      </c>
      <c r="Q350" s="648">
        <v>82156</v>
      </c>
      <c r="R350" s="648">
        <f t="shared" si="280"/>
        <v>8896</v>
      </c>
      <c r="S350" s="435">
        <f t="shared" si="281"/>
        <v>0.15615510189752321</v>
      </c>
      <c r="T350" s="435">
        <f t="shared" si="282"/>
        <v>0.15615510189752321</v>
      </c>
      <c r="U350" s="435"/>
      <c r="V350" s="436"/>
      <c r="W350" s="437"/>
      <c r="X350" s="637"/>
      <c r="Y350" s="33"/>
      <c r="Z350" s="638"/>
      <c r="AA350" s="33"/>
      <c r="AB350" s="438"/>
      <c r="AC350" s="33"/>
    </row>
    <row r="351" spans="1:29" x14ac:dyDescent="0.3">
      <c r="A351" s="689">
        <v>44876.618055555555</v>
      </c>
      <c r="B351" s="689">
        <v>44878.770833333336</v>
      </c>
      <c r="C351" s="23"/>
      <c r="D351" s="14"/>
      <c r="E351" s="35" t="s">
        <v>1085</v>
      </c>
      <c r="F351" s="25" t="s">
        <v>328</v>
      </c>
      <c r="G351" s="433">
        <v>69800</v>
      </c>
      <c r="H351" s="548" t="s">
        <v>1004</v>
      </c>
      <c r="I351" s="433">
        <v>69800</v>
      </c>
      <c r="J351" s="26">
        <f t="shared" si="276"/>
        <v>0</v>
      </c>
      <c r="K351" s="27">
        <f t="shared" si="277"/>
        <v>2.1527777777810115</v>
      </c>
      <c r="L351" s="27">
        <f>'[73]HERUN CHINA'!$F$119</f>
        <v>1.3611111111094942</v>
      </c>
      <c r="M351" s="434">
        <f t="shared" si="278"/>
        <v>32423.225806402908</v>
      </c>
      <c r="N351" s="567">
        <f t="shared" si="279"/>
        <v>51281.632653122142</v>
      </c>
      <c r="O351" s="434">
        <v>30000</v>
      </c>
      <c r="P351" s="648">
        <v>81044</v>
      </c>
      <c r="Q351" s="648">
        <v>68875</v>
      </c>
      <c r="R351" s="648">
        <f t="shared" si="280"/>
        <v>12169</v>
      </c>
      <c r="S351" s="435">
        <f t="shared" si="281"/>
        <v>0.17434097421203437</v>
      </c>
      <c r="T351" s="435">
        <f t="shared" si="282"/>
        <v>0.17434097421203437</v>
      </c>
      <c r="U351" s="435"/>
      <c r="V351" s="436"/>
      <c r="W351" s="437"/>
      <c r="X351" s="637"/>
      <c r="Y351" s="33"/>
      <c r="Z351" s="638"/>
      <c r="AA351" s="33"/>
      <c r="AB351" s="438"/>
      <c r="AC351" s="33"/>
    </row>
    <row r="352" spans="1:29" x14ac:dyDescent="0.3">
      <c r="A352" s="689">
        <v>44882.819444444445</v>
      </c>
      <c r="B352" s="689">
        <v>44884.770833333336</v>
      </c>
      <c r="C352" s="23"/>
      <c r="D352" s="14"/>
      <c r="E352" s="35" t="s">
        <v>1086</v>
      </c>
      <c r="F352" s="25" t="s">
        <v>328</v>
      </c>
      <c r="G352" s="433">
        <v>59700</v>
      </c>
      <c r="H352" s="548" t="s">
        <v>992</v>
      </c>
      <c r="I352" s="433">
        <v>60500</v>
      </c>
      <c r="J352" s="26">
        <f t="shared" si="276"/>
        <v>-800</v>
      </c>
      <c r="K352" s="27">
        <f t="shared" si="277"/>
        <v>1.9513888888905058</v>
      </c>
      <c r="L352" s="27">
        <f>'[73]SPRING PROGRESS'!$F$108</f>
        <v>1.0659722222177759</v>
      </c>
      <c r="M352" s="434">
        <f t="shared" si="278"/>
        <v>30593.594306024472</v>
      </c>
      <c r="N352" s="567">
        <f t="shared" si="279"/>
        <v>56005.21172661797</v>
      </c>
      <c r="O352" s="434">
        <v>30000</v>
      </c>
      <c r="P352" s="648">
        <v>261242</v>
      </c>
      <c r="Q352" s="648">
        <v>249682</v>
      </c>
      <c r="R352" s="648">
        <f t="shared" si="280"/>
        <v>11560</v>
      </c>
      <c r="S352" s="435">
        <f t="shared" si="281"/>
        <v>0.19363484087102178</v>
      </c>
      <c r="T352" s="435">
        <f t="shared" si="282"/>
        <v>0.19363484087102178</v>
      </c>
      <c r="U352" s="435"/>
      <c r="V352" s="436"/>
      <c r="W352" s="437"/>
      <c r="X352" s="637"/>
      <c r="Y352" s="33"/>
      <c r="Z352" s="638"/>
      <c r="AA352" s="33"/>
      <c r="AB352" s="438"/>
      <c r="AC352" s="33"/>
    </row>
    <row r="353" spans="1:29" x14ac:dyDescent="0.3">
      <c r="A353" s="689">
        <v>44885.097222222219</v>
      </c>
      <c r="B353" s="689">
        <v>44885.958333333336</v>
      </c>
      <c r="C353" s="23"/>
      <c r="D353" s="14"/>
      <c r="E353" s="35" t="s">
        <v>1087</v>
      </c>
      <c r="F353" s="25" t="s">
        <v>91</v>
      </c>
      <c r="G353" s="433">
        <v>18100</v>
      </c>
      <c r="H353" s="548" t="s">
        <v>1004</v>
      </c>
      <c r="I353" s="433">
        <v>18100</v>
      </c>
      <c r="J353" s="26">
        <f t="shared" si="276"/>
        <v>0</v>
      </c>
      <c r="K353" s="27">
        <f t="shared" si="277"/>
        <v>0.86111111111677019</v>
      </c>
      <c r="L353" s="27">
        <f>'[73]BERGE ISHIZUCHI (A)'!$F$43</f>
        <v>0.68055555556566105</v>
      </c>
      <c r="M353" s="434">
        <f t="shared" si="278"/>
        <v>21019.35483857154</v>
      </c>
      <c r="N353" s="567">
        <f t="shared" si="279"/>
        <v>26595.918366952017</v>
      </c>
      <c r="O353" s="434">
        <v>30000</v>
      </c>
      <c r="P353" s="648">
        <v>248050</v>
      </c>
      <c r="Q353" s="648">
        <v>243865</v>
      </c>
      <c r="R353" s="648">
        <f t="shared" si="280"/>
        <v>4185</v>
      </c>
      <c r="S353" s="435">
        <f t="shared" si="281"/>
        <v>0.23121546961325967</v>
      </c>
      <c r="T353" s="435">
        <f t="shared" si="282"/>
        <v>0.23121546961325967</v>
      </c>
      <c r="U353" s="435"/>
      <c r="V353" s="436"/>
      <c r="W353" s="437"/>
      <c r="X353" s="637"/>
      <c r="Y353" s="33"/>
      <c r="Z353" s="638"/>
      <c r="AA353" s="33"/>
      <c r="AB353" s="438"/>
      <c r="AC353" s="33"/>
    </row>
    <row r="354" spans="1:29" x14ac:dyDescent="0.3">
      <c r="A354" s="689">
        <v>44886.055555555555</v>
      </c>
      <c r="B354" s="689">
        <v>44887.229166666664</v>
      </c>
      <c r="C354" s="23"/>
      <c r="D354" s="14"/>
      <c r="E354" s="35" t="s">
        <v>1088</v>
      </c>
      <c r="F354" s="25" t="s">
        <v>91</v>
      </c>
      <c r="G354" s="433">
        <v>36200</v>
      </c>
      <c r="H354" s="548" t="s">
        <v>1004</v>
      </c>
      <c r="I354" s="433">
        <v>36200</v>
      </c>
      <c r="J354" s="26">
        <f t="shared" si="276"/>
        <v>0</v>
      </c>
      <c r="K354" s="27">
        <f t="shared" si="277"/>
        <v>1.1736111111094942</v>
      </c>
      <c r="L354" s="27">
        <f>'[73]BERGE ISHIZUCHI (B)'!$F$64</f>
        <v>0.63541666667515528</v>
      </c>
      <c r="M354" s="434">
        <f t="shared" si="278"/>
        <v>30844.970414243679</v>
      </c>
      <c r="N354" s="567">
        <f t="shared" si="279"/>
        <v>56970.491802517608</v>
      </c>
      <c r="O354" s="434">
        <v>30000</v>
      </c>
      <c r="P354" s="648">
        <v>243865</v>
      </c>
      <c r="Q354" s="648">
        <v>236868</v>
      </c>
      <c r="R354" s="648">
        <f t="shared" si="280"/>
        <v>6997</v>
      </c>
      <c r="S354" s="435">
        <f t="shared" si="281"/>
        <v>0.19328729281767956</v>
      </c>
      <c r="T354" s="435">
        <f t="shared" si="282"/>
        <v>0.19328729281767956</v>
      </c>
      <c r="U354" s="435"/>
      <c r="V354" s="436"/>
      <c r="W354" s="437"/>
      <c r="X354" s="637"/>
      <c r="Y354" s="33"/>
      <c r="Z354" s="638"/>
      <c r="AA354" s="33"/>
      <c r="AB354" s="438"/>
      <c r="AC354" s="33"/>
    </row>
    <row r="355" spans="1:29" x14ac:dyDescent="0.3">
      <c r="A355" s="689">
        <v>44887.340277777781</v>
      </c>
      <c r="B355" s="689">
        <v>44889.395833333336</v>
      </c>
      <c r="C355" s="23"/>
      <c r="D355" s="14"/>
      <c r="E355" s="35" t="s">
        <v>1089</v>
      </c>
      <c r="F355" s="25" t="s">
        <v>91</v>
      </c>
      <c r="G355" s="433">
        <v>51500</v>
      </c>
      <c r="H355" s="548" t="s">
        <v>1004</v>
      </c>
      <c r="I355" s="433">
        <v>51500</v>
      </c>
      <c r="J355" s="26">
        <f t="shared" si="276"/>
        <v>0</v>
      </c>
      <c r="K355" s="27">
        <f t="shared" si="277"/>
        <v>2.0555555555547471</v>
      </c>
      <c r="L355" s="27">
        <f>'[73]BERGE ISHIZUCHI (C)'!$F$87</f>
        <v>1.3888888889232476</v>
      </c>
      <c r="M355" s="434">
        <f t="shared" si="278"/>
        <v>25054.054054063909</v>
      </c>
      <c r="N355" s="567">
        <f t="shared" si="279"/>
        <v>37079.999999082705</v>
      </c>
      <c r="O355" s="434">
        <v>30000</v>
      </c>
      <c r="P355" s="648">
        <v>236868</v>
      </c>
      <c r="Q355" s="648">
        <v>224638</v>
      </c>
      <c r="R355" s="648">
        <f t="shared" si="280"/>
        <v>12230</v>
      </c>
      <c r="S355" s="435">
        <f t="shared" si="281"/>
        <v>0.23747572815533979</v>
      </c>
      <c r="T355" s="435">
        <f t="shared" si="282"/>
        <v>0.23747572815533979</v>
      </c>
      <c r="U355" s="435"/>
      <c r="V355" s="436"/>
      <c r="W355" s="437"/>
      <c r="X355" s="637"/>
      <c r="Y355" s="33"/>
      <c r="Z355" s="638"/>
      <c r="AA355" s="33"/>
      <c r="AB355" s="438"/>
      <c r="AC355" s="33"/>
    </row>
    <row r="356" spans="1:29" x14ac:dyDescent="0.3">
      <c r="A356" s="689">
        <v>44889.555555555555</v>
      </c>
      <c r="B356" s="689">
        <v>44891.5625</v>
      </c>
      <c r="C356" s="23"/>
      <c r="D356" s="14"/>
      <c r="E356" s="35" t="s">
        <v>1090</v>
      </c>
      <c r="F356" s="25" t="s">
        <v>91</v>
      </c>
      <c r="G356" s="433">
        <v>55800</v>
      </c>
      <c r="H356" s="548" t="s">
        <v>1004</v>
      </c>
      <c r="I356" s="433">
        <v>55800</v>
      </c>
      <c r="J356" s="26">
        <f t="shared" si="276"/>
        <v>0</v>
      </c>
      <c r="K356" s="27">
        <f t="shared" si="277"/>
        <v>2.0069444444452529</v>
      </c>
      <c r="L356" s="27">
        <f>'[73]BERGE ISHIZUCHI (D)'!$F$111</f>
        <v>1.2951388888723159</v>
      </c>
      <c r="M356" s="434">
        <f t="shared" si="278"/>
        <v>27803.460207601256</v>
      </c>
      <c r="N356" s="567">
        <f t="shared" si="279"/>
        <v>43084.182306181348</v>
      </c>
      <c r="O356" s="434">
        <v>30000</v>
      </c>
      <c r="P356" s="648">
        <v>222452</v>
      </c>
      <c r="Q356" s="648">
        <v>213532</v>
      </c>
      <c r="R356" s="648">
        <f t="shared" si="280"/>
        <v>8920</v>
      </c>
      <c r="S356" s="435">
        <f t="shared" si="281"/>
        <v>0.15985663082437276</v>
      </c>
      <c r="T356" s="435">
        <f t="shared" si="282"/>
        <v>0.15985663082437276</v>
      </c>
      <c r="U356" s="435"/>
      <c r="V356" s="436"/>
      <c r="W356" s="437"/>
      <c r="X356" s="637"/>
      <c r="Y356" s="33"/>
      <c r="Z356" s="638"/>
      <c r="AA356" s="33"/>
      <c r="AB356" s="438"/>
      <c r="AC356" s="33"/>
    </row>
    <row r="357" spans="1:29" x14ac:dyDescent="0.3">
      <c r="A357" s="689">
        <v>44899.642361111109</v>
      </c>
      <c r="B357" s="689">
        <v>44902.006944444445</v>
      </c>
      <c r="C357" s="23"/>
      <c r="D357" s="14"/>
      <c r="E357" s="35" t="s">
        <v>294</v>
      </c>
      <c r="F357" s="25" t="s">
        <v>328</v>
      </c>
      <c r="G357" s="433">
        <v>68000</v>
      </c>
      <c r="H357" s="548" t="s">
        <v>991</v>
      </c>
      <c r="I357" s="548">
        <v>68000</v>
      </c>
      <c r="J357" s="26">
        <f t="shared" ref="J357:J365" si="283">G357-I357</f>
        <v>0</v>
      </c>
      <c r="K357" s="27">
        <f t="shared" ref="K357:K365" si="284">B357-A357</f>
        <v>2.3645833333357587</v>
      </c>
      <c r="L357" s="27">
        <f>'[74]KARTINI BARUNA'!$F$115</f>
        <v>1.2743055555498966</v>
      </c>
      <c r="M357" s="434">
        <f t="shared" ref="M357:M365" si="285">(G357)/K357</f>
        <v>28757.709251071825</v>
      </c>
      <c r="N357" s="567">
        <f t="shared" ref="N357:N365" si="286">(G357)/L357</f>
        <v>53362.39782040046</v>
      </c>
      <c r="O357" s="434">
        <v>30000</v>
      </c>
      <c r="P357" s="648">
        <v>199836</v>
      </c>
      <c r="Q357" s="648">
        <v>187008</v>
      </c>
      <c r="R357" s="648">
        <f t="shared" ref="R357:R365" si="287">P357-Q357</f>
        <v>12828</v>
      </c>
      <c r="S357" s="435">
        <f t="shared" ref="S357:S365" si="288">R357/(G357)</f>
        <v>0.18864705882352942</v>
      </c>
      <c r="T357" s="435">
        <f t="shared" ref="T357:T365" si="289">R357/(G357)</f>
        <v>0.18864705882352942</v>
      </c>
      <c r="U357" s="435"/>
      <c r="V357" s="436"/>
      <c r="W357" s="437"/>
      <c r="X357" s="637"/>
      <c r="Y357" s="33"/>
      <c r="Z357" s="638"/>
      <c r="AA357" s="33"/>
      <c r="AB357" s="438"/>
      <c r="AC357" s="33"/>
    </row>
    <row r="358" spans="1:29" x14ac:dyDescent="0.3">
      <c r="A358" s="689">
        <v>44902.534722222219</v>
      </c>
      <c r="B358" s="689">
        <v>44906.833333333336</v>
      </c>
      <c r="C358" s="483"/>
      <c r="D358" s="483"/>
      <c r="E358" s="35" t="s">
        <v>1091</v>
      </c>
      <c r="F358" s="25" t="s">
        <v>328</v>
      </c>
      <c r="G358" s="433">
        <v>77000</v>
      </c>
      <c r="H358" s="548" t="s">
        <v>1041</v>
      </c>
      <c r="I358" s="433">
        <v>77000</v>
      </c>
      <c r="J358" s="26">
        <f t="shared" si="283"/>
        <v>0</v>
      </c>
      <c r="K358" s="27">
        <f t="shared" si="284"/>
        <v>4.2986111111167702</v>
      </c>
      <c r="L358" s="27">
        <f>'[74]ORIENT VESTA'!$F$137</f>
        <v>1.4618055555317067</v>
      </c>
      <c r="M358" s="434">
        <f t="shared" si="285"/>
        <v>17912.762520170279</v>
      </c>
      <c r="N358" s="567">
        <f t="shared" si="286"/>
        <v>52674.584323899748</v>
      </c>
      <c r="O358" s="434">
        <v>30000</v>
      </c>
      <c r="P358" s="648">
        <v>184668</v>
      </c>
      <c r="Q358" s="648">
        <v>167842</v>
      </c>
      <c r="R358" s="648">
        <f t="shared" si="287"/>
        <v>16826</v>
      </c>
      <c r="S358" s="435">
        <f t="shared" si="288"/>
        <v>0.21851948051948053</v>
      </c>
      <c r="T358" s="435">
        <f t="shared" si="289"/>
        <v>0.21851948051948053</v>
      </c>
      <c r="U358" s="435"/>
      <c r="V358" s="436"/>
      <c r="W358" s="437"/>
      <c r="X358" s="639"/>
      <c r="Y358" s="33"/>
      <c r="Z358" s="638"/>
      <c r="AA358" s="33"/>
      <c r="AB358" s="438"/>
      <c r="AC358" s="33"/>
    </row>
    <row r="359" spans="1:29" x14ac:dyDescent="0.3">
      <c r="A359" s="689">
        <v>44907.298611111109</v>
      </c>
      <c r="B359" s="689">
        <v>44909.986111111109</v>
      </c>
      <c r="C359" s="23"/>
      <c r="D359" s="14"/>
      <c r="E359" s="35" t="s">
        <v>1092</v>
      </c>
      <c r="F359" s="25" t="s">
        <v>328</v>
      </c>
      <c r="G359" s="433">
        <v>82350</v>
      </c>
      <c r="H359" s="548" t="s">
        <v>1004</v>
      </c>
      <c r="I359" s="433">
        <v>82350</v>
      </c>
      <c r="J359" s="26">
        <f t="shared" si="283"/>
        <v>0</v>
      </c>
      <c r="K359" s="27">
        <f t="shared" si="284"/>
        <v>2.6875</v>
      </c>
      <c r="L359" s="27">
        <f>'[74]SDTR ALICE'!$F$149</f>
        <v>1.7743055555608105</v>
      </c>
      <c r="M359" s="434">
        <f t="shared" si="285"/>
        <v>30641.860465116279</v>
      </c>
      <c r="N359" s="567">
        <f t="shared" si="286"/>
        <v>46412.524461702073</v>
      </c>
      <c r="O359" s="434">
        <v>30000</v>
      </c>
      <c r="P359" s="648">
        <v>184668</v>
      </c>
      <c r="Q359" s="648">
        <v>167842</v>
      </c>
      <c r="R359" s="648">
        <f t="shared" si="287"/>
        <v>16826</v>
      </c>
      <c r="S359" s="435">
        <f t="shared" si="288"/>
        <v>0.20432301153612628</v>
      </c>
      <c r="T359" s="435">
        <f t="shared" si="289"/>
        <v>0.20432301153612628</v>
      </c>
      <c r="U359" s="435"/>
      <c r="V359" s="436"/>
      <c r="W359" s="437"/>
      <c r="X359" s="639"/>
      <c r="Y359" s="33"/>
      <c r="Z359" s="638"/>
      <c r="AA359" s="33"/>
      <c r="AB359" s="438"/>
      <c r="AC359" s="33"/>
    </row>
    <row r="360" spans="1:29" x14ac:dyDescent="0.3">
      <c r="A360" s="689">
        <v>44910.256944444445</v>
      </c>
      <c r="B360" s="689">
        <v>44913.104166666664</v>
      </c>
      <c r="C360" s="23"/>
      <c r="D360" s="14"/>
      <c r="E360" s="35" t="s">
        <v>490</v>
      </c>
      <c r="F360" s="25" t="s">
        <v>328</v>
      </c>
      <c r="G360" s="433">
        <v>77000</v>
      </c>
      <c r="H360" s="548" t="s">
        <v>992</v>
      </c>
      <c r="I360" s="433">
        <v>77000</v>
      </c>
      <c r="J360" s="26">
        <f t="shared" si="283"/>
        <v>0</v>
      </c>
      <c r="K360" s="27">
        <f t="shared" si="284"/>
        <v>2.8472222222189885</v>
      </c>
      <c r="L360" s="27">
        <f>'[74]JR SUMMER'!$F$127</f>
        <v>1.5381944444416149</v>
      </c>
      <c r="M360" s="434">
        <f t="shared" si="285"/>
        <v>27043.902439055106</v>
      </c>
      <c r="N360" s="567">
        <f t="shared" si="286"/>
        <v>50058.690745013075</v>
      </c>
      <c r="O360" s="434">
        <v>30000</v>
      </c>
      <c r="P360" s="648">
        <v>148979</v>
      </c>
      <c r="Q360" s="648">
        <v>135024</v>
      </c>
      <c r="R360" s="648">
        <f t="shared" si="287"/>
        <v>13955</v>
      </c>
      <c r="S360" s="435">
        <f t="shared" si="288"/>
        <v>0.18123376623376625</v>
      </c>
      <c r="T360" s="435">
        <f t="shared" si="289"/>
        <v>0.18123376623376625</v>
      </c>
      <c r="U360" s="435"/>
      <c r="V360" s="436"/>
      <c r="W360" s="437"/>
      <c r="X360" s="637"/>
      <c r="Y360" s="33"/>
      <c r="Z360" s="638"/>
      <c r="AA360" s="33"/>
      <c r="AB360" s="438"/>
      <c r="AC360" s="33"/>
    </row>
    <row r="361" spans="1:29" x14ac:dyDescent="0.3">
      <c r="A361" s="689">
        <v>44913.635416666664</v>
      </c>
      <c r="B361" s="689">
        <v>44914.333333333336</v>
      </c>
      <c r="C361" s="23"/>
      <c r="D361" s="14"/>
      <c r="E361" s="35" t="s">
        <v>1093</v>
      </c>
      <c r="F361" s="25" t="s">
        <v>328</v>
      </c>
      <c r="G361" s="433">
        <v>19117</v>
      </c>
      <c r="H361" s="548" t="s">
        <v>992</v>
      </c>
      <c r="I361" s="433">
        <v>19117</v>
      </c>
      <c r="J361" s="26">
        <f t="shared" si="283"/>
        <v>0</v>
      </c>
      <c r="K361" s="27">
        <f t="shared" si="284"/>
        <v>0.69791666667151731</v>
      </c>
      <c r="L361" s="27">
        <f>'[74]NEFELI C'!$F$50</f>
        <v>0.52430555557293701</v>
      </c>
      <c r="M361" s="434">
        <f t="shared" si="285"/>
        <v>27391.522387869325</v>
      </c>
      <c r="N361" s="567">
        <f t="shared" si="286"/>
        <v>36461.562912698537</v>
      </c>
      <c r="O361" s="434">
        <v>30000</v>
      </c>
      <c r="P361" s="648">
        <v>133932</v>
      </c>
      <c r="Q361" s="648">
        <v>130306</v>
      </c>
      <c r="R361" s="648">
        <f t="shared" si="287"/>
        <v>3626</v>
      </c>
      <c r="S361" s="435">
        <f t="shared" si="288"/>
        <v>0.18967411204686929</v>
      </c>
      <c r="T361" s="435">
        <f t="shared" si="289"/>
        <v>0.18967411204686929</v>
      </c>
      <c r="U361" s="435"/>
      <c r="V361" s="436"/>
      <c r="W361" s="437"/>
      <c r="X361" s="637"/>
      <c r="Y361" s="33"/>
      <c r="Z361" s="638"/>
      <c r="AA361" s="33"/>
      <c r="AB361" s="438"/>
      <c r="AC361" s="33"/>
    </row>
    <row r="362" spans="1:29" x14ac:dyDescent="0.3">
      <c r="A362" s="689">
        <v>44914.770833333336</v>
      </c>
      <c r="B362" s="689">
        <v>44916.763888888891</v>
      </c>
      <c r="C362" s="23"/>
      <c r="D362" s="14"/>
      <c r="E362" s="35" t="s">
        <v>1094</v>
      </c>
      <c r="F362" s="36" t="s">
        <v>328</v>
      </c>
      <c r="G362" s="433">
        <v>67681</v>
      </c>
      <c r="H362" s="548" t="s">
        <v>1041</v>
      </c>
      <c r="I362" s="433">
        <v>67581</v>
      </c>
      <c r="J362" s="26">
        <f t="shared" si="283"/>
        <v>100</v>
      </c>
      <c r="K362" s="27">
        <f t="shared" si="284"/>
        <v>1.9930555555547471</v>
      </c>
      <c r="L362" s="27">
        <f>'[74]AE JUPITER'!$F$113</f>
        <v>1.366319444430701</v>
      </c>
      <c r="M362" s="434">
        <f t="shared" si="285"/>
        <v>33958.411149839558</v>
      </c>
      <c r="N362" s="567">
        <f t="shared" si="286"/>
        <v>49535.268107232696</v>
      </c>
      <c r="O362" s="434">
        <v>30000</v>
      </c>
      <c r="P362" s="648">
        <v>129146</v>
      </c>
      <c r="Q362" s="648">
        <v>116926</v>
      </c>
      <c r="R362" s="648">
        <f t="shared" si="287"/>
        <v>12220</v>
      </c>
      <c r="S362" s="435">
        <f t="shared" si="288"/>
        <v>0.18055288781194131</v>
      </c>
      <c r="T362" s="435">
        <f t="shared" si="289"/>
        <v>0.18055288781194131</v>
      </c>
      <c r="U362" s="435"/>
      <c r="V362" s="31"/>
      <c r="W362" s="32"/>
      <c r="X362" s="637"/>
      <c r="Y362" s="33"/>
      <c r="Z362" s="638"/>
      <c r="AA362" s="33"/>
      <c r="AB362" s="438"/>
      <c r="AC362" s="33"/>
    </row>
    <row r="363" spans="1:29" x14ac:dyDescent="0.3">
      <c r="A363" s="689">
        <v>44917.760416666664</v>
      </c>
      <c r="B363" s="689">
        <v>44922.666666666664</v>
      </c>
      <c r="C363" s="23"/>
      <c r="D363" s="14"/>
      <c r="E363" s="35" t="s">
        <v>1095</v>
      </c>
      <c r="F363" s="36" t="s">
        <v>91</v>
      </c>
      <c r="G363" s="433">
        <v>150000</v>
      </c>
      <c r="H363" s="548" t="s">
        <v>991</v>
      </c>
      <c r="I363" s="433">
        <v>150000</v>
      </c>
      <c r="J363" s="26">
        <f t="shared" si="283"/>
        <v>0</v>
      </c>
      <c r="K363" s="27">
        <f t="shared" si="284"/>
        <v>4.90625</v>
      </c>
      <c r="L363" s="27">
        <f>'[74]GENCO DEFENDER'!$F$222</f>
        <v>3.1562499999587694</v>
      </c>
      <c r="M363" s="434">
        <f t="shared" si="285"/>
        <v>30573.248407643314</v>
      </c>
      <c r="N363" s="567">
        <f t="shared" si="286"/>
        <v>47524.75247586835</v>
      </c>
      <c r="O363" s="434">
        <v>30000</v>
      </c>
      <c r="P363" s="648">
        <v>114385</v>
      </c>
      <c r="Q363" s="648">
        <v>87990</v>
      </c>
      <c r="R363" s="648">
        <f t="shared" si="287"/>
        <v>26395</v>
      </c>
      <c r="S363" s="435">
        <f t="shared" si="288"/>
        <v>0.17596666666666666</v>
      </c>
      <c r="T363" s="435">
        <f t="shared" si="289"/>
        <v>0.17596666666666666</v>
      </c>
      <c r="U363" s="435"/>
      <c r="V363" s="31"/>
      <c r="W363" s="32"/>
      <c r="X363" s="637"/>
      <c r="Y363" s="33"/>
      <c r="Z363" s="638"/>
      <c r="AA363" s="33"/>
      <c r="AB363" s="438"/>
      <c r="AC363" s="33"/>
    </row>
    <row r="364" spans="1:29" x14ac:dyDescent="0.3">
      <c r="A364" s="689">
        <v>44923.0625</v>
      </c>
      <c r="B364" s="689">
        <v>44925.645833333336</v>
      </c>
      <c r="C364" s="23"/>
      <c r="D364" s="14"/>
      <c r="E364" s="35" t="s">
        <v>1096</v>
      </c>
      <c r="F364" s="36" t="s">
        <v>32</v>
      </c>
      <c r="G364" s="433">
        <v>71500</v>
      </c>
      <c r="H364" s="548" t="s">
        <v>991</v>
      </c>
      <c r="I364" s="433">
        <v>71500</v>
      </c>
      <c r="J364" s="26">
        <f t="shared" si="283"/>
        <v>0</v>
      </c>
      <c r="K364" s="27">
        <f t="shared" si="284"/>
        <v>2.5833333333357587</v>
      </c>
      <c r="L364" s="27">
        <f>'[74]DESPINA D'!$F$118</f>
        <v>1.3472222222189885</v>
      </c>
      <c r="M364" s="434">
        <f t="shared" si="285"/>
        <v>27677.419354812726</v>
      </c>
      <c r="N364" s="567">
        <f t="shared" si="286"/>
        <v>53072.164948580998</v>
      </c>
      <c r="O364" s="434">
        <v>30000</v>
      </c>
      <c r="P364" s="648">
        <v>87235</v>
      </c>
      <c r="Q364" s="648">
        <v>73725</v>
      </c>
      <c r="R364" s="648">
        <f t="shared" si="287"/>
        <v>13510</v>
      </c>
      <c r="S364" s="435">
        <f t="shared" si="288"/>
        <v>0.18895104895104894</v>
      </c>
      <c r="T364" s="435">
        <f t="shared" si="289"/>
        <v>0.18895104895104894</v>
      </c>
      <c r="U364" s="435"/>
      <c r="V364" s="31"/>
      <c r="W364" s="32"/>
      <c r="X364" s="637"/>
      <c r="Y364" s="33"/>
      <c r="Z364" s="638"/>
      <c r="AA364" s="33"/>
      <c r="AB364" s="438"/>
      <c r="AC364" s="33"/>
    </row>
    <row r="365" spans="1:29" x14ac:dyDescent="0.3">
      <c r="A365" s="689">
        <v>44926.041666666664</v>
      </c>
      <c r="B365" s="689">
        <v>44926.552083333336</v>
      </c>
      <c r="C365" s="23"/>
      <c r="D365" s="14"/>
      <c r="E365" s="35" t="s">
        <v>1097</v>
      </c>
      <c r="F365" s="36" t="s">
        <v>328</v>
      </c>
      <c r="G365" s="433">
        <v>17456</v>
      </c>
      <c r="H365" s="548" t="s">
        <v>992</v>
      </c>
      <c r="I365" s="433">
        <v>17456</v>
      </c>
      <c r="J365" s="26">
        <f t="shared" si="283"/>
        <v>0</v>
      </c>
      <c r="K365" s="27">
        <f t="shared" si="284"/>
        <v>0.51041666667151731</v>
      </c>
      <c r="L365" s="27">
        <f>'[74]ILLAWARRA FORTUNE'!$F$47</f>
        <v>0.35763888889414375</v>
      </c>
      <c r="M365" s="434">
        <f t="shared" si="285"/>
        <v>34199.510203756625</v>
      </c>
      <c r="N365" s="567">
        <f t="shared" si="286"/>
        <v>48809.009708020705</v>
      </c>
      <c r="O365" s="434">
        <v>30000</v>
      </c>
      <c r="P365" s="648">
        <v>73143</v>
      </c>
      <c r="Q365" s="648">
        <v>70063</v>
      </c>
      <c r="R365" s="648">
        <f t="shared" si="287"/>
        <v>3080</v>
      </c>
      <c r="S365" s="435">
        <f t="shared" si="288"/>
        <v>0.17644362969752519</v>
      </c>
      <c r="T365" s="435">
        <f t="shared" si="289"/>
        <v>0.17644362969752519</v>
      </c>
      <c r="U365" s="435"/>
      <c r="V365" s="31"/>
      <c r="W365" s="32"/>
      <c r="X365" s="637"/>
      <c r="Y365" s="33"/>
      <c r="Z365" s="638"/>
      <c r="AA365" s="33"/>
      <c r="AB365" s="438"/>
      <c r="AC365" s="33"/>
    </row>
  </sheetData>
  <autoFilter ref="A1:AC1" xr:uid="{B8977CBB-EBA7-43DD-8A84-5AB89A6D448C}"/>
  <mergeCells count="3">
    <mergeCell ref="D60:D61"/>
    <mergeCell ref="AB60:AB61"/>
    <mergeCell ref="AB71:AB73"/>
  </mergeCells>
  <pageMargins left="0.70866141732283505" right="0.70866141732283505" top="0.74803149606299202" bottom="0.74803149606299202" header="0.31496062992126" footer="0.31496062992126"/>
  <pageSetup scale="53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7E8D-483E-4EC5-91BA-3746B3306536}">
  <sheetPr>
    <tabColor rgb="FF92D050"/>
    <pageSetUpPr fitToPage="1"/>
  </sheetPr>
  <dimension ref="A3:AC467"/>
  <sheetViews>
    <sheetView zoomScale="70" zoomScaleNormal="70" workbookViewId="0">
      <pane ySplit="7" topLeftCell="A443" activePane="bottomLeft" state="frozen"/>
      <selection pane="bottomLeft" activeCell="A414" sqref="A414:AC467"/>
    </sheetView>
  </sheetViews>
  <sheetFormatPr defaultRowHeight="14.4" x14ac:dyDescent="0.3"/>
  <cols>
    <col min="1" max="1" width="17.44140625" bestFit="1" customWidth="1"/>
    <col min="2" max="2" width="15.88671875" bestFit="1" customWidth="1"/>
    <col min="3" max="4" width="15.88671875" hidden="1" customWidth="1"/>
    <col min="5" max="5" width="22.33203125" customWidth="1"/>
    <col min="6" max="6" width="6" customWidth="1"/>
    <col min="7" max="7" width="10.6640625" style="1" bestFit="1" customWidth="1"/>
    <col min="8" max="8" width="11.5546875" style="1" customWidth="1"/>
    <col min="9" max="9" width="11.44140625" style="1" customWidth="1"/>
    <col min="10" max="10" width="9.88671875" style="1" customWidth="1"/>
    <col min="11" max="11" width="10.6640625" style="1" customWidth="1"/>
    <col min="12" max="12" width="9.44140625" style="1" customWidth="1"/>
    <col min="13" max="13" width="11" style="1" customWidth="1"/>
    <col min="14" max="14" width="8.44140625" style="1" customWidth="1"/>
    <col min="15" max="15" width="10.44140625" style="1" bestFit="1" customWidth="1"/>
    <col min="16" max="16" width="9.109375" style="1" customWidth="1"/>
    <col min="17" max="17" width="7.44140625" style="1" customWidth="1"/>
    <col min="18" max="20" width="11.5546875" style="1" customWidth="1"/>
    <col min="21" max="21" width="11.5546875" style="1" hidden="1" customWidth="1"/>
    <col min="22" max="22" width="9.5546875" style="1" customWidth="1"/>
    <col min="23" max="23" width="10.109375" customWidth="1"/>
    <col min="24" max="24" width="11.44140625" bestFit="1" customWidth="1"/>
    <col min="25" max="25" width="16.5546875" style="3" bestFit="1" customWidth="1"/>
    <col min="26" max="26" width="12.5546875" style="3" bestFit="1" customWidth="1"/>
    <col min="27" max="27" width="11.6640625" style="3" customWidth="1"/>
    <col min="28" max="28" width="10.88671875" style="3" bestFit="1" customWidth="1"/>
    <col min="29" max="29" width="12" customWidth="1"/>
    <col min="257" max="257" width="17.44140625" bestFit="1" customWidth="1"/>
    <col min="258" max="258" width="15.88671875" bestFit="1" customWidth="1"/>
    <col min="259" max="260" width="0" hidden="1" customWidth="1"/>
    <col min="261" max="261" width="22.33203125" customWidth="1"/>
    <col min="262" max="262" width="6" customWidth="1"/>
    <col min="263" max="263" width="10.6640625" bestFit="1" customWidth="1"/>
    <col min="264" max="264" width="11.5546875" customWidth="1"/>
    <col min="265" max="265" width="11.44140625" customWidth="1"/>
    <col min="266" max="266" width="9.88671875" customWidth="1"/>
    <col min="267" max="267" width="10.6640625" customWidth="1"/>
    <col min="268" max="268" width="9.44140625" customWidth="1"/>
    <col min="269" max="269" width="11" customWidth="1"/>
    <col min="270" max="270" width="8.44140625" customWidth="1"/>
    <col min="271" max="271" width="10.44140625" bestFit="1" customWidth="1"/>
    <col min="273" max="273" width="7.44140625" customWidth="1"/>
    <col min="274" max="276" width="11.5546875" customWidth="1"/>
    <col min="277" max="277" width="0" hidden="1" customWidth="1"/>
    <col min="278" max="278" width="9.5546875" customWidth="1"/>
    <col min="279" max="279" width="10.109375" customWidth="1"/>
    <col min="280" max="280" width="11.44140625" bestFit="1" customWidth="1"/>
    <col min="281" max="281" width="16.5546875" bestFit="1" customWidth="1"/>
    <col min="282" max="282" width="12.5546875" bestFit="1" customWidth="1"/>
    <col min="283" max="283" width="11.6640625" customWidth="1"/>
    <col min="284" max="284" width="10.88671875" bestFit="1" customWidth="1"/>
    <col min="285" max="285" width="12" customWidth="1"/>
    <col min="513" max="513" width="17.44140625" bestFit="1" customWidth="1"/>
    <col min="514" max="514" width="15.88671875" bestFit="1" customWidth="1"/>
    <col min="515" max="516" width="0" hidden="1" customWidth="1"/>
    <col min="517" max="517" width="22.33203125" customWidth="1"/>
    <col min="518" max="518" width="6" customWidth="1"/>
    <col min="519" max="519" width="10.6640625" bestFit="1" customWidth="1"/>
    <col min="520" max="520" width="11.5546875" customWidth="1"/>
    <col min="521" max="521" width="11.44140625" customWidth="1"/>
    <col min="522" max="522" width="9.88671875" customWidth="1"/>
    <col min="523" max="523" width="10.6640625" customWidth="1"/>
    <col min="524" max="524" width="9.44140625" customWidth="1"/>
    <col min="525" max="525" width="11" customWidth="1"/>
    <col min="526" max="526" width="8.44140625" customWidth="1"/>
    <col min="527" max="527" width="10.44140625" bestFit="1" customWidth="1"/>
    <col min="529" max="529" width="7.44140625" customWidth="1"/>
    <col min="530" max="532" width="11.5546875" customWidth="1"/>
    <col min="533" max="533" width="0" hidden="1" customWidth="1"/>
    <col min="534" max="534" width="9.5546875" customWidth="1"/>
    <col min="535" max="535" width="10.109375" customWidth="1"/>
    <col min="536" max="536" width="11.44140625" bestFit="1" customWidth="1"/>
    <col min="537" max="537" width="16.5546875" bestFit="1" customWidth="1"/>
    <col min="538" max="538" width="12.5546875" bestFit="1" customWidth="1"/>
    <col min="539" max="539" width="11.6640625" customWidth="1"/>
    <col min="540" max="540" width="10.88671875" bestFit="1" customWidth="1"/>
    <col min="541" max="541" width="12" customWidth="1"/>
    <col min="769" max="769" width="17.44140625" bestFit="1" customWidth="1"/>
    <col min="770" max="770" width="15.88671875" bestFit="1" customWidth="1"/>
    <col min="771" max="772" width="0" hidden="1" customWidth="1"/>
    <col min="773" max="773" width="22.33203125" customWidth="1"/>
    <col min="774" max="774" width="6" customWidth="1"/>
    <col min="775" max="775" width="10.6640625" bestFit="1" customWidth="1"/>
    <col min="776" max="776" width="11.5546875" customWidth="1"/>
    <col min="777" max="777" width="11.44140625" customWidth="1"/>
    <col min="778" max="778" width="9.88671875" customWidth="1"/>
    <col min="779" max="779" width="10.6640625" customWidth="1"/>
    <col min="780" max="780" width="9.44140625" customWidth="1"/>
    <col min="781" max="781" width="11" customWidth="1"/>
    <col min="782" max="782" width="8.44140625" customWidth="1"/>
    <col min="783" max="783" width="10.44140625" bestFit="1" customWidth="1"/>
    <col min="785" max="785" width="7.44140625" customWidth="1"/>
    <col min="786" max="788" width="11.5546875" customWidth="1"/>
    <col min="789" max="789" width="0" hidden="1" customWidth="1"/>
    <col min="790" max="790" width="9.5546875" customWidth="1"/>
    <col min="791" max="791" width="10.109375" customWidth="1"/>
    <col min="792" max="792" width="11.44140625" bestFit="1" customWidth="1"/>
    <col min="793" max="793" width="16.5546875" bestFit="1" customWidth="1"/>
    <col min="794" max="794" width="12.5546875" bestFit="1" customWidth="1"/>
    <col min="795" max="795" width="11.6640625" customWidth="1"/>
    <col min="796" max="796" width="10.88671875" bestFit="1" customWidth="1"/>
    <col min="797" max="797" width="12" customWidth="1"/>
    <col min="1025" max="1025" width="17.44140625" bestFit="1" customWidth="1"/>
    <col min="1026" max="1026" width="15.88671875" bestFit="1" customWidth="1"/>
    <col min="1027" max="1028" width="0" hidden="1" customWidth="1"/>
    <col min="1029" max="1029" width="22.33203125" customWidth="1"/>
    <col min="1030" max="1030" width="6" customWidth="1"/>
    <col min="1031" max="1031" width="10.6640625" bestFit="1" customWidth="1"/>
    <col min="1032" max="1032" width="11.5546875" customWidth="1"/>
    <col min="1033" max="1033" width="11.44140625" customWidth="1"/>
    <col min="1034" max="1034" width="9.88671875" customWidth="1"/>
    <col min="1035" max="1035" width="10.6640625" customWidth="1"/>
    <col min="1036" max="1036" width="9.44140625" customWidth="1"/>
    <col min="1037" max="1037" width="11" customWidth="1"/>
    <col min="1038" max="1038" width="8.44140625" customWidth="1"/>
    <col min="1039" max="1039" width="10.44140625" bestFit="1" customWidth="1"/>
    <col min="1041" max="1041" width="7.44140625" customWidth="1"/>
    <col min="1042" max="1044" width="11.5546875" customWidth="1"/>
    <col min="1045" max="1045" width="0" hidden="1" customWidth="1"/>
    <col min="1046" max="1046" width="9.5546875" customWidth="1"/>
    <col min="1047" max="1047" width="10.109375" customWidth="1"/>
    <col min="1048" max="1048" width="11.44140625" bestFit="1" customWidth="1"/>
    <col min="1049" max="1049" width="16.5546875" bestFit="1" customWidth="1"/>
    <col min="1050" max="1050" width="12.5546875" bestFit="1" customWidth="1"/>
    <col min="1051" max="1051" width="11.6640625" customWidth="1"/>
    <col min="1052" max="1052" width="10.88671875" bestFit="1" customWidth="1"/>
    <col min="1053" max="1053" width="12" customWidth="1"/>
    <col min="1281" max="1281" width="17.44140625" bestFit="1" customWidth="1"/>
    <col min="1282" max="1282" width="15.88671875" bestFit="1" customWidth="1"/>
    <col min="1283" max="1284" width="0" hidden="1" customWidth="1"/>
    <col min="1285" max="1285" width="22.33203125" customWidth="1"/>
    <col min="1286" max="1286" width="6" customWidth="1"/>
    <col min="1287" max="1287" width="10.6640625" bestFit="1" customWidth="1"/>
    <col min="1288" max="1288" width="11.5546875" customWidth="1"/>
    <col min="1289" max="1289" width="11.44140625" customWidth="1"/>
    <col min="1290" max="1290" width="9.88671875" customWidth="1"/>
    <col min="1291" max="1291" width="10.6640625" customWidth="1"/>
    <col min="1292" max="1292" width="9.44140625" customWidth="1"/>
    <col min="1293" max="1293" width="11" customWidth="1"/>
    <col min="1294" max="1294" width="8.44140625" customWidth="1"/>
    <col min="1295" max="1295" width="10.44140625" bestFit="1" customWidth="1"/>
    <col min="1297" max="1297" width="7.44140625" customWidth="1"/>
    <col min="1298" max="1300" width="11.5546875" customWidth="1"/>
    <col min="1301" max="1301" width="0" hidden="1" customWidth="1"/>
    <col min="1302" max="1302" width="9.5546875" customWidth="1"/>
    <col min="1303" max="1303" width="10.109375" customWidth="1"/>
    <col min="1304" max="1304" width="11.44140625" bestFit="1" customWidth="1"/>
    <col min="1305" max="1305" width="16.5546875" bestFit="1" customWidth="1"/>
    <col min="1306" max="1306" width="12.5546875" bestFit="1" customWidth="1"/>
    <col min="1307" max="1307" width="11.6640625" customWidth="1"/>
    <col min="1308" max="1308" width="10.88671875" bestFit="1" customWidth="1"/>
    <col min="1309" max="1309" width="12" customWidth="1"/>
    <col min="1537" max="1537" width="17.44140625" bestFit="1" customWidth="1"/>
    <col min="1538" max="1538" width="15.88671875" bestFit="1" customWidth="1"/>
    <col min="1539" max="1540" width="0" hidden="1" customWidth="1"/>
    <col min="1541" max="1541" width="22.33203125" customWidth="1"/>
    <col min="1542" max="1542" width="6" customWidth="1"/>
    <col min="1543" max="1543" width="10.6640625" bestFit="1" customWidth="1"/>
    <col min="1544" max="1544" width="11.5546875" customWidth="1"/>
    <col min="1545" max="1545" width="11.44140625" customWidth="1"/>
    <col min="1546" max="1546" width="9.88671875" customWidth="1"/>
    <col min="1547" max="1547" width="10.6640625" customWidth="1"/>
    <col min="1548" max="1548" width="9.44140625" customWidth="1"/>
    <col min="1549" max="1549" width="11" customWidth="1"/>
    <col min="1550" max="1550" width="8.44140625" customWidth="1"/>
    <col min="1551" max="1551" width="10.44140625" bestFit="1" customWidth="1"/>
    <col min="1553" max="1553" width="7.44140625" customWidth="1"/>
    <col min="1554" max="1556" width="11.5546875" customWidth="1"/>
    <col min="1557" max="1557" width="0" hidden="1" customWidth="1"/>
    <col min="1558" max="1558" width="9.5546875" customWidth="1"/>
    <col min="1559" max="1559" width="10.109375" customWidth="1"/>
    <col min="1560" max="1560" width="11.44140625" bestFit="1" customWidth="1"/>
    <col min="1561" max="1561" width="16.5546875" bestFit="1" customWidth="1"/>
    <col min="1562" max="1562" width="12.5546875" bestFit="1" customWidth="1"/>
    <col min="1563" max="1563" width="11.6640625" customWidth="1"/>
    <col min="1564" max="1564" width="10.88671875" bestFit="1" customWidth="1"/>
    <col min="1565" max="1565" width="12" customWidth="1"/>
    <col min="1793" max="1793" width="17.44140625" bestFit="1" customWidth="1"/>
    <col min="1794" max="1794" width="15.88671875" bestFit="1" customWidth="1"/>
    <col min="1795" max="1796" width="0" hidden="1" customWidth="1"/>
    <col min="1797" max="1797" width="22.33203125" customWidth="1"/>
    <col min="1798" max="1798" width="6" customWidth="1"/>
    <col min="1799" max="1799" width="10.6640625" bestFit="1" customWidth="1"/>
    <col min="1800" max="1800" width="11.5546875" customWidth="1"/>
    <col min="1801" max="1801" width="11.44140625" customWidth="1"/>
    <col min="1802" max="1802" width="9.88671875" customWidth="1"/>
    <col min="1803" max="1803" width="10.6640625" customWidth="1"/>
    <col min="1804" max="1804" width="9.44140625" customWidth="1"/>
    <col min="1805" max="1805" width="11" customWidth="1"/>
    <col min="1806" max="1806" width="8.44140625" customWidth="1"/>
    <col min="1807" max="1807" width="10.44140625" bestFit="1" customWidth="1"/>
    <col min="1809" max="1809" width="7.44140625" customWidth="1"/>
    <col min="1810" max="1812" width="11.5546875" customWidth="1"/>
    <col min="1813" max="1813" width="0" hidden="1" customWidth="1"/>
    <col min="1814" max="1814" width="9.5546875" customWidth="1"/>
    <col min="1815" max="1815" width="10.109375" customWidth="1"/>
    <col min="1816" max="1816" width="11.44140625" bestFit="1" customWidth="1"/>
    <col min="1817" max="1817" width="16.5546875" bestFit="1" customWidth="1"/>
    <col min="1818" max="1818" width="12.5546875" bestFit="1" customWidth="1"/>
    <col min="1819" max="1819" width="11.6640625" customWidth="1"/>
    <col min="1820" max="1820" width="10.88671875" bestFit="1" customWidth="1"/>
    <col min="1821" max="1821" width="12" customWidth="1"/>
    <col min="2049" max="2049" width="17.44140625" bestFit="1" customWidth="1"/>
    <col min="2050" max="2050" width="15.88671875" bestFit="1" customWidth="1"/>
    <col min="2051" max="2052" width="0" hidden="1" customWidth="1"/>
    <col min="2053" max="2053" width="22.33203125" customWidth="1"/>
    <col min="2054" max="2054" width="6" customWidth="1"/>
    <col min="2055" max="2055" width="10.6640625" bestFit="1" customWidth="1"/>
    <col min="2056" max="2056" width="11.5546875" customWidth="1"/>
    <col min="2057" max="2057" width="11.44140625" customWidth="1"/>
    <col min="2058" max="2058" width="9.88671875" customWidth="1"/>
    <col min="2059" max="2059" width="10.6640625" customWidth="1"/>
    <col min="2060" max="2060" width="9.44140625" customWidth="1"/>
    <col min="2061" max="2061" width="11" customWidth="1"/>
    <col min="2062" max="2062" width="8.44140625" customWidth="1"/>
    <col min="2063" max="2063" width="10.44140625" bestFit="1" customWidth="1"/>
    <col min="2065" max="2065" width="7.44140625" customWidth="1"/>
    <col min="2066" max="2068" width="11.5546875" customWidth="1"/>
    <col min="2069" max="2069" width="0" hidden="1" customWidth="1"/>
    <col min="2070" max="2070" width="9.5546875" customWidth="1"/>
    <col min="2071" max="2071" width="10.109375" customWidth="1"/>
    <col min="2072" max="2072" width="11.44140625" bestFit="1" customWidth="1"/>
    <col min="2073" max="2073" width="16.5546875" bestFit="1" customWidth="1"/>
    <col min="2074" max="2074" width="12.5546875" bestFit="1" customWidth="1"/>
    <col min="2075" max="2075" width="11.6640625" customWidth="1"/>
    <col min="2076" max="2076" width="10.88671875" bestFit="1" customWidth="1"/>
    <col min="2077" max="2077" width="12" customWidth="1"/>
    <col min="2305" max="2305" width="17.44140625" bestFit="1" customWidth="1"/>
    <col min="2306" max="2306" width="15.88671875" bestFit="1" customWidth="1"/>
    <col min="2307" max="2308" width="0" hidden="1" customWidth="1"/>
    <col min="2309" max="2309" width="22.33203125" customWidth="1"/>
    <col min="2310" max="2310" width="6" customWidth="1"/>
    <col min="2311" max="2311" width="10.6640625" bestFit="1" customWidth="1"/>
    <col min="2312" max="2312" width="11.5546875" customWidth="1"/>
    <col min="2313" max="2313" width="11.44140625" customWidth="1"/>
    <col min="2314" max="2314" width="9.88671875" customWidth="1"/>
    <col min="2315" max="2315" width="10.6640625" customWidth="1"/>
    <col min="2316" max="2316" width="9.44140625" customWidth="1"/>
    <col min="2317" max="2317" width="11" customWidth="1"/>
    <col min="2318" max="2318" width="8.44140625" customWidth="1"/>
    <col min="2319" max="2319" width="10.44140625" bestFit="1" customWidth="1"/>
    <col min="2321" max="2321" width="7.44140625" customWidth="1"/>
    <col min="2322" max="2324" width="11.5546875" customWidth="1"/>
    <col min="2325" max="2325" width="0" hidden="1" customWidth="1"/>
    <col min="2326" max="2326" width="9.5546875" customWidth="1"/>
    <col min="2327" max="2327" width="10.109375" customWidth="1"/>
    <col min="2328" max="2328" width="11.44140625" bestFit="1" customWidth="1"/>
    <col min="2329" max="2329" width="16.5546875" bestFit="1" customWidth="1"/>
    <col min="2330" max="2330" width="12.5546875" bestFit="1" customWidth="1"/>
    <col min="2331" max="2331" width="11.6640625" customWidth="1"/>
    <col min="2332" max="2332" width="10.88671875" bestFit="1" customWidth="1"/>
    <col min="2333" max="2333" width="12" customWidth="1"/>
    <col min="2561" max="2561" width="17.44140625" bestFit="1" customWidth="1"/>
    <col min="2562" max="2562" width="15.88671875" bestFit="1" customWidth="1"/>
    <col min="2563" max="2564" width="0" hidden="1" customWidth="1"/>
    <col min="2565" max="2565" width="22.33203125" customWidth="1"/>
    <col min="2566" max="2566" width="6" customWidth="1"/>
    <col min="2567" max="2567" width="10.6640625" bestFit="1" customWidth="1"/>
    <col min="2568" max="2568" width="11.5546875" customWidth="1"/>
    <col min="2569" max="2569" width="11.44140625" customWidth="1"/>
    <col min="2570" max="2570" width="9.88671875" customWidth="1"/>
    <col min="2571" max="2571" width="10.6640625" customWidth="1"/>
    <col min="2572" max="2572" width="9.44140625" customWidth="1"/>
    <col min="2573" max="2573" width="11" customWidth="1"/>
    <col min="2574" max="2574" width="8.44140625" customWidth="1"/>
    <col min="2575" max="2575" width="10.44140625" bestFit="1" customWidth="1"/>
    <col min="2577" max="2577" width="7.44140625" customWidth="1"/>
    <col min="2578" max="2580" width="11.5546875" customWidth="1"/>
    <col min="2581" max="2581" width="0" hidden="1" customWidth="1"/>
    <col min="2582" max="2582" width="9.5546875" customWidth="1"/>
    <col min="2583" max="2583" width="10.109375" customWidth="1"/>
    <col min="2584" max="2584" width="11.44140625" bestFit="1" customWidth="1"/>
    <col min="2585" max="2585" width="16.5546875" bestFit="1" customWidth="1"/>
    <col min="2586" max="2586" width="12.5546875" bestFit="1" customWidth="1"/>
    <col min="2587" max="2587" width="11.6640625" customWidth="1"/>
    <col min="2588" max="2588" width="10.88671875" bestFit="1" customWidth="1"/>
    <col min="2589" max="2589" width="12" customWidth="1"/>
    <col min="2817" max="2817" width="17.44140625" bestFit="1" customWidth="1"/>
    <col min="2818" max="2818" width="15.88671875" bestFit="1" customWidth="1"/>
    <col min="2819" max="2820" width="0" hidden="1" customWidth="1"/>
    <col min="2821" max="2821" width="22.33203125" customWidth="1"/>
    <col min="2822" max="2822" width="6" customWidth="1"/>
    <col min="2823" max="2823" width="10.6640625" bestFit="1" customWidth="1"/>
    <col min="2824" max="2824" width="11.5546875" customWidth="1"/>
    <col min="2825" max="2825" width="11.44140625" customWidth="1"/>
    <col min="2826" max="2826" width="9.88671875" customWidth="1"/>
    <col min="2827" max="2827" width="10.6640625" customWidth="1"/>
    <col min="2828" max="2828" width="9.44140625" customWidth="1"/>
    <col min="2829" max="2829" width="11" customWidth="1"/>
    <col min="2830" max="2830" width="8.44140625" customWidth="1"/>
    <col min="2831" max="2831" width="10.44140625" bestFit="1" customWidth="1"/>
    <col min="2833" max="2833" width="7.44140625" customWidth="1"/>
    <col min="2834" max="2836" width="11.5546875" customWidth="1"/>
    <col min="2837" max="2837" width="0" hidden="1" customWidth="1"/>
    <col min="2838" max="2838" width="9.5546875" customWidth="1"/>
    <col min="2839" max="2839" width="10.109375" customWidth="1"/>
    <col min="2840" max="2840" width="11.44140625" bestFit="1" customWidth="1"/>
    <col min="2841" max="2841" width="16.5546875" bestFit="1" customWidth="1"/>
    <col min="2842" max="2842" width="12.5546875" bestFit="1" customWidth="1"/>
    <col min="2843" max="2843" width="11.6640625" customWidth="1"/>
    <col min="2844" max="2844" width="10.88671875" bestFit="1" customWidth="1"/>
    <col min="2845" max="2845" width="12" customWidth="1"/>
    <col min="3073" max="3073" width="17.44140625" bestFit="1" customWidth="1"/>
    <col min="3074" max="3074" width="15.88671875" bestFit="1" customWidth="1"/>
    <col min="3075" max="3076" width="0" hidden="1" customWidth="1"/>
    <col min="3077" max="3077" width="22.33203125" customWidth="1"/>
    <col min="3078" max="3078" width="6" customWidth="1"/>
    <col min="3079" max="3079" width="10.6640625" bestFit="1" customWidth="1"/>
    <col min="3080" max="3080" width="11.5546875" customWidth="1"/>
    <col min="3081" max="3081" width="11.44140625" customWidth="1"/>
    <col min="3082" max="3082" width="9.88671875" customWidth="1"/>
    <col min="3083" max="3083" width="10.6640625" customWidth="1"/>
    <col min="3084" max="3084" width="9.44140625" customWidth="1"/>
    <col min="3085" max="3085" width="11" customWidth="1"/>
    <col min="3086" max="3086" width="8.44140625" customWidth="1"/>
    <col min="3087" max="3087" width="10.44140625" bestFit="1" customWidth="1"/>
    <col min="3089" max="3089" width="7.44140625" customWidth="1"/>
    <col min="3090" max="3092" width="11.5546875" customWidth="1"/>
    <col min="3093" max="3093" width="0" hidden="1" customWidth="1"/>
    <col min="3094" max="3094" width="9.5546875" customWidth="1"/>
    <col min="3095" max="3095" width="10.109375" customWidth="1"/>
    <col min="3096" max="3096" width="11.44140625" bestFit="1" customWidth="1"/>
    <col min="3097" max="3097" width="16.5546875" bestFit="1" customWidth="1"/>
    <col min="3098" max="3098" width="12.5546875" bestFit="1" customWidth="1"/>
    <col min="3099" max="3099" width="11.6640625" customWidth="1"/>
    <col min="3100" max="3100" width="10.88671875" bestFit="1" customWidth="1"/>
    <col min="3101" max="3101" width="12" customWidth="1"/>
    <col min="3329" max="3329" width="17.44140625" bestFit="1" customWidth="1"/>
    <col min="3330" max="3330" width="15.88671875" bestFit="1" customWidth="1"/>
    <col min="3331" max="3332" width="0" hidden="1" customWidth="1"/>
    <col min="3333" max="3333" width="22.33203125" customWidth="1"/>
    <col min="3334" max="3334" width="6" customWidth="1"/>
    <col min="3335" max="3335" width="10.6640625" bestFit="1" customWidth="1"/>
    <col min="3336" max="3336" width="11.5546875" customWidth="1"/>
    <col min="3337" max="3337" width="11.44140625" customWidth="1"/>
    <col min="3338" max="3338" width="9.88671875" customWidth="1"/>
    <col min="3339" max="3339" width="10.6640625" customWidth="1"/>
    <col min="3340" max="3340" width="9.44140625" customWidth="1"/>
    <col min="3341" max="3341" width="11" customWidth="1"/>
    <col min="3342" max="3342" width="8.44140625" customWidth="1"/>
    <col min="3343" max="3343" width="10.44140625" bestFit="1" customWidth="1"/>
    <col min="3345" max="3345" width="7.44140625" customWidth="1"/>
    <col min="3346" max="3348" width="11.5546875" customWidth="1"/>
    <col min="3349" max="3349" width="0" hidden="1" customWidth="1"/>
    <col min="3350" max="3350" width="9.5546875" customWidth="1"/>
    <col min="3351" max="3351" width="10.109375" customWidth="1"/>
    <col min="3352" max="3352" width="11.44140625" bestFit="1" customWidth="1"/>
    <col min="3353" max="3353" width="16.5546875" bestFit="1" customWidth="1"/>
    <col min="3354" max="3354" width="12.5546875" bestFit="1" customWidth="1"/>
    <col min="3355" max="3355" width="11.6640625" customWidth="1"/>
    <col min="3356" max="3356" width="10.88671875" bestFit="1" customWidth="1"/>
    <col min="3357" max="3357" width="12" customWidth="1"/>
    <col min="3585" max="3585" width="17.44140625" bestFit="1" customWidth="1"/>
    <col min="3586" max="3586" width="15.88671875" bestFit="1" customWidth="1"/>
    <col min="3587" max="3588" width="0" hidden="1" customWidth="1"/>
    <col min="3589" max="3589" width="22.33203125" customWidth="1"/>
    <col min="3590" max="3590" width="6" customWidth="1"/>
    <col min="3591" max="3591" width="10.6640625" bestFit="1" customWidth="1"/>
    <col min="3592" max="3592" width="11.5546875" customWidth="1"/>
    <col min="3593" max="3593" width="11.44140625" customWidth="1"/>
    <col min="3594" max="3594" width="9.88671875" customWidth="1"/>
    <col min="3595" max="3595" width="10.6640625" customWidth="1"/>
    <col min="3596" max="3596" width="9.44140625" customWidth="1"/>
    <col min="3597" max="3597" width="11" customWidth="1"/>
    <col min="3598" max="3598" width="8.44140625" customWidth="1"/>
    <col min="3599" max="3599" width="10.44140625" bestFit="1" customWidth="1"/>
    <col min="3601" max="3601" width="7.44140625" customWidth="1"/>
    <col min="3602" max="3604" width="11.5546875" customWidth="1"/>
    <col min="3605" max="3605" width="0" hidden="1" customWidth="1"/>
    <col min="3606" max="3606" width="9.5546875" customWidth="1"/>
    <col min="3607" max="3607" width="10.109375" customWidth="1"/>
    <col min="3608" max="3608" width="11.44140625" bestFit="1" customWidth="1"/>
    <col min="3609" max="3609" width="16.5546875" bestFit="1" customWidth="1"/>
    <col min="3610" max="3610" width="12.5546875" bestFit="1" customWidth="1"/>
    <col min="3611" max="3611" width="11.6640625" customWidth="1"/>
    <col min="3612" max="3612" width="10.88671875" bestFit="1" customWidth="1"/>
    <col min="3613" max="3613" width="12" customWidth="1"/>
    <col min="3841" max="3841" width="17.44140625" bestFit="1" customWidth="1"/>
    <col min="3842" max="3842" width="15.88671875" bestFit="1" customWidth="1"/>
    <col min="3843" max="3844" width="0" hidden="1" customWidth="1"/>
    <col min="3845" max="3845" width="22.33203125" customWidth="1"/>
    <col min="3846" max="3846" width="6" customWidth="1"/>
    <col min="3847" max="3847" width="10.6640625" bestFit="1" customWidth="1"/>
    <col min="3848" max="3848" width="11.5546875" customWidth="1"/>
    <col min="3849" max="3849" width="11.44140625" customWidth="1"/>
    <col min="3850" max="3850" width="9.88671875" customWidth="1"/>
    <col min="3851" max="3851" width="10.6640625" customWidth="1"/>
    <col min="3852" max="3852" width="9.44140625" customWidth="1"/>
    <col min="3853" max="3853" width="11" customWidth="1"/>
    <col min="3854" max="3854" width="8.44140625" customWidth="1"/>
    <col min="3855" max="3855" width="10.44140625" bestFit="1" customWidth="1"/>
    <col min="3857" max="3857" width="7.44140625" customWidth="1"/>
    <col min="3858" max="3860" width="11.5546875" customWidth="1"/>
    <col min="3861" max="3861" width="0" hidden="1" customWidth="1"/>
    <col min="3862" max="3862" width="9.5546875" customWidth="1"/>
    <col min="3863" max="3863" width="10.109375" customWidth="1"/>
    <col min="3864" max="3864" width="11.44140625" bestFit="1" customWidth="1"/>
    <col min="3865" max="3865" width="16.5546875" bestFit="1" customWidth="1"/>
    <col min="3866" max="3866" width="12.5546875" bestFit="1" customWidth="1"/>
    <col min="3867" max="3867" width="11.6640625" customWidth="1"/>
    <col min="3868" max="3868" width="10.88671875" bestFit="1" customWidth="1"/>
    <col min="3869" max="3869" width="12" customWidth="1"/>
    <col min="4097" max="4097" width="17.44140625" bestFit="1" customWidth="1"/>
    <col min="4098" max="4098" width="15.88671875" bestFit="1" customWidth="1"/>
    <col min="4099" max="4100" width="0" hidden="1" customWidth="1"/>
    <col min="4101" max="4101" width="22.33203125" customWidth="1"/>
    <col min="4102" max="4102" width="6" customWidth="1"/>
    <col min="4103" max="4103" width="10.6640625" bestFit="1" customWidth="1"/>
    <col min="4104" max="4104" width="11.5546875" customWidth="1"/>
    <col min="4105" max="4105" width="11.44140625" customWidth="1"/>
    <col min="4106" max="4106" width="9.88671875" customWidth="1"/>
    <col min="4107" max="4107" width="10.6640625" customWidth="1"/>
    <col min="4108" max="4108" width="9.44140625" customWidth="1"/>
    <col min="4109" max="4109" width="11" customWidth="1"/>
    <col min="4110" max="4110" width="8.44140625" customWidth="1"/>
    <col min="4111" max="4111" width="10.44140625" bestFit="1" customWidth="1"/>
    <col min="4113" max="4113" width="7.44140625" customWidth="1"/>
    <col min="4114" max="4116" width="11.5546875" customWidth="1"/>
    <col min="4117" max="4117" width="0" hidden="1" customWidth="1"/>
    <col min="4118" max="4118" width="9.5546875" customWidth="1"/>
    <col min="4119" max="4119" width="10.109375" customWidth="1"/>
    <col min="4120" max="4120" width="11.44140625" bestFit="1" customWidth="1"/>
    <col min="4121" max="4121" width="16.5546875" bestFit="1" customWidth="1"/>
    <col min="4122" max="4122" width="12.5546875" bestFit="1" customWidth="1"/>
    <col min="4123" max="4123" width="11.6640625" customWidth="1"/>
    <col min="4124" max="4124" width="10.88671875" bestFit="1" customWidth="1"/>
    <col min="4125" max="4125" width="12" customWidth="1"/>
    <col min="4353" max="4353" width="17.44140625" bestFit="1" customWidth="1"/>
    <col min="4354" max="4354" width="15.88671875" bestFit="1" customWidth="1"/>
    <col min="4355" max="4356" width="0" hidden="1" customWidth="1"/>
    <col min="4357" max="4357" width="22.33203125" customWidth="1"/>
    <col min="4358" max="4358" width="6" customWidth="1"/>
    <col min="4359" max="4359" width="10.6640625" bestFit="1" customWidth="1"/>
    <col min="4360" max="4360" width="11.5546875" customWidth="1"/>
    <col min="4361" max="4361" width="11.44140625" customWidth="1"/>
    <col min="4362" max="4362" width="9.88671875" customWidth="1"/>
    <col min="4363" max="4363" width="10.6640625" customWidth="1"/>
    <col min="4364" max="4364" width="9.44140625" customWidth="1"/>
    <col min="4365" max="4365" width="11" customWidth="1"/>
    <col min="4366" max="4366" width="8.44140625" customWidth="1"/>
    <col min="4367" max="4367" width="10.44140625" bestFit="1" customWidth="1"/>
    <col min="4369" max="4369" width="7.44140625" customWidth="1"/>
    <col min="4370" max="4372" width="11.5546875" customWidth="1"/>
    <col min="4373" max="4373" width="0" hidden="1" customWidth="1"/>
    <col min="4374" max="4374" width="9.5546875" customWidth="1"/>
    <col min="4375" max="4375" width="10.109375" customWidth="1"/>
    <col min="4376" max="4376" width="11.44140625" bestFit="1" customWidth="1"/>
    <col min="4377" max="4377" width="16.5546875" bestFit="1" customWidth="1"/>
    <col min="4378" max="4378" width="12.5546875" bestFit="1" customWidth="1"/>
    <col min="4379" max="4379" width="11.6640625" customWidth="1"/>
    <col min="4380" max="4380" width="10.88671875" bestFit="1" customWidth="1"/>
    <col min="4381" max="4381" width="12" customWidth="1"/>
    <col min="4609" max="4609" width="17.44140625" bestFit="1" customWidth="1"/>
    <col min="4610" max="4610" width="15.88671875" bestFit="1" customWidth="1"/>
    <col min="4611" max="4612" width="0" hidden="1" customWidth="1"/>
    <col min="4613" max="4613" width="22.33203125" customWidth="1"/>
    <col min="4614" max="4614" width="6" customWidth="1"/>
    <col min="4615" max="4615" width="10.6640625" bestFit="1" customWidth="1"/>
    <col min="4616" max="4616" width="11.5546875" customWidth="1"/>
    <col min="4617" max="4617" width="11.44140625" customWidth="1"/>
    <col min="4618" max="4618" width="9.88671875" customWidth="1"/>
    <col min="4619" max="4619" width="10.6640625" customWidth="1"/>
    <col min="4620" max="4620" width="9.44140625" customWidth="1"/>
    <col min="4621" max="4621" width="11" customWidth="1"/>
    <col min="4622" max="4622" width="8.44140625" customWidth="1"/>
    <col min="4623" max="4623" width="10.44140625" bestFit="1" customWidth="1"/>
    <col min="4625" max="4625" width="7.44140625" customWidth="1"/>
    <col min="4626" max="4628" width="11.5546875" customWidth="1"/>
    <col min="4629" max="4629" width="0" hidden="1" customWidth="1"/>
    <col min="4630" max="4630" width="9.5546875" customWidth="1"/>
    <col min="4631" max="4631" width="10.109375" customWidth="1"/>
    <col min="4632" max="4632" width="11.44140625" bestFit="1" customWidth="1"/>
    <col min="4633" max="4633" width="16.5546875" bestFit="1" customWidth="1"/>
    <col min="4634" max="4634" width="12.5546875" bestFit="1" customWidth="1"/>
    <col min="4635" max="4635" width="11.6640625" customWidth="1"/>
    <col min="4636" max="4636" width="10.88671875" bestFit="1" customWidth="1"/>
    <col min="4637" max="4637" width="12" customWidth="1"/>
    <col min="4865" max="4865" width="17.44140625" bestFit="1" customWidth="1"/>
    <col min="4866" max="4866" width="15.88671875" bestFit="1" customWidth="1"/>
    <col min="4867" max="4868" width="0" hidden="1" customWidth="1"/>
    <col min="4869" max="4869" width="22.33203125" customWidth="1"/>
    <col min="4870" max="4870" width="6" customWidth="1"/>
    <col min="4871" max="4871" width="10.6640625" bestFit="1" customWidth="1"/>
    <col min="4872" max="4872" width="11.5546875" customWidth="1"/>
    <col min="4873" max="4873" width="11.44140625" customWidth="1"/>
    <col min="4874" max="4874" width="9.88671875" customWidth="1"/>
    <col min="4875" max="4875" width="10.6640625" customWidth="1"/>
    <col min="4876" max="4876" width="9.44140625" customWidth="1"/>
    <col min="4877" max="4877" width="11" customWidth="1"/>
    <col min="4878" max="4878" width="8.44140625" customWidth="1"/>
    <col min="4879" max="4879" width="10.44140625" bestFit="1" customWidth="1"/>
    <col min="4881" max="4881" width="7.44140625" customWidth="1"/>
    <col min="4882" max="4884" width="11.5546875" customWidth="1"/>
    <col min="4885" max="4885" width="0" hidden="1" customWidth="1"/>
    <col min="4886" max="4886" width="9.5546875" customWidth="1"/>
    <col min="4887" max="4887" width="10.109375" customWidth="1"/>
    <col min="4888" max="4888" width="11.44140625" bestFit="1" customWidth="1"/>
    <col min="4889" max="4889" width="16.5546875" bestFit="1" customWidth="1"/>
    <col min="4890" max="4890" width="12.5546875" bestFit="1" customWidth="1"/>
    <col min="4891" max="4891" width="11.6640625" customWidth="1"/>
    <col min="4892" max="4892" width="10.88671875" bestFit="1" customWidth="1"/>
    <col min="4893" max="4893" width="12" customWidth="1"/>
    <col min="5121" max="5121" width="17.44140625" bestFit="1" customWidth="1"/>
    <col min="5122" max="5122" width="15.88671875" bestFit="1" customWidth="1"/>
    <col min="5123" max="5124" width="0" hidden="1" customWidth="1"/>
    <col min="5125" max="5125" width="22.33203125" customWidth="1"/>
    <col min="5126" max="5126" width="6" customWidth="1"/>
    <col min="5127" max="5127" width="10.6640625" bestFit="1" customWidth="1"/>
    <col min="5128" max="5128" width="11.5546875" customWidth="1"/>
    <col min="5129" max="5129" width="11.44140625" customWidth="1"/>
    <col min="5130" max="5130" width="9.88671875" customWidth="1"/>
    <col min="5131" max="5131" width="10.6640625" customWidth="1"/>
    <col min="5132" max="5132" width="9.44140625" customWidth="1"/>
    <col min="5133" max="5133" width="11" customWidth="1"/>
    <col min="5134" max="5134" width="8.44140625" customWidth="1"/>
    <col min="5135" max="5135" width="10.44140625" bestFit="1" customWidth="1"/>
    <col min="5137" max="5137" width="7.44140625" customWidth="1"/>
    <col min="5138" max="5140" width="11.5546875" customWidth="1"/>
    <col min="5141" max="5141" width="0" hidden="1" customWidth="1"/>
    <col min="5142" max="5142" width="9.5546875" customWidth="1"/>
    <col min="5143" max="5143" width="10.109375" customWidth="1"/>
    <col min="5144" max="5144" width="11.44140625" bestFit="1" customWidth="1"/>
    <col min="5145" max="5145" width="16.5546875" bestFit="1" customWidth="1"/>
    <col min="5146" max="5146" width="12.5546875" bestFit="1" customWidth="1"/>
    <col min="5147" max="5147" width="11.6640625" customWidth="1"/>
    <col min="5148" max="5148" width="10.88671875" bestFit="1" customWidth="1"/>
    <col min="5149" max="5149" width="12" customWidth="1"/>
    <col min="5377" max="5377" width="17.44140625" bestFit="1" customWidth="1"/>
    <col min="5378" max="5378" width="15.88671875" bestFit="1" customWidth="1"/>
    <col min="5379" max="5380" width="0" hidden="1" customWidth="1"/>
    <col min="5381" max="5381" width="22.33203125" customWidth="1"/>
    <col min="5382" max="5382" width="6" customWidth="1"/>
    <col min="5383" max="5383" width="10.6640625" bestFit="1" customWidth="1"/>
    <col min="5384" max="5384" width="11.5546875" customWidth="1"/>
    <col min="5385" max="5385" width="11.44140625" customWidth="1"/>
    <col min="5386" max="5386" width="9.88671875" customWidth="1"/>
    <col min="5387" max="5387" width="10.6640625" customWidth="1"/>
    <col min="5388" max="5388" width="9.44140625" customWidth="1"/>
    <col min="5389" max="5389" width="11" customWidth="1"/>
    <col min="5390" max="5390" width="8.44140625" customWidth="1"/>
    <col min="5391" max="5391" width="10.44140625" bestFit="1" customWidth="1"/>
    <col min="5393" max="5393" width="7.44140625" customWidth="1"/>
    <col min="5394" max="5396" width="11.5546875" customWidth="1"/>
    <col min="5397" max="5397" width="0" hidden="1" customWidth="1"/>
    <col min="5398" max="5398" width="9.5546875" customWidth="1"/>
    <col min="5399" max="5399" width="10.109375" customWidth="1"/>
    <col min="5400" max="5400" width="11.44140625" bestFit="1" customWidth="1"/>
    <col min="5401" max="5401" width="16.5546875" bestFit="1" customWidth="1"/>
    <col min="5402" max="5402" width="12.5546875" bestFit="1" customWidth="1"/>
    <col min="5403" max="5403" width="11.6640625" customWidth="1"/>
    <col min="5404" max="5404" width="10.88671875" bestFit="1" customWidth="1"/>
    <col min="5405" max="5405" width="12" customWidth="1"/>
    <col min="5633" max="5633" width="17.44140625" bestFit="1" customWidth="1"/>
    <col min="5634" max="5634" width="15.88671875" bestFit="1" customWidth="1"/>
    <col min="5635" max="5636" width="0" hidden="1" customWidth="1"/>
    <col min="5637" max="5637" width="22.33203125" customWidth="1"/>
    <col min="5638" max="5638" width="6" customWidth="1"/>
    <col min="5639" max="5639" width="10.6640625" bestFit="1" customWidth="1"/>
    <col min="5640" max="5640" width="11.5546875" customWidth="1"/>
    <col min="5641" max="5641" width="11.44140625" customWidth="1"/>
    <col min="5642" max="5642" width="9.88671875" customWidth="1"/>
    <col min="5643" max="5643" width="10.6640625" customWidth="1"/>
    <col min="5644" max="5644" width="9.44140625" customWidth="1"/>
    <col min="5645" max="5645" width="11" customWidth="1"/>
    <col min="5646" max="5646" width="8.44140625" customWidth="1"/>
    <col min="5647" max="5647" width="10.44140625" bestFit="1" customWidth="1"/>
    <col min="5649" max="5649" width="7.44140625" customWidth="1"/>
    <col min="5650" max="5652" width="11.5546875" customWidth="1"/>
    <col min="5653" max="5653" width="0" hidden="1" customWidth="1"/>
    <col min="5654" max="5654" width="9.5546875" customWidth="1"/>
    <col min="5655" max="5655" width="10.109375" customWidth="1"/>
    <col min="5656" max="5656" width="11.44140625" bestFit="1" customWidth="1"/>
    <col min="5657" max="5657" width="16.5546875" bestFit="1" customWidth="1"/>
    <col min="5658" max="5658" width="12.5546875" bestFit="1" customWidth="1"/>
    <col min="5659" max="5659" width="11.6640625" customWidth="1"/>
    <col min="5660" max="5660" width="10.88671875" bestFit="1" customWidth="1"/>
    <col min="5661" max="5661" width="12" customWidth="1"/>
    <col min="5889" max="5889" width="17.44140625" bestFit="1" customWidth="1"/>
    <col min="5890" max="5890" width="15.88671875" bestFit="1" customWidth="1"/>
    <col min="5891" max="5892" width="0" hidden="1" customWidth="1"/>
    <col min="5893" max="5893" width="22.33203125" customWidth="1"/>
    <col min="5894" max="5894" width="6" customWidth="1"/>
    <col min="5895" max="5895" width="10.6640625" bestFit="1" customWidth="1"/>
    <col min="5896" max="5896" width="11.5546875" customWidth="1"/>
    <col min="5897" max="5897" width="11.44140625" customWidth="1"/>
    <col min="5898" max="5898" width="9.88671875" customWidth="1"/>
    <col min="5899" max="5899" width="10.6640625" customWidth="1"/>
    <col min="5900" max="5900" width="9.44140625" customWidth="1"/>
    <col min="5901" max="5901" width="11" customWidth="1"/>
    <col min="5902" max="5902" width="8.44140625" customWidth="1"/>
    <col min="5903" max="5903" width="10.44140625" bestFit="1" customWidth="1"/>
    <col min="5905" max="5905" width="7.44140625" customWidth="1"/>
    <col min="5906" max="5908" width="11.5546875" customWidth="1"/>
    <col min="5909" max="5909" width="0" hidden="1" customWidth="1"/>
    <col min="5910" max="5910" width="9.5546875" customWidth="1"/>
    <col min="5911" max="5911" width="10.109375" customWidth="1"/>
    <col min="5912" max="5912" width="11.44140625" bestFit="1" customWidth="1"/>
    <col min="5913" max="5913" width="16.5546875" bestFit="1" customWidth="1"/>
    <col min="5914" max="5914" width="12.5546875" bestFit="1" customWidth="1"/>
    <col min="5915" max="5915" width="11.6640625" customWidth="1"/>
    <col min="5916" max="5916" width="10.88671875" bestFit="1" customWidth="1"/>
    <col min="5917" max="5917" width="12" customWidth="1"/>
    <col min="6145" max="6145" width="17.44140625" bestFit="1" customWidth="1"/>
    <col min="6146" max="6146" width="15.88671875" bestFit="1" customWidth="1"/>
    <col min="6147" max="6148" width="0" hidden="1" customWidth="1"/>
    <col min="6149" max="6149" width="22.33203125" customWidth="1"/>
    <col min="6150" max="6150" width="6" customWidth="1"/>
    <col min="6151" max="6151" width="10.6640625" bestFit="1" customWidth="1"/>
    <col min="6152" max="6152" width="11.5546875" customWidth="1"/>
    <col min="6153" max="6153" width="11.44140625" customWidth="1"/>
    <col min="6154" max="6154" width="9.88671875" customWidth="1"/>
    <col min="6155" max="6155" width="10.6640625" customWidth="1"/>
    <col min="6156" max="6156" width="9.44140625" customWidth="1"/>
    <col min="6157" max="6157" width="11" customWidth="1"/>
    <col min="6158" max="6158" width="8.44140625" customWidth="1"/>
    <col min="6159" max="6159" width="10.44140625" bestFit="1" customWidth="1"/>
    <col min="6161" max="6161" width="7.44140625" customWidth="1"/>
    <col min="6162" max="6164" width="11.5546875" customWidth="1"/>
    <col min="6165" max="6165" width="0" hidden="1" customWidth="1"/>
    <col min="6166" max="6166" width="9.5546875" customWidth="1"/>
    <col min="6167" max="6167" width="10.109375" customWidth="1"/>
    <col min="6168" max="6168" width="11.44140625" bestFit="1" customWidth="1"/>
    <col min="6169" max="6169" width="16.5546875" bestFit="1" customWidth="1"/>
    <col min="6170" max="6170" width="12.5546875" bestFit="1" customWidth="1"/>
    <col min="6171" max="6171" width="11.6640625" customWidth="1"/>
    <col min="6172" max="6172" width="10.88671875" bestFit="1" customWidth="1"/>
    <col min="6173" max="6173" width="12" customWidth="1"/>
    <col min="6401" max="6401" width="17.44140625" bestFit="1" customWidth="1"/>
    <col min="6402" max="6402" width="15.88671875" bestFit="1" customWidth="1"/>
    <col min="6403" max="6404" width="0" hidden="1" customWidth="1"/>
    <col min="6405" max="6405" width="22.33203125" customWidth="1"/>
    <col min="6406" max="6406" width="6" customWidth="1"/>
    <col min="6407" max="6407" width="10.6640625" bestFit="1" customWidth="1"/>
    <col min="6408" max="6408" width="11.5546875" customWidth="1"/>
    <col min="6409" max="6409" width="11.44140625" customWidth="1"/>
    <col min="6410" max="6410" width="9.88671875" customWidth="1"/>
    <col min="6411" max="6411" width="10.6640625" customWidth="1"/>
    <col min="6412" max="6412" width="9.44140625" customWidth="1"/>
    <col min="6413" max="6413" width="11" customWidth="1"/>
    <col min="6414" max="6414" width="8.44140625" customWidth="1"/>
    <col min="6415" max="6415" width="10.44140625" bestFit="1" customWidth="1"/>
    <col min="6417" max="6417" width="7.44140625" customWidth="1"/>
    <col min="6418" max="6420" width="11.5546875" customWidth="1"/>
    <col min="6421" max="6421" width="0" hidden="1" customWidth="1"/>
    <col min="6422" max="6422" width="9.5546875" customWidth="1"/>
    <col min="6423" max="6423" width="10.109375" customWidth="1"/>
    <col min="6424" max="6424" width="11.44140625" bestFit="1" customWidth="1"/>
    <col min="6425" max="6425" width="16.5546875" bestFit="1" customWidth="1"/>
    <col min="6426" max="6426" width="12.5546875" bestFit="1" customWidth="1"/>
    <col min="6427" max="6427" width="11.6640625" customWidth="1"/>
    <col min="6428" max="6428" width="10.88671875" bestFit="1" customWidth="1"/>
    <col min="6429" max="6429" width="12" customWidth="1"/>
    <col min="6657" max="6657" width="17.44140625" bestFit="1" customWidth="1"/>
    <col min="6658" max="6658" width="15.88671875" bestFit="1" customWidth="1"/>
    <col min="6659" max="6660" width="0" hidden="1" customWidth="1"/>
    <col min="6661" max="6661" width="22.33203125" customWidth="1"/>
    <col min="6662" max="6662" width="6" customWidth="1"/>
    <col min="6663" max="6663" width="10.6640625" bestFit="1" customWidth="1"/>
    <col min="6664" max="6664" width="11.5546875" customWidth="1"/>
    <col min="6665" max="6665" width="11.44140625" customWidth="1"/>
    <col min="6666" max="6666" width="9.88671875" customWidth="1"/>
    <col min="6667" max="6667" width="10.6640625" customWidth="1"/>
    <col min="6668" max="6668" width="9.44140625" customWidth="1"/>
    <col min="6669" max="6669" width="11" customWidth="1"/>
    <col min="6670" max="6670" width="8.44140625" customWidth="1"/>
    <col min="6671" max="6671" width="10.44140625" bestFit="1" customWidth="1"/>
    <col min="6673" max="6673" width="7.44140625" customWidth="1"/>
    <col min="6674" max="6676" width="11.5546875" customWidth="1"/>
    <col min="6677" max="6677" width="0" hidden="1" customWidth="1"/>
    <col min="6678" max="6678" width="9.5546875" customWidth="1"/>
    <col min="6679" max="6679" width="10.109375" customWidth="1"/>
    <col min="6680" max="6680" width="11.44140625" bestFit="1" customWidth="1"/>
    <col min="6681" max="6681" width="16.5546875" bestFit="1" customWidth="1"/>
    <col min="6682" max="6682" width="12.5546875" bestFit="1" customWidth="1"/>
    <col min="6683" max="6683" width="11.6640625" customWidth="1"/>
    <col min="6684" max="6684" width="10.88671875" bestFit="1" customWidth="1"/>
    <col min="6685" max="6685" width="12" customWidth="1"/>
    <col min="6913" max="6913" width="17.44140625" bestFit="1" customWidth="1"/>
    <col min="6914" max="6914" width="15.88671875" bestFit="1" customWidth="1"/>
    <col min="6915" max="6916" width="0" hidden="1" customWidth="1"/>
    <col min="6917" max="6917" width="22.33203125" customWidth="1"/>
    <col min="6918" max="6918" width="6" customWidth="1"/>
    <col min="6919" max="6919" width="10.6640625" bestFit="1" customWidth="1"/>
    <col min="6920" max="6920" width="11.5546875" customWidth="1"/>
    <col min="6921" max="6921" width="11.44140625" customWidth="1"/>
    <col min="6922" max="6922" width="9.88671875" customWidth="1"/>
    <col min="6923" max="6923" width="10.6640625" customWidth="1"/>
    <col min="6924" max="6924" width="9.44140625" customWidth="1"/>
    <col min="6925" max="6925" width="11" customWidth="1"/>
    <col min="6926" max="6926" width="8.44140625" customWidth="1"/>
    <col min="6927" max="6927" width="10.44140625" bestFit="1" customWidth="1"/>
    <col min="6929" max="6929" width="7.44140625" customWidth="1"/>
    <col min="6930" max="6932" width="11.5546875" customWidth="1"/>
    <col min="6933" max="6933" width="0" hidden="1" customWidth="1"/>
    <col min="6934" max="6934" width="9.5546875" customWidth="1"/>
    <col min="6935" max="6935" width="10.109375" customWidth="1"/>
    <col min="6936" max="6936" width="11.44140625" bestFit="1" customWidth="1"/>
    <col min="6937" max="6937" width="16.5546875" bestFit="1" customWidth="1"/>
    <col min="6938" max="6938" width="12.5546875" bestFit="1" customWidth="1"/>
    <col min="6939" max="6939" width="11.6640625" customWidth="1"/>
    <col min="6940" max="6940" width="10.88671875" bestFit="1" customWidth="1"/>
    <col min="6941" max="6941" width="12" customWidth="1"/>
    <col min="7169" max="7169" width="17.44140625" bestFit="1" customWidth="1"/>
    <col min="7170" max="7170" width="15.88671875" bestFit="1" customWidth="1"/>
    <col min="7171" max="7172" width="0" hidden="1" customWidth="1"/>
    <col min="7173" max="7173" width="22.33203125" customWidth="1"/>
    <col min="7174" max="7174" width="6" customWidth="1"/>
    <col min="7175" max="7175" width="10.6640625" bestFit="1" customWidth="1"/>
    <col min="7176" max="7176" width="11.5546875" customWidth="1"/>
    <col min="7177" max="7177" width="11.44140625" customWidth="1"/>
    <col min="7178" max="7178" width="9.88671875" customWidth="1"/>
    <col min="7179" max="7179" width="10.6640625" customWidth="1"/>
    <col min="7180" max="7180" width="9.44140625" customWidth="1"/>
    <col min="7181" max="7181" width="11" customWidth="1"/>
    <col min="7182" max="7182" width="8.44140625" customWidth="1"/>
    <col min="7183" max="7183" width="10.44140625" bestFit="1" customWidth="1"/>
    <col min="7185" max="7185" width="7.44140625" customWidth="1"/>
    <col min="7186" max="7188" width="11.5546875" customWidth="1"/>
    <col min="7189" max="7189" width="0" hidden="1" customWidth="1"/>
    <col min="7190" max="7190" width="9.5546875" customWidth="1"/>
    <col min="7191" max="7191" width="10.109375" customWidth="1"/>
    <col min="7192" max="7192" width="11.44140625" bestFit="1" customWidth="1"/>
    <col min="7193" max="7193" width="16.5546875" bestFit="1" customWidth="1"/>
    <col min="7194" max="7194" width="12.5546875" bestFit="1" customWidth="1"/>
    <col min="7195" max="7195" width="11.6640625" customWidth="1"/>
    <col min="7196" max="7196" width="10.88671875" bestFit="1" customWidth="1"/>
    <col min="7197" max="7197" width="12" customWidth="1"/>
    <col min="7425" max="7425" width="17.44140625" bestFit="1" customWidth="1"/>
    <col min="7426" max="7426" width="15.88671875" bestFit="1" customWidth="1"/>
    <col min="7427" max="7428" width="0" hidden="1" customWidth="1"/>
    <col min="7429" max="7429" width="22.33203125" customWidth="1"/>
    <col min="7430" max="7430" width="6" customWidth="1"/>
    <col min="7431" max="7431" width="10.6640625" bestFit="1" customWidth="1"/>
    <col min="7432" max="7432" width="11.5546875" customWidth="1"/>
    <col min="7433" max="7433" width="11.44140625" customWidth="1"/>
    <col min="7434" max="7434" width="9.88671875" customWidth="1"/>
    <col min="7435" max="7435" width="10.6640625" customWidth="1"/>
    <col min="7436" max="7436" width="9.44140625" customWidth="1"/>
    <col min="7437" max="7437" width="11" customWidth="1"/>
    <col min="7438" max="7438" width="8.44140625" customWidth="1"/>
    <col min="7439" max="7439" width="10.44140625" bestFit="1" customWidth="1"/>
    <col min="7441" max="7441" width="7.44140625" customWidth="1"/>
    <col min="7442" max="7444" width="11.5546875" customWidth="1"/>
    <col min="7445" max="7445" width="0" hidden="1" customWidth="1"/>
    <col min="7446" max="7446" width="9.5546875" customWidth="1"/>
    <col min="7447" max="7447" width="10.109375" customWidth="1"/>
    <col min="7448" max="7448" width="11.44140625" bestFit="1" customWidth="1"/>
    <col min="7449" max="7449" width="16.5546875" bestFit="1" customWidth="1"/>
    <col min="7450" max="7450" width="12.5546875" bestFit="1" customWidth="1"/>
    <col min="7451" max="7451" width="11.6640625" customWidth="1"/>
    <col min="7452" max="7452" width="10.88671875" bestFit="1" customWidth="1"/>
    <col min="7453" max="7453" width="12" customWidth="1"/>
    <col min="7681" max="7681" width="17.44140625" bestFit="1" customWidth="1"/>
    <col min="7682" max="7682" width="15.88671875" bestFit="1" customWidth="1"/>
    <col min="7683" max="7684" width="0" hidden="1" customWidth="1"/>
    <col min="7685" max="7685" width="22.33203125" customWidth="1"/>
    <col min="7686" max="7686" width="6" customWidth="1"/>
    <col min="7687" max="7687" width="10.6640625" bestFit="1" customWidth="1"/>
    <col min="7688" max="7688" width="11.5546875" customWidth="1"/>
    <col min="7689" max="7689" width="11.44140625" customWidth="1"/>
    <col min="7690" max="7690" width="9.88671875" customWidth="1"/>
    <col min="7691" max="7691" width="10.6640625" customWidth="1"/>
    <col min="7692" max="7692" width="9.44140625" customWidth="1"/>
    <col min="7693" max="7693" width="11" customWidth="1"/>
    <col min="7694" max="7694" width="8.44140625" customWidth="1"/>
    <col min="7695" max="7695" width="10.44140625" bestFit="1" customWidth="1"/>
    <col min="7697" max="7697" width="7.44140625" customWidth="1"/>
    <col min="7698" max="7700" width="11.5546875" customWidth="1"/>
    <col min="7701" max="7701" width="0" hidden="1" customWidth="1"/>
    <col min="7702" max="7702" width="9.5546875" customWidth="1"/>
    <col min="7703" max="7703" width="10.109375" customWidth="1"/>
    <col min="7704" max="7704" width="11.44140625" bestFit="1" customWidth="1"/>
    <col min="7705" max="7705" width="16.5546875" bestFit="1" customWidth="1"/>
    <col min="7706" max="7706" width="12.5546875" bestFit="1" customWidth="1"/>
    <col min="7707" max="7707" width="11.6640625" customWidth="1"/>
    <col min="7708" max="7708" width="10.88671875" bestFit="1" customWidth="1"/>
    <col min="7709" max="7709" width="12" customWidth="1"/>
    <col min="7937" max="7937" width="17.44140625" bestFit="1" customWidth="1"/>
    <col min="7938" max="7938" width="15.88671875" bestFit="1" customWidth="1"/>
    <col min="7939" max="7940" width="0" hidden="1" customWidth="1"/>
    <col min="7941" max="7941" width="22.33203125" customWidth="1"/>
    <col min="7942" max="7942" width="6" customWidth="1"/>
    <col min="7943" max="7943" width="10.6640625" bestFit="1" customWidth="1"/>
    <col min="7944" max="7944" width="11.5546875" customWidth="1"/>
    <col min="7945" max="7945" width="11.44140625" customWidth="1"/>
    <col min="7946" max="7946" width="9.88671875" customWidth="1"/>
    <col min="7947" max="7947" width="10.6640625" customWidth="1"/>
    <col min="7948" max="7948" width="9.44140625" customWidth="1"/>
    <col min="7949" max="7949" width="11" customWidth="1"/>
    <col min="7950" max="7950" width="8.44140625" customWidth="1"/>
    <col min="7951" max="7951" width="10.44140625" bestFit="1" customWidth="1"/>
    <col min="7953" max="7953" width="7.44140625" customWidth="1"/>
    <col min="7954" max="7956" width="11.5546875" customWidth="1"/>
    <col min="7957" max="7957" width="0" hidden="1" customWidth="1"/>
    <col min="7958" max="7958" width="9.5546875" customWidth="1"/>
    <col min="7959" max="7959" width="10.109375" customWidth="1"/>
    <col min="7960" max="7960" width="11.44140625" bestFit="1" customWidth="1"/>
    <col min="7961" max="7961" width="16.5546875" bestFit="1" customWidth="1"/>
    <col min="7962" max="7962" width="12.5546875" bestFit="1" customWidth="1"/>
    <col min="7963" max="7963" width="11.6640625" customWidth="1"/>
    <col min="7964" max="7964" width="10.88671875" bestFit="1" customWidth="1"/>
    <col min="7965" max="7965" width="12" customWidth="1"/>
    <col min="8193" max="8193" width="17.44140625" bestFit="1" customWidth="1"/>
    <col min="8194" max="8194" width="15.88671875" bestFit="1" customWidth="1"/>
    <col min="8195" max="8196" width="0" hidden="1" customWidth="1"/>
    <col min="8197" max="8197" width="22.33203125" customWidth="1"/>
    <col min="8198" max="8198" width="6" customWidth="1"/>
    <col min="8199" max="8199" width="10.6640625" bestFit="1" customWidth="1"/>
    <col min="8200" max="8200" width="11.5546875" customWidth="1"/>
    <col min="8201" max="8201" width="11.44140625" customWidth="1"/>
    <col min="8202" max="8202" width="9.88671875" customWidth="1"/>
    <col min="8203" max="8203" width="10.6640625" customWidth="1"/>
    <col min="8204" max="8204" width="9.44140625" customWidth="1"/>
    <col min="8205" max="8205" width="11" customWidth="1"/>
    <col min="8206" max="8206" width="8.44140625" customWidth="1"/>
    <col min="8207" max="8207" width="10.44140625" bestFit="1" customWidth="1"/>
    <col min="8209" max="8209" width="7.44140625" customWidth="1"/>
    <col min="8210" max="8212" width="11.5546875" customWidth="1"/>
    <col min="8213" max="8213" width="0" hidden="1" customWidth="1"/>
    <col min="8214" max="8214" width="9.5546875" customWidth="1"/>
    <col min="8215" max="8215" width="10.109375" customWidth="1"/>
    <col min="8216" max="8216" width="11.44140625" bestFit="1" customWidth="1"/>
    <col min="8217" max="8217" width="16.5546875" bestFit="1" customWidth="1"/>
    <col min="8218" max="8218" width="12.5546875" bestFit="1" customWidth="1"/>
    <col min="8219" max="8219" width="11.6640625" customWidth="1"/>
    <col min="8220" max="8220" width="10.88671875" bestFit="1" customWidth="1"/>
    <col min="8221" max="8221" width="12" customWidth="1"/>
    <col min="8449" max="8449" width="17.44140625" bestFit="1" customWidth="1"/>
    <col min="8450" max="8450" width="15.88671875" bestFit="1" customWidth="1"/>
    <col min="8451" max="8452" width="0" hidden="1" customWidth="1"/>
    <col min="8453" max="8453" width="22.33203125" customWidth="1"/>
    <col min="8454" max="8454" width="6" customWidth="1"/>
    <col min="8455" max="8455" width="10.6640625" bestFit="1" customWidth="1"/>
    <col min="8456" max="8456" width="11.5546875" customWidth="1"/>
    <col min="8457" max="8457" width="11.44140625" customWidth="1"/>
    <col min="8458" max="8458" width="9.88671875" customWidth="1"/>
    <col min="8459" max="8459" width="10.6640625" customWidth="1"/>
    <col min="8460" max="8460" width="9.44140625" customWidth="1"/>
    <col min="8461" max="8461" width="11" customWidth="1"/>
    <col min="8462" max="8462" width="8.44140625" customWidth="1"/>
    <col min="8463" max="8463" width="10.44140625" bestFit="1" customWidth="1"/>
    <col min="8465" max="8465" width="7.44140625" customWidth="1"/>
    <col min="8466" max="8468" width="11.5546875" customWidth="1"/>
    <col min="8469" max="8469" width="0" hidden="1" customWidth="1"/>
    <col min="8470" max="8470" width="9.5546875" customWidth="1"/>
    <col min="8471" max="8471" width="10.109375" customWidth="1"/>
    <col min="8472" max="8472" width="11.44140625" bestFit="1" customWidth="1"/>
    <col min="8473" max="8473" width="16.5546875" bestFit="1" customWidth="1"/>
    <col min="8474" max="8474" width="12.5546875" bestFit="1" customWidth="1"/>
    <col min="8475" max="8475" width="11.6640625" customWidth="1"/>
    <col min="8476" max="8476" width="10.88671875" bestFit="1" customWidth="1"/>
    <col min="8477" max="8477" width="12" customWidth="1"/>
    <col min="8705" max="8705" width="17.44140625" bestFit="1" customWidth="1"/>
    <col min="8706" max="8706" width="15.88671875" bestFit="1" customWidth="1"/>
    <col min="8707" max="8708" width="0" hidden="1" customWidth="1"/>
    <col min="8709" max="8709" width="22.33203125" customWidth="1"/>
    <col min="8710" max="8710" width="6" customWidth="1"/>
    <col min="8711" max="8711" width="10.6640625" bestFit="1" customWidth="1"/>
    <col min="8712" max="8712" width="11.5546875" customWidth="1"/>
    <col min="8713" max="8713" width="11.44140625" customWidth="1"/>
    <col min="8714" max="8714" width="9.88671875" customWidth="1"/>
    <col min="8715" max="8715" width="10.6640625" customWidth="1"/>
    <col min="8716" max="8716" width="9.44140625" customWidth="1"/>
    <col min="8717" max="8717" width="11" customWidth="1"/>
    <col min="8718" max="8718" width="8.44140625" customWidth="1"/>
    <col min="8719" max="8719" width="10.44140625" bestFit="1" customWidth="1"/>
    <col min="8721" max="8721" width="7.44140625" customWidth="1"/>
    <col min="8722" max="8724" width="11.5546875" customWidth="1"/>
    <col min="8725" max="8725" width="0" hidden="1" customWidth="1"/>
    <col min="8726" max="8726" width="9.5546875" customWidth="1"/>
    <col min="8727" max="8727" width="10.109375" customWidth="1"/>
    <col min="8728" max="8728" width="11.44140625" bestFit="1" customWidth="1"/>
    <col min="8729" max="8729" width="16.5546875" bestFit="1" customWidth="1"/>
    <col min="8730" max="8730" width="12.5546875" bestFit="1" customWidth="1"/>
    <col min="8731" max="8731" width="11.6640625" customWidth="1"/>
    <col min="8732" max="8732" width="10.88671875" bestFit="1" customWidth="1"/>
    <col min="8733" max="8733" width="12" customWidth="1"/>
    <col min="8961" max="8961" width="17.44140625" bestFit="1" customWidth="1"/>
    <col min="8962" max="8962" width="15.88671875" bestFit="1" customWidth="1"/>
    <col min="8963" max="8964" width="0" hidden="1" customWidth="1"/>
    <col min="8965" max="8965" width="22.33203125" customWidth="1"/>
    <col min="8966" max="8966" width="6" customWidth="1"/>
    <col min="8967" max="8967" width="10.6640625" bestFit="1" customWidth="1"/>
    <col min="8968" max="8968" width="11.5546875" customWidth="1"/>
    <col min="8969" max="8969" width="11.44140625" customWidth="1"/>
    <col min="8970" max="8970" width="9.88671875" customWidth="1"/>
    <col min="8971" max="8971" width="10.6640625" customWidth="1"/>
    <col min="8972" max="8972" width="9.44140625" customWidth="1"/>
    <col min="8973" max="8973" width="11" customWidth="1"/>
    <col min="8974" max="8974" width="8.44140625" customWidth="1"/>
    <col min="8975" max="8975" width="10.44140625" bestFit="1" customWidth="1"/>
    <col min="8977" max="8977" width="7.44140625" customWidth="1"/>
    <col min="8978" max="8980" width="11.5546875" customWidth="1"/>
    <col min="8981" max="8981" width="0" hidden="1" customWidth="1"/>
    <col min="8982" max="8982" width="9.5546875" customWidth="1"/>
    <col min="8983" max="8983" width="10.109375" customWidth="1"/>
    <col min="8984" max="8984" width="11.44140625" bestFit="1" customWidth="1"/>
    <col min="8985" max="8985" width="16.5546875" bestFit="1" customWidth="1"/>
    <col min="8986" max="8986" width="12.5546875" bestFit="1" customWidth="1"/>
    <col min="8987" max="8987" width="11.6640625" customWidth="1"/>
    <col min="8988" max="8988" width="10.88671875" bestFit="1" customWidth="1"/>
    <col min="8989" max="8989" width="12" customWidth="1"/>
    <col min="9217" max="9217" width="17.44140625" bestFit="1" customWidth="1"/>
    <col min="9218" max="9218" width="15.88671875" bestFit="1" customWidth="1"/>
    <col min="9219" max="9220" width="0" hidden="1" customWidth="1"/>
    <col min="9221" max="9221" width="22.33203125" customWidth="1"/>
    <col min="9222" max="9222" width="6" customWidth="1"/>
    <col min="9223" max="9223" width="10.6640625" bestFit="1" customWidth="1"/>
    <col min="9224" max="9224" width="11.5546875" customWidth="1"/>
    <col min="9225" max="9225" width="11.44140625" customWidth="1"/>
    <col min="9226" max="9226" width="9.88671875" customWidth="1"/>
    <col min="9227" max="9227" width="10.6640625" customWidth="1"/>
    <col min="9228" max="9228" width="9.44140625" customWidth="1"/>
    <col min="9229" max="9229" width="11" customWidth="1"/>
    <col min="9230" max="9230" width="8.44140625" customWidth="1"/>
    <col min="9231" max="9231" width="10.44140625" bestFit="1" customWidth="1"/>
    <col min="9233" max="9233" width="7.44140625" customWidth="1"/>
    <col min="9234" max="9236" width="11.5546875" customWidth="1"/>
    <col min="9237" max="9237" width="0" hidden="1" customWidth="1"/>
    <col min="9238" max="9238" width="9.5546875" customWidth="1"/>
    <col min="9239" max="9239" width="10.109375" customWidth="1"/>
    <col min="9240" max="9240" width="11.44140625" bestFit="1" customWidth="1"/>
    <col min="9241" max="9241" width="16.5546875" bestFit="1" customWidth="1"/>
    <col min="9242" max="9242" width="12.5546875" bestFit="1" customWidth="1"/>
    <col min="9243" max="9243" width="11.6640625" customWidth="1"/>
    <col min="9244" max="9244" width="10.88671875" bestFit="1" customWidth="1"/>
    <col min="9245" max="9245" width="12" customWidth="1"/>
    <col min="9473" max="9473" width="17.44140625" bestFit="1" customWidth="1"/>
    <col min="9474" max="9474" width="15.88671875" bestFit="1" customWidth="1"/>
    <col min="9475" max="9476" width="0" hidden="1" customWidth="1"/>
    <col min="9477" max="9477" width="22.33203125" customWidth="1"/>
    <col min="9478" max="9478" width="6" customWidth="1"/>
    <col min="9479" max="9479" width="10.6640625" bestFit="1" customWidth="1"/>
    <col min="9480" max="9480" width="11.5546875" customWidth="1"/>
    <col min="9481" max="9481" width="11.44140625" customWidth="1"/>
    <col min="9482" max="9482" width="9.88671875" customWidth="1"/>
    <col min="9483" max="9483" width="10.6640625" customWidth="1"/>
    <col min="9484" max="9484" width="9.44140625" customWidth="1"/>
    <col min="9485" max="9485" width="11" customWidth="1"/>
    <col min="9486" max="9486" width="8.44140625" customWidth="1"/>
    <col min="9487" max="9487" width="10.44140625" bestFit="1" customWidth="1"/>
    <col min="9489" max="9489" width="7.44140625" customWidth="1"/>
    <col min="9490" max="9492" width="11.5546875" customWidth="1"/>
    <col min="9493" max="9493" width="0" hidden="1" customWidth="1"/>
    <col min="9494" max="9494" width="9.5546875" customWidth="1"/>
    <col min="9495" max="9495" width="10.109375" customWidth="1"/>
    <col min="9496" max="9496" width="11.44140625" bestFit="1" customWidth="1"/>
    <col min="9497" max="9497" width="16.5546875" bestFit="1" customWidth="1"/>
    <col min="9498" max="9498" width="12.5546875" bestFit="1" customWidth="1"/>
    <col min="9499" max="9499" width="11.6640625" customWidth="1"/>
    <col min="9500" max="9500" width="10.88671875" bestFit="1" customWidth="1"/>
    <col min="9501" max="9501" width="12" customWidth="1"/>
    <col min="9729" max="9729" width="17.44140625" bestFit="1" customWidth="1"/>
    <col min="9730" max="9730" width="15.88671875" bestFit="1" customWidth="1"/>
    <col min="9731" max="9732" width="0" hidden="1" customWidth="1"/>
    <col min="9733" max="9733" width="22.33203125" customWidth="1"/>
    <col min="9734" max="9734" width="6" customWidth="1"/>
    <col min="9735" max="9735" width="10.6640625" bestFit="1" customWidth="1"/>
    <col min="9736" max="9736" width="11.5546875" customWidth="1"/>
    <col min="9737" max="9737" width="11.44140625" customWidth="1"/>
    <col min="9738" max="9738" width="9.88671875" customWidth="1"/>
    <col min="9739" max="9739" width="10.6640625" customWidth="1"/>
    <col min="9740" max="9740" width="9.44140625" customWidth="1"/>
    <col min="9741" max="9741" width="11" customWidth="1"/>
    <col min="9742" max="9742" width="8.44140625" customWidth="1"/>
    <col min="9743" max="9743" width="10.44140625" bestFit="1" customWidth="1"/>
    <col min="9745" max="9745" width="7.44140625" customWidth="1"/>
    <col min="9746" max="9748" width="11.5546875" customWidth="1"/>
    <col min="9749" max="9749" width="0" hidden="1" customWidth="1"/>
    <col min="9750" max="9750" width="9.5546875" customWidth="1"/>
    <col min="9751" max="9751" width="10.109375" customWidth="1"/>
    <col min="9752" max="9752" width="11.44140625" bestFit="1" customWidth="1"/>
    <col min="9753" max="9753" width="16.5546875" bestFit="1" customWidth="1"/>
    <col min="9754" max="9754" width="12.5546875" bestFit="1" customWidth="1"/>
    <col min="9755" max="9755" width="11.6640625" customWidth="1"/>
    <col min="9756" max="9756" width="10.88671875" bestFit="1" customWidth="1"/>
    <col min="9757" max="9757" width="12" customWidth="1"/>
    <col min="9985" max="9985" width="17.44140625" bestFit="1" customWidth="1"/>
    <col min="9986" max="9986" width="15.88671875" bestFit="1" customWidth="1"/>
    <col min="9987" max="9988" width="0" hidden="1" customWidth="1"/>
    <col min="9989" max="9989" width="22.33203125" customWidth="1"/>
    <col min="9990" max="9990" width="6" customWidth="1"/>
    <col min="9991" max="9991" width="10.6640625" bestFit="1" customWidth="1"/>
    <col min="9992" max="9992" width="11.5546875" customWidth="1"/>
    <col min="9993" max="9993" width="11.44140625" customWidth="1"/>
    <col min="9994" max="9994" width="9.88671875" customWidth="1"/>
    <col min="9995" max="9995" width="10.6640625" customWidth="1"/>
    <col min="9996" max="9996" width="9.44140625" customWidth="1"/>
    <col min="9997" max="9997" width="11" customWidth="1"/>
    <col min="9998" max="9998" width="8.44140625" customWidth="1"/>
    <col min="9999" max="9999" width="10.44140625" bestFit="1" customWidth="1"/>
    <col min="10001" max="10001" width="7.44140625" customWidth="1"/>
    <col min="10002" max="10004" width="11.5546875" customWidth="1"/>
    <col min="10005" max="10005" width="0" hidden="1" customWidth="1"/>
    <col min="10006" max="10006" width="9.5546875" customWidth="1"/>
    <col min="10007" max="10007" width="10.109375" customWidth="1"/>
    <col min="10008" max="10008" width="11.44140625" bestFit="1" customWidth="1"/>
    <col min="10009" max="10009" width="16.5546875" bestFit="1" customWidth="1"/>
    <col min="10010" max="10010" width="12.5546875" bestFit="1" customWidth="1"/>
    <col min="10011" max="10011" width="11.6640625" customWidth="1"/>
    <col min="10012" max="10012" width="10.88671875" bestFit="1" customWidth="1"/>
    <col min="10013" max="10013" width="12" customWidth="1"/>
    <col min="10241" max="10241" width="17.44140625" bestFit="1" customWidth="1"/>
    <col min="10242" max="10242" width="15.88671875" bestFit="1" customWidth="1"/>
    <col min="10243" max="10244" width="0" hidden="1" customWidth="1"/>
    <col min="10245" max="10245" width="22.33203125" customWidth="1"/>
    <col min="10246" max="10246" width="6" customWidth="1"/>
    <col min="10247" max="10247" width="10.6640625" bestFit="1" customWidth="1"/>
    <col min="10248" max="10248" width="11.5546875" customWidth="1"/>
    <col min="10249" max="10249" width="11.44140625" customWidth="1"/>
    <col min="10250" max="10250" width="9.88671875" customWidth="1"/>
    <col min="10251" max="10251" width="10.6640625" customWidth="1"/>
    <col min="10252" max="10252" width="9.44140625" customWidth="1"/>
    <col min="10253" max="10253" width="11" customWidth="1"/>
    <col min="10254" max="10254" width="8.44140625" customWidth="1"/>
    <col min="10255" max="10255" width="10.44140625" bestFit="1" customWidth="1"/>
    <col min="10257" max="10257" width="7.44140625" customWidth="1"/>
    <col min="10258" max="10260" width="11.5546875" customWidth="1"/>
    <col min="10261" max="10261" width="0" hidden="1" customWidth="1"/>
    <col min="10262" max="10262" width="9.5546875" customWidth="1"/>
    <col min="10263" max="10263" width="10.109375" customWidth="1"/>
    <col min="10264" max="10264" width="11.44140625" bestFit="1" customWidth="1"/>
    <col min="10265" max="10265" width="16.5546875" bestFit="1" customWidth="1"/>
    <col min="10266" max="10266" width="12.5546875" bestFit="1" customWidth="1"/>
    <col min="10267" max="10267" width="11.6640625" customWidth="1"/>
    <col min="10268" max="10268" width="10.88671875" bestFit="1" customWidth="1"/>
    <col min="10269" max="10269" width="12" customWidth="1"/>
    <col min="10497" max="10497" width="17.44140625" bestFit="1" customWidth="1"/>
    <col min="10498" max="10498" width="15.88671875" bestFit="1" customWidth="1"/>
    <col min="10499" max="10500" width="0" hidden="1" customWidth="1"/>
    <col min="10501" max="10501" width="22.33203125" customWidth="1"/>
    <col min="10502" max="10502" width="6" customWidth="1"/>
    <col min="10503" max="10503" width="10.6640625" bestFit="1" customWidth="1"/>
    <col min="10504" max="10504" width="11.5546875" customWidth="1"/>
    <col min="10505" max="10505" width="11.44140625" customWidth="1"/>
    <col min="10506" max="10506" width="9.88671875" customWidth="1"/>
    <col min="10507" max="10507" width="10.6640625" customWidth="1"/>
    <col min="10508" max="10508" width="9.44140625" customWidth="1"/>
    <col min="10509" max="10509" width="11" customWidth="1"/>
    <col min="10510" max="10510" width="8.44140625" customWidth="1"/>
    <col min="10511" max="10511" width="10.44140625" bestFit="1" customWidth="1"/>
    <col min="10513" max="10513" width="7.44140625" customWidth="1"/>
    <col min="10514" max="10516" width="11.5546875" customWidth="1"/>
    <col min="10517" max="10517" width="0" hidden="1" customWidth="1"/>
    <col min="10518" max="10518" width="9.5546875" customWidth="1"/>
    <col min="10519" max="10519" width="10.109375" customWidth="1"/>
    <col min="10520" max="10520" width="11.44140625" bestFit="1" customWidth="1"/>
    <col min="10521" max="10521" width="16.5546875" bestFit="1" customWidth="1"/>
    <col min="10522" max="10522" width="12.5546875" bestFit="1" customWidth="1"/>
    <col min="10523" max="10523" width="11.6640625" customWidth="1"/>
    <col min="10524" max="10524" width="10.88671875" bestFit="1" customWidth="1"/>
    <col min="10525" max="10525" width="12" customWidth="1"/>
    <col min="10753" max="10753" width="17.44140625" bestFit="1" customWidth="1"/>
    <col min="10754" max="10754" width="15.88671875" bestFit="1" customWidth="1"/>
    <col min="10755" max="10756" width="0" hidden="1" customWidth="1"/>
    <col min="10757" max="10757" width="22.33203125" customWidth="1"/>
    <col min="10758" max="10758" width="6" customWidth="1"/>
    <col min="10759" max="10759" width="10.6640625" bestFit="1" customWidth="1"/>
    <col min="10760" max="10760" width="11.5546875" customWidth="1"/>
    <col min="10761" max="10761" width="11.44140625" customWidth="1"/>
    <col min="10762" max="10762" width="9.88671875" customWidth="1"/>
    <col min="10763" max="10763" width="10.6640625" customWidth="1"/>
    <col min="10764" max="10764" width="9.44140625" customWidth="1"/>
    <col min="10765" max="10765" width="11" customWidth="1"/>
    <col min="10766" max="10766" width="8.44140625" customWidth="1"/>
    <col min="10767" max="10767" width="10.44140625" bestFit="1" customWidth="1"/>
    <col min="10769" max="10769" width="7.44140625" customWidth="1"/>
    <col min="10770" max="10772" width="11.5546875" customWidth="1"/>
    <col min="10773" max="10773" width="0" hidden="1" customWidth="1"/>
    <col min="10774" max="10774" width="9.5546875" customWidth="1"/>
    <col min="10775" max="10775" width="10.109375" customWidth="1"/>
    <col min="10776" max="10776" width="11.44140625" bestFit="1" customWidth="1"/>
    <col min="10777" max="10777" width="16.5546875" bestFit="1" customWidth="1"/>
    <col min="10778" max="10778" width="12.5546875" bestFit="1" customWidth="1"/>
    <col min="10779" max="10779" width="11.6640625" customWidth="1"/>
    <col min="10780" max="10780" width="10.88671875" bestFit="1" customWidth="1"/>
    <col min="10781" max="10781" width="12" customWidth="1"/>
    <col min="11009" max="11009" width="17.44140625" bestFit="1" customWidth="1"/>
    <col min="11010" max="11010" width="15.88671875" bestFit="1" customWidth="1"/>
    <col min="11011" max="11012" width="0" hidden="1" customWidth="1"/>
    <col min="11013" max="11013" width="22.33203125" customWidth="1"/>
    <col min="11014" max="11014" width="6" customWidth="1"/>
    <col min="11015" max="11015" width="10.6640625" bestFit="1" customWidth="1"/>
    <col min="11016" max="11016" width="11.5546875" customWidth="1"/>
    <col min="11017" max="11017" width="11.44140625" customWidth="1"/>
    <col min="11018" max="11018" width="9.88671875" customWidth="1"/>
    <col min="11019" max="11019" width="10.6640625" customWidth="1"/>
    <col min="11020" max="11020" width="9.44140625" customWidth="1"/>
    <col min="11021" max="11021" width="11" customWidth="1"/>
    <col min="11022" max="11022" width="8.44140625" customWidth="1"/>
    <col min="11023" max="11023" width="10.44140625" bestFit="1" customWidth="1"/>
    <col min="11025" max="11025" width="7.44140625" customWidth="1"/>
    <col min="11026" max="11028" width="11.5546875" customWidth="1"/>
    <col min="11029" max="11029" width="0" hidden="1" customWidth="1"/>
    <col min="11030" max="11030" width="9.5546875" customWidth="1"/>
    <col min="11031" max="11031" width="10.109375" customWidth="1"/>
    <col min="11032" max="11032" width="11.44140625" bestFit="1" customWidth="1"/>
    <col min="11033" max="11033" width="16.5546875" bestFit="1" customWidth="1"/>
    <col min="11034" max="11034" width="12.5546875" bestFit="1" customWidth="1"/>
    <col min="11035" max="11035" width="11.6640625" customWidth="1"/>
    <col min="11036" max="11036" width="10.88671875" bestFit="1" customWidth="1"/>
    <col min="11037" max="11037" width="12" customWidth="1"/>
    <col min="11265" max="11265" width="17.44140625" bestFit="1" customWidth="1"/>
    <col min="11266" max="11266" width="15.88671875" bestFit="1" customWidth="1"/>
    <col min="11267" max="11268" width="0" hidden="1" customWidth="1"/>
    <col min="11269" max="11269" width="22.33203125" customWidth="1"/>
    <col min="11270" max="11270" width="6" customWidth="1"/>
    <col min="11271" max="11271" width="10.6640625" bestFit="1" customWidth="1"/>
    <col min="11272" max="11272" width="11.5546875" customWidth="1"/>
    <col min="11273" max="11273" width="11.44140625" customWidth="1"/>
    <col min="11274" max="11274" width="9.88671875" customWidth="1"/>
    <col min="11275" max="11275" width="10.6640625" customWidth="1"/>
    <col min="11276" max="11276" width="9.44140625" customWidth="1"/>
    <col min="11277" max="11277" width="11" customWidth="1"/>
    <col min="11278" max="11278" width="8.44140625" customWidth="1"/>
    <col min="11279" max="11279" width="10.44140625" bestFit="1" customWidth="1"/>
    <col min="11281" max="11281" width="7.44140625" customWidth="1"/>
    <col min="11282" max="11284" width="11.5546875" customWidth="1"/>
    <col min="11285" max="11285" width="0" hidden="1" customWidth="1"/>
    <col min="11286" max="11286" width="9.5546875" customWidth="1"/>
    <col min="11287" max="11287" width="10.109375" customWidth="1"/>
    <col min="11288" max="11288" width="11.44140625" bestFit="1" customWidth="1"/>
    <col min="11289" max="11289" width="16.5546875" bestFit="1" customWidth="1"/>
    <col min="11290" max="11290" width="12.5546875" bestFit="1" customWidth="1"/>
    <col min="11291" max="11291" width="11.6640625" customWidth="1"/>
    <col min="11292" max="11292" width="10.88671875" bestFit="1" customWidth="1"/>
    <col min="11293" max="11293" width="12" customWidth="1"/>
    <col min="11521" max="11521" width="17.44140625" bestFit="1" customWidth="1"/>
    <col min="11522" max="11522" width="15.88671875" bestFit="1" customWidth="1"/>
    <col min="11523" max="11524" width="0" hidden="1" customWidth="1"/>
    <col min="11525" max="11525" width="22.33203125" customWidth="1"/>
    <col min="11526" max="11526" width="6" customWidth="1"/>
    <col min="11527" max="11527" width="10.6640625" bestFit="1" customWidth="1"/>
    <col min="11528" max="11528" width="11.5546875" customWidth="1"/>
    <col min="11529" max="11529" width="11.44140625" customWidth="1"/>
    <col min="11530" max="11530" width="9.88671875" customWidth="1"/>
    <col min="11531" max="11531" width="10.6640625" customWidth="1"/>
    <col min="11532" max="11532" width="9.44140625" customWidth="1"/>
    <col min="11533" max="11533" width="11" customWidth="1"/>
    <col min="11534" max="11534" width="8.44140625" customWidth="1"/>
    <col min="11535" max="11535" width="10.44140625" bestFit="1" customWidth="1"/>
    <col min="11537" max="11537" width="7.44140625" customWidth="1"/>
    <col min="11538" max="11540" width="11.5546875" customWidth="1"/>
    <col min="11541" max="11541" width="0" hidden="1" customWidth="1"/>
    <col min="11542" max="11542" width="9.5546875" customWidth="1"/>
    <col min="11543" max="11543" width="10.109375" customWidth="1"/>
    <col min="11544" max="11544" width="11.44140625" bestFit="1" customWidth="1"/>
    <col min="11545" max="11545" width="16.5546875" bestFit="1" customWidth="1"/>
    <col min="11546" max="11546" width="12.5546875" bestFit="1" customWidth="1"/>
    <col min="11547" max="11547" width="11.6640625" customWidth="1"/>
    <col min="11548" max="11548" width="10.88671875" bestFit="1" customWidth="1"/>
    <col min="11549" max="11549" width="12" customWidth="1"/>
    <col min="11777" max="11777" width="17.44140625" bestFit="1" customWidth="1"/>
    <col min="11778" max="11778" width="15.88671875" bestFit="1" customWidth="1"/>
    <col min="11779" max="11780" width="0" hidden="1" customWidth="1"/>
    <col min="11781" max="11781" width="22.33203125" customWidth="1"/>
    <col min="11782" max="11782" width="6" customWidth="1"/>
    <col min="11783" max="11783" width="10.6640625" bestFit="1" customWidth="1"/>
    <col min="11784" max="11784" width="11.5546875" customWidth="1"/>
    <col min="11785" max="11785" width="11.44140625" customWidth="1"/>
    <col min="11786" max="11786" width="9.88671875" customWidth="1"/>
    <col min="11787" max="11787" width="10.6640625" customWidth="1"/>
    <col min="11788" max="11788" width="9.44140625" customWidth="1"/>
    <col min="11789" max="11789" width="11" customWidth="1"/>
    <col min="11790" max="11790" width="8.44140625" customWidth="1"/>
    <col min="11791" max="11791" width="10.44140625" bestFit="1" customWidth="1"/>
    <col min="11793" max="11793" width="7.44140625" customWidth="1"/>
    <col min="11794" max="11796" width="11.5546875" customWidth="1"/>
    <col min="11797" max="11797" width="0" hidden="1" customWidth="1"/>
    <col min="11798" max="11798" width="9.5546875" customWidth="1"/>
    <col min="11799" max="11799" width="10.109375" customWidth="1"/>
    <col min="11800" max="11800" width="11.44140625" bestFit="1" customWidth="1"/>
    <col min="11801" max="11801" width="16.5546875" bestFit="1" customWidth="1"/>
    <col min="11802" max="11802" width="12.5546875" bestFit="1" customWidth="1"/>
    <col min="11803" max="11803" width="11.6640625" customWidth="1"/>
    <col min="11804" max="11804" width="10.88671875" bestFit="1" customWidth="1"/>
    <col min="11805" max="11805" width="12" customWidth="1"/>
    <col min="12033" max="12033" width="17.44140625" bestFit="1" customWidth="1"/>
    <col min="12034" max="12034" width="15.88671875" bestFit="1" customWidth="1"/>
    <col min="12035" max="12036" width="0" hidden="1" customWidth="1"/>
    <col min="12037" max="12037" width="22.33203125" customWidth="1"/>
    <col min="12038" max="12038" width="6" customWidth="1"/>
    <col min="12039" max="12039" width="10.6640625" bestFit="1" customWidth="1"/>
    <col min="12040" max="12040" width="11.5546875" customWidth="1"/>
    <col min="12041" max="12041" width="11.44140625" customWidth="1"/>
    <col min="12042" max="12042" width="9.88671875" customWidth="1"/>
    <col min="12043" max="12043" width="10.6640625" customWidth="1"/>
    <col min="12044" max="12044" width="9.44140625" customWidth="1"/>
    <col min="12045" max="12045" width="11" customWidth="1"/>
    <col min="12046" max="12046" width="8.44140625" customWidth="1"/>
    <col min="12047" max="12047" width="10.44140625" bestFit="1" customWidth="1"/>
    <col min="12049" max="12049" width="7.44140625" customWidth="1"/>
    <col min="12050" max="12052" width="11.5546875" customWidth="1"/>
    <col min="12053" max="12053" width="0" hidden="1" customWidth="1"/>
    <col min="12054" max="12054" width="9.5546875" customWidth="1"/>
    <col min="12055" max="12055" width="10.109375" customWidth="1"/>
    <col min="12056" max="12056" width="11.44140625" bestFit="1" customWidth="1"/>
    <col min="12057" max="12057" width="16.5546875" bestFit="1" customWidth="1"/>
    <col min="12058" max="12058" width="12.5546875" bestFit="1" customWidth="1"/>
    <col min="12059" max="12059" width="11.6640625" customWidth="1"/>
    <col min="12060" max="12060" width="10.88671875" bestFit="1" customWidth="1"/>
    <col min="12061" max="12061" width="12" customWidth="1"/>
    <col min="12289" max="12289" width="17.44140625" bestFit="1" customWidth="1"/>
    <col min="12290" max="12290" width="15.88671875" bestFit="1" customWidth="1"/>
    <col min="12291" max="12292" width="0" hidden="1" customWidth="1"/>
    <col min="12293" max="12293" width="22.33203125" customWidth="1"/>
    <col min="12294" max="12294" width="6" customWidth="1"/>
    <col min="12295" max="12295" width="10.6640625" bestFit="1" customWidth="1"/>
    <col min="12296" max="12296" width="11.5546875" customWidth="1"/>
    <col min="12297" max="12297" width="11.44140625" customWidth="1"/>
    <col min="12298" max="12298" width="9.88671875" customWidth="1"/>
    <col min="12299" max="12299" width="10.6640625" customWidth="1"/>
    <col min="12300" max="12300" width="9.44140625" customWidth="1"/>
    <col min="12301" max="12301" width="11" customWidth="1"/>
    <col min="12302" max="12302" width="8.44140625" customWidth="1"/>
    <col min="12303" max="12303" width="10.44140625" bestFit="1" customWidth="1"/>
    <col min="12305" max="12305" width="7.44140625" customWidth="1"/>
    <col min="12306" max="12308" width="11.5546875" customWidth="1"/>
    <col min="12309" max="12309" width="0" hidden="1" customWidth="1"/>
    <col min="12310" max="12310" width="9.5546875" customWidth="1"/>
    <col min="12311" max="12311" width="10.109375" customWidth="1"/>
    <col min="12312" max="12312" width="11.44140625" bestFit="1" customWidth="1"/>
    <col min="12313" max="12313" width="16.5546875" bestFit="1" customWidth="1"/>
    <col min="12314" max="12314" width="12.5546875" bestFit="1" customWidth="1"/>
    <col min="12315" max="12315" width="11.6640625" customWidth="1"/>
    <col min="12316" max="12316" width="10.88671875" bestFit="1" customWidth="1"/>
    <col min="12317" max="12317" width="12" customWidth="1"/>
    <col min="12545" max="12545" width="17.44140625" bestFit="1" customWidth="1"/>
    <col min="12546" max="12546" width="15.88671875" bestFit="1" customWidth="1"/>
    <col min="12547" max="12548" width="0" hidden="1" customWidth="1"/>
    <col min="12549" max="12549" width="22.33203125" customWidth="1"/>
    <col min="12550" max="12550" width="6" customWidth="1"/>
    <col min="12551" max="12551" width="10.6640625" bestFit="1" customWidth="1"/>
    <col min="12552" max="12552" width="11.5546875" customWidth="1"/>
    <col min="12553" max="12553" width="11.44140625" customWidth="1"/>
    <col min="12554" max="12554" width="9.88671875" customWidth="1"/>
    <col min="12555" max="12555" width="10.6640625" customWidth="1"/>
    <col min="12556" max="12556" width="9.44140625" customWidth="1"/>
    <col min="12557" max="12557" width="11" customWidth="1"/>
    <col min="12558" max="12558" width="8.44140625" customWidth="1"/>
    <col min="12559" max="12559" width="10.44140625" bestFit="1" customWidth="1"/>
    <col min="12561" max="12561" width="7.44140625" customWidth="1"/>
    <col min="12562" max="12564" width="11.5546875" customWidth="1"/>
    <col min="12565" max="12565" width="0" hidden="1" customWidth="1"/>
    <col min="12566" max="12566" width="9.5546875" customWidth="1"/>
    <col min="12567" max="12567" width="10.109375" customWidth="1"/>
    <col min="12568" max="12568" width="11.44140625" bestFit="1" customWidth="1"/>
    <col min="12569" max="12569" width="16.5546875" bestFit="1" customWidth="1"/>
    <col min="12570" max="12570" width="12.5546875" bestFit="1" customWidth="1"/>
    <col min="12571" max="12571" width="11.6640625" customWidth="1"/>
    <col min="12572" max="12572" width="10.88671875" bestFit="1" customWidth="1"/>
    <col min="12573" max="12573" width="12" customWidth="1"/>
    <col min="12801" max="12801" width="17.44140625" bestFit="1" customWidth="1"/>
    <col min="12802" max="12802" width="15.88671875" bestFit="1" customWidth="1"/>
    <col min="12803" max="12804" width="0" hidden="1" customWidth="1"/>
    <col min="12805" max="12805" width="22.33203125" customWidth="1"/>
    <col min="12806" max="12806" width="6" customWidth="1"/>
    <col min="12807" max="12807" width="10.6640625" bestFit="1" customWidth="1"/>
    <col min="12808" max="12808" width="11.5546875" customWidth="1"/>
    <col min="12809" max="12809" width="11.44140625" customWidth="1"/>
    <col min="12810" max="12810" width="9.88671875" customWidth="1"/>
    <col min="12811" max="12811" width="10.6640625" customWidth="1"/>
    <col min="12812" max="12812" width="9.44140625" customWidth="1"/>
    <col min="12813" max="12813" width="11" customWidth="1"/>
    <col min="12814" max="12814" width="8.44140625" customWidth="1"/>
    <col min="12815" max="12815" width="10.44140625" bestFit="1" customWidth="1"/>
    <col min="12817" max="12817" width="7.44140625" customWidth="1"/>
    <col min="12818" max="12820" width="11.5546875" customWidth="1"/>
    <col min="12821" max="12821" width="0" hidden="1" customWidth="1"/>
    <col min="12822" max="12822" width="9.5546875" customWidth="1"/>
    <col min="12823" max="12823" width="10.109375" customWidth="1"/>
    <col min="12824" max="12824" width="11.44140625" bestFit="1" customWidth="1"/>
    <col min="12825" max="12825" width="16.5546875" bestFit="1" customWidth="1"/>
    <col min="12826" max="12826" width="12.5546875" bestFit="1" customWidth="1"/>
    <col min="12827" max="12827" width="11.6640625" customWidth="1"/>
    <col min="12828" max="12828" width="10.88671875" bestFit="1" customWidth="1"/>
    <col min="12829" max="12829" width="12" customWidth="1"/>
    <col min="13057" max="13057" width="17.44140625" bestFit="1" customWidth="1"/>
    <col min="13058" max="13058" width="15.88671875" bestFit="1" customWidth="1"/>
    <col min="13059" max="13060" width="0" hidden="1" customWidth="1"/>
    <col min="13061" max="13061" width="22.33203125" customWidth="1"/>
    <col min="13062" max="13062" width="6" customWidth="1"/>
    <col min="13063" max="13063" width="10.6640625" bestFit="1" customWidth="1"/>
    <col min="13064" max="13064" width="11.5546875" customWidth="1"/>
    <col min="13065" max="13065" width="11.44140625" customWidth="1"/>
    <col min="13066" max="13066" width="9.88671875" customWidth="1"/>
    <col min="13067" max="13067" width="10.6640625" customWidth="1"/>
    <col min="13068" max="13068" width="9.44140625" customWidth="1"/>
    <col min="13069" max="13069" width="11" customWidth="1"/>
    <col min="13070" max="13070" width="8.44140625" customWidth="1"/>
    <col min="13071" max="13071" width="10.44140625" bestFit="1" customWidth="1"/>
    <col min="13073" max="13073" width="7.44140625" customWidth="1"/>
    <col min="13074" max="13076" width="11.5546875" customWidth="1"/>
    <col min="13077" max="13077" width="0" hidden="1" customWidth="1"/>
    <col min="13078" max="13078" width="9.5546875" customWidth="1"/>
    <col min="13079" max="13079" width="10.109375" customWidth="1"/>
    <col min="13080" max="13080" width="11.44140625" bestFit="1" customWidth="1"/>
    <col min="13081" max="13081" width="16.5546875" bestFit="1" customWidth="1"/>
    <col min="13082" max="13082" width="12.5546875" bestFit="1" customWidth="1"/>
    <col min="13083" max="13083" width="11.6640625" customWidth="1"/>
    <col min="13084" max="13084" width="10.88671875" bestFit="1" customWidth="1"/>
    <col min="13085" max="13085" width="12" customWidth="1"/>
    <col min="13313" max="13313" width="17.44140625" bestFit="1" customWidth="1"/>
    <col min="13314" max="13314" width="15.88671875" bestFit="1" customWidth="1"/>
    <col min="13315" max="13316" width="0" hidden="1" customWidth="1"/>
    <col min="13317" max="13317" width="22.33203125" customWidth="1"/>
    <col min="13318" max="13318" width="6" customWidth="1"/>
    <col min="13319" max="13319" width="10.6640625" bestFit="1" customWidth="1"/>
    <col min="13320" max="13320" width="11.5546875" customWidth="1"/>
    <col min="13321" max="13321" width="11.44140625" customWidth="1"/>
    <col min="13322" max="13322" width="9.88671875" customWidth="1"/>
    <col min="13323" max="13323" width="10.6640625" customWidth="1"/>
    <col min="13324" max="13324" width="9.44140625" customWidth="1"/>
    <col min="13325" max="13325" width="11" customWidth="1"/>
    <col min="13326" max="13326" width="8.44140625" customWidth="1"/>
    <col min="13327" max="13327" width="10.44140625" bestFit="1" customWidth="1"/>
    <col min="13329" max="13329" width="7.44140625" customWidth="1"/>
    <col min="13330" max="13332" width="11.5546875" customWidth="1"/>
    <col min="13333" max="13333" width="0" hidden="1" customWidth="1"/>
    <col min="13334" max="13334" width="9.5546875" customWidth="1"/>
    <col min="13335" max="13335" width="10.109375" customWidth="1"/>
    <col min="13336" max="13336" width="11.44140625" bestFit="1" customWidth="1"/>
    <col min="13337" max="13337" width="16.5546875" bestFit="1" customWidth="1"/>
    <col min="13338" max="13338" width="12.5546875" bestFit="1" customWidth="1"/>
    <col min="13339" max="13339" width="11.6640625" customWidth="1"/>
    <col min="13340" max="13340" width="10.88671875" bestFit="1" customWidth="1"/>
    <col min="13341" max="13341" width="12" customWidth="1"/>
    <col min="13569" max="13569" width="17.44140625" bestFit="1" customWidth="1"/>
    <col min="13570" max="13570" width="15.88671875" bestFit="1" customWidth="1"/>
    <col min="13571" max="13572" width="0" hidden="1" customWidth="1"/>
    <col min="13573" max="13573" width="22.33203125" customWidth="1"/>
    <col min="13574" max="13574" width="6" customWidth="1"/>
    <col min="13575" max="13575" width="10.6640625" bestFit="1" customWidth="1"/>
    <col min="13576" max="13576" width="11.5546875" customWidth="1"/>
    <col min="13577" max="13577" width="11.44140625" customWidth="1"/>
    <col min="13578" max="13578" width="9.88671875" customWidth="1"/>
    <col min="13579" max="13579" width="10.6640625" customWidth="1"/>
    <col min="13580" max="13580" width="9.44140625" customWidth="1"/>
    <col min="13581" max="13581" width="11" customWidth="1"/>
    <col min="13582" max="13582" width="8.44140625" customWidth="1"/>
    <col min="13583" max="13583" width="10.44140625" bestFit="1" customWidth="1"/>
    <col min="13585" max="13585" width="7.44140625" customWidth="1"/>
    <col min="13586" max="13588" width="11.5546875" customWidth="1"/>
    <col min="13589" max="13589" width="0" hidden="1" customWidth="1"/>
    <col min="13590" max="13590" width="9.5546875" customWidth="1"/>
    <col min="13591" max="13591" width="10.109375" customWidth="1"/>
    <col min="13592" max="13592" width="11.44140625" bestFit="1" customWidth="1"/>
    <col min="13593" max="13593" width="16.5546875" bestFit="1" customWidth="1"/>
    <col min="13594" max="13594" width="12.5546875" bestFit="1" customWidth="1"/>
    <col min="13595" max="13595" width="11.6640625" customWidth="1"/>
    <col min="13596" max="13596" width="10.88671875" bestFit="1" customWidth="1"/>
    <col min="13597" max="13597" width="12" customWidth="1"/>
    <col min="13825" max="13825" width="17.44140625" bestFit="1" customWidth="1"/>
    <col min="13826" max="13826" width="15.88671875" bestFit="1" customWidth="1"/>
    <col min="13827" max="13828" width="0" hidden="1" customWidth="1"/>
    <col min="13829" max="13829" width="22.33203125" customWidth="1"/>
    <col min="13830" max="13830" width="6" customWidth="1"/>
    <col min="13831" max="13831" width="10.6640625" bestFit="1" customWidth="1"/>
    <col min="13832" max="13832" width="11.5546875" customWidth="1"/>
    <col min="13833" max="13833" width="11.44140625" customWidth="1"/>
    <col min="13834" max="13834" width="9.88671875" customWidth="1"/>
    <col min="13835" max="13835" width="10.6640625" customWidth="1"/>
    <col min="13836" max="13836" width="9.44140625" customWidth="1"/>
    <col min="13837" max="13837" width="11" customWidth="1"/>
    <col min="13838" max="13838" width="8.44140625" customWidth="1"/>
    <col min="13839" max="13839" width="10.44140625" bestFit="1" customWidth="1"/>
    <col min="13841" max="13841" width="7.44140625" customWidth="1"/>
    <col min="13842" max="13844" width="11.5546875" customWidth="1"/>
    <col min="13845" max="13845" width="0" hidden="1" customWidth="1"/>
    <col min="13846" max="13846" width="9.5546875" customWidth="1"/>
    <col min="13847" max="13847" width="10.109375" customWidth="1"/>
    <col min="13848" max="13848" width="11.44140625" bestFit="1" customWidth="1"/>
    <col min="13849" max="13849" width="16.5546875" bestFit="1" customWidth="1"/>
    <col min="13850" max="13850" width="12.5546875" bestFit="1" customWidth="1"/>
    <col min="13851" max="13851" width="11.6640625" customWidth="1"/>
    <col min="13852" max="13852" width="10.88671875" bestFit="1" customWidth="1"/>
    <col min="13853" max="13853" width="12" customWidth="1"/>
    <col min="14081" max="14081" width="17.44140625" bestFit="1" customWidth="1"/>
    <col min="14082" max="14082" width="15.88671875" bestFit="1" customWidth="1"/>
    <col min="14083" max="14084" width="0" hidden="1" customWidth="1"/>
    <col min="14085" max="14085" width="22.33203125" customWidth="1"/>
    <col min="14086" max="14086" width="6" customWidth="1"/>
    <col min="14087" max="14087" width="10.6640625" bestFit="1" customWidth="1"/>
    <col min="14088" max="14088" width="11.5546875" customWidth="1"/>
    <col min="14089" max="14089" width="11.44140625" customWidth="1"/>
    <col min="14090" max="14090" width="9.88671875" customWidth="1"/>
    <col min="14091" max="14091" width="10.6640625" customWidth="1"/>
    <col min="14092" max="14092" width="9.44140625" customWidth="1"/>
    <col min="14093" max="14093" width="11" customWidth="1"/>
    <col min="14094" max="14094" width="8.44140625" customWidth="1"/>
    <col min="14095" max="14095" width="10.44140625" bestFit="1" customWidth="1"/>
    <col min="14097" max="14097" width="7.44140625" customWidth="1"/>
    <col min="14098" max="14100" width="11.5546875" customWidth="1"/>
    <col min="14101" max="14101" width="0" hidden="1" customWidth="1"/>
    <col min="14102" max="14102" width="9.5546875" customWidth="1"/>
    <col min="14103" max="14103" width="10.109375" customWidth="1"/>
    <col min="14104" max="14104" width="11.44140625" bestFit="1" customWidth="1"/>
    <col min="14105" max="14105" width="16.5546875" bestFit="1" customWidth="1"/>
    <col min="14106" max="14106" width="12.5546875" bestFit="1" customWidth="1"/>
    <col min="14107" max="14107" width="11.6640625" customWidth="1"/>
    <col min="14108" max="14108" width="10.88671875" bestFit="1" customWidth="1"/>
    <col min="14109" max="14109" width="12" customWidth="1"/>
    <col min="14337" max="14337" width="17.44140625" bestFit="1" customWidth="1"/>
    <col min="14338" max="14338" width="15.88671875" bestFit="1" customWidth="1"/>
    <col min="14339" max="14340" width="0" hidden="1" customWidth="1"/>
    <col min="14341" max="14341" width="22.33203125" customWidth="1"/>
    <col min="14342" max="14342" width="6" customWidth="1"/>
    <col min="14343" max="14343" width="10.6640625" bestFit="1" customWidth="1"/>
    <col min="14344" max="14344" width="11.5546875" customWidth="1"/>
    <col min="14345" max="14345" width="11.44140625" customWidth="1"/>
    <col min="14346" max="14346" width="9.88671875" customWidth="1"/>
    <col min="14347" max="14347" width="10.6640625" customWidth="1"/>
    <col min="14348" max="14348" width="9.44140625" customWidth="1"/>
    <col min="14349" max="14349" width="11" customWidth="1"/>
    <col min="14350" max="14350" width="8.44140625" customWidth="1"/>
    <col min="14351" max="14351" width="10.44140625" bestFit="1" customWidth="1"/>
    <col min="14353" max="14353" width="7.44140625" customWidth="1"/>
    <col min="14354" max="14356" width="11.5546875" customWidth="1"/>
    <col min="14357" max="14357" width="0" hidden="1" customWidth="1"/>
    <col min="14358" max="14358" width="9.5546875" customWidth="1"/>
    <col min="14359" max="14359" width="10.109375" customWidth="1"/>
    <col min="14360" max="14360" width="11.44140625" bestFit="1" customWidth="1"/>
    <col min="14361" max="14361" width="16.5546875" bestFit="1" customWidth="1"/>
    <col min="14362" max="14362" width="12.5546875" bestFit="1" customWidth="1"/>
    <col min="14363" max="14363" width="11.6640625" customWidth="1"/>
    <col min="14364" max="14364" width="10.88671875" bestFit="1" customWidth="1"/>
    <col min="14365" max="14365" width="12" customWidth="1"/>
    <col min="14593" max="14593" width="17.44140625" bestFit="1" customWidth="1"/>
    <col min="14594" max="14594" width="15.88671875" bestFit="1" customWidth="1"/>
    <col min="14595" max="14596" width="0" hidden="1" customWidth="1"/>
    <col min="14597" max="14597" width="22.33203125" customWidth="1"/>
    <col min="14598" max="14598" width="6" customWidth="1"/>
    <col min="14599" max="14599" width="10.6640625" bestFit="1" customWidth="1"/>
    <col min="14600" max="14600" width="11.5546875" customWidth="1"/>
    <col min="14601" max="14601" width="11.44140625" customWidth="1"/>
    <col min="14602" max="14602" width="9.88671875" customWidth="1"/>
    <col min="14603" max="14603" width="10.6640625" customWidth="1"/>
    <col min="14604" max="14604" width="9.44140625" customWidth="1"/>
    <col min="14605" max="14605" width="11" customWidth="1"/>
    <col min="14606" max="14606" width="8.44140625" customWidth="1"/>
    <col min="14607" max="14607" width="10.44140625" bestFit="1" customWidth="1"/>
    <col min="14609" max="14609" width="7.44140625" customWidth="1"/>
    <col min="14610" max="14612" width="11.5546875" customWidth="1"/>
    <col min="14613" max="14613" width="0" hidden="1" customWidth="1"/>
    <col min="14614" max="14614" width="9.5546875" customWidth="1"/>
    <col min="14615" max="14615" width="10.109375" customWidth="1"/>
    <col min="14616" max="14616" width="11.44140625" bestFit="1" customWidth="1"/>
    <col min="14617" max="14617" width="16.5546875" bestFit="1" customWidth="1"/>
    <col min="14618" max="14618" width="12.5546875" bestFit="1" customWidth="1"/>
    <col min="14619" max="14619" width="11.6640625" customWidth="1"/>
    <col min="14620" max="14620" width="10.88671875" bestFit="1" customWidth="1"/>
    <col min="14621" max="14621" width="12" customWidth="1"/>
    <col min="14849" max="14849" width="17.44140625" bestFit="1" customWidth="1"/>
    <col min="14850" max="14850" width="15.88671875" bestFit="1" customWidth="1"/>
    <col min="14851" max="14852" width="0" hidden="1" customWidth="1"/>
    <col min="14853" max="14853" width="22.33203125" customWidth="1"/>
    <col min="14854" max="14854" width="6" customWidth="1"/>
    <col min="14855" max="14855" width="10.6640625" bestFit="1" customWidth="1"/>
    <col min="14856" max="14856" width="11.5546875" customWidth="1"/>
    <col min="14857" max="14857" width="11.44140625" customWidth="1"/>
    <col min="14858" max="14858" width="9.88671875" customWidth="1"/>
    <col min="14859" max="14859" width="10.6640625" customWidth="1"/>
    <col min="14860" max="14860" width="9.44140625" customWidth="1"/>
    <col min="14861" max="14861" width="11" customWidth="1"/>
    <col min="14862" max="14862" width="8.44140625" customWidth="1"/>
    <col min="14863" max="14863" width="10.44140625" bestFit="1" customWidth="1"/>
    <col min="14865" max="14865" width="7.44140625" customWidth="1"/>
    <col min="14866" max="14868" width="11.5546875" customWidth="1"/>
    <col min="14869" max="14869" width="0" hidden="1" customWidth="1"/>
    <col min="14870" max="14870" width="9.5546875" customWidth="1"/>
    <col min="14871" max="14871" width="10.109375" customWidth="1"/>
    <col min="14872" max="14872" width="11.44140625" bestFit="1" customWidth="1"/>
    <col min="14873" max="14873" width="16.5546875" bestFit="1" customWidth="1"/>
    <col min="14874" max="14874" width="12.5546875" bestFit="1" customWidth="1"/>
    <col min="14875" max="14875" width="11.6640625" customWidth="1"/>
    <col min="14876" max="14876" width="10.88671875" bestFit="1" customWidth="1"/>
    <col min="14877" max="14877" width="12" customWidth="1"/>
    <col min="15105" max="15105" width="17.44140625" bestFit="1" customWidth="1"/>
    <col min="15106" max="15106" width="15.88671875" bestFit="1" customWidth="1"/>
    <col min="15107" max="15108" width="0" hidden="1" customWidth="1"/>
    <col min="15109" max="15109" width="22.33203125" customWidth="1"/>
    <col min="15110" max="15110" width="6" customWidth="1"/>
    <col min="15111" max="15111" width="10.6640625" bestFit="1" customWidth="1"/>
    <col min="15112" max="15112" width="11.5546875" customWidth="1"/>
    <col min="15113" max="15113" width="11.44140625" customWidth="1"/>
    <col min="15114" max="15114" width="9.88671875" customWidth="1"/>
    <col min="15115" max="15115" width="10.6640625" customWidth="1"/>
    <col min="15116" max="15116" width="9.44140625" customWidth="1"/>
    <col min="15117" max="15117" width="11" customWidth="1"/>
    <col min="15118" max="15118" width="8.44140625" customWidth="1"/>
    <col min="15119" max="15119" width="10.44140625" bestFit="1" customWidth="1"/>
    <col min="15121" max="15121" width="7.44140625" customWidth="1"/>
    <col min="15122" max="15124" width="11.5546875" customWidth="1"/>
    <col min="15125" max="15125" width="0" hidden="1" customWidth="1"/>
    <col min="15126" max="15126" width="9.5546875" customWidth="1"/>
    <col min="15127" max="15127" width="10.109375" customWidth="1"/>
    <col min="15128" max="15128" width="11.44140625" bestFit="1" customWidth="1"/>
    <col min="15129" max="15129" width="16.5546875" bestFit="1" customWidth="1"/>
    <col min="15130" max="15130" width="12.5546875" bestFit="1" customWidth="1"/>
    <col min="15131" max="15131" width="11.6640625" customWidth="1"/>
    <col min="15132" max="15132" width="10.88671875" bestFit="1" customWidth="1"/>
    <col min="15133" max="15133" width="12" customWidth="1"/>
    <col min="15361" max="15361" width="17.44140625" bestFit="1" customWidth="1"/>
    <col min="15362" max="15362" width="15.88671875" bestFit="1" customWidth="1"/>
    <col min="15363" max="15364" width="0" hidden="1" customWidth="1"/>
    <col min="15365" max="15365" width="22.33203125" customWidth="1"/>
    <col min="15366" max="15366" width="6" customWidth="1"/>
    <col min="15367" max="15367" width="10.6640625" bestFit="1" customWidth="1"/>
    <col min="15368" max="15368" width="11.5546875" customWidth="1"/>
    <col min="15369" max="15369" width="11.44140625" customWidth="1"/>
    <col min="15370" max="15370" width="9.88671875" customWidth="1"/>
    <col min="15371" max="15371" width="10.6640625" customWidth="1"/>
    <col min="15372" max="15372" width="9.44140625" customWidth="1"/>
    <col min="15373" max="15373" width="11" customWidth="1"/>
    <col min="15374" max="15374" width="8.44140625" customWidth="1"/>
    <col min="15375" max="15375" width="10.44140625" bestFit="1" customWidth="1"/>
    <col min="15377" max="15377" width="7.44140625" customWidth="1"/>
    <col min="15378" max="15380" width="11.5546875" customWidth="1"/>
    <col min="15381" max="15381" width="0" hidden="1" customWidth="1"/>
    <col min="15382" max="15382" width="9.5546875" customWidth="1"/>
    <col min="15383" max="15383" width="10.109375" customWidth="1"/>
    <col min="15384" max="15384" width="11.44140625" bestFit="1" customWidth="1"/>
    <col min="15385" max="15385" width="16.5546875" bestFit="1" customWidth="1"/>
    <col min="15386" max="15386" width="12.5546875" bestFit="1" customWidth="1"/>
    <col min="15387" max="15387" width="11.6640625" customWidth="1"/>
    <col min="15388" max="15388" width="10.88671875" bestFit="1" customWidth="1"/>
    <col min="15389" max="15389" width="12" customWidth="1"/>
    <col min="15617" max="15617" width="17.44140625" bestFit="1" customWidth="1"/>
    <col min="15618" max="15618" width="15.88671875" bestFit="1" customWidth="1"/>
    <col min="15619" max="15620" width="0" hidden="1" customWidth="1"/>
    <col min="15621" max="15621" width="22.33203125" customWidth="1"/>
    <col min="15622" max="15622" width="6" customWidth="1"/>
    <col min="15623" max="15623" width="10.6640625" bestFit="1" customWidth="1"/>
    <col min="15624" max="15624" width="11.5546875" customWidth="1"/>
    <col min="15625" max="15625" width="11.44140625" customWidth="1"/>
    <col min="15626" max="15626" width="9.88671875" customWidth="1"/>
    <col min="15627" max="15627" width="10.6640625" customWidth="1"/>
    <col min="15628" max="15628" width="9.44140625" customWidth="1"/>
    <col min="15629" max="15629" width="11" customWidth="1"/>
    <col min="15630" max="15630" width="8.44140625" customWidth="1"/>
    <col min="15631" max="15631" width="10.44140625" bestFit="1" customWidth="1"/>
    <col min="15633" max="15633" width="7.44140625" customWidth="1"/>
    <col min="15634" max="15636" width="11.5546875" customWidth="1"/>
    <col min="15637" max="15637" width="0" hidden="1" customWidth="1"/>
    <col min="15638" max="15638" width="9.5546875" customWidth="1"/>
    <col min="15639" max="15639" width="10.109375" customWidth="1"/>
    <col min="15640" max="15640" width="11.44140625" bestFit="1" customWidth="1"/>
    <col min="15641" max="15641" width="16.5546875" bestFit="1" customWidth="1"/>
    <col min="15642" max="15642" width="12.5546875" bestFit="1" customWidth="1"/>
    <col min="15643" max="15643" width="11.6640625" customWidth="1"/>
    <col min="15644" max="15644" width="10.88671875" bestFit="1" customWidth="1"/>
    <col min="15645" max="15645" width="12" customWidth="1"/>
    <col min="15873" max="15873" width="17.44140625" bestFit="1" customWidth="1"/>
    <col min="15874" max="15874" width="15.88671875" bestFit="1" customWidth="1"/>
    <col min="15875" max="15876" width="0" hidden="1" customWidth="1"/>
    <col min="15877" max="15877" width="22.33203125" customWidth="1"/>
    <col min="15878" max="15878" width="6" customWidth="1"/>
    <col min="15879" max="15879" width="10.6640625" bestFit="1" customWidth="1"/>
    <col min="15880" max="15880" width="11.5546875" customWidth="1"/>
    <col min="15881" max="15881" width="11.44140625" customWidth="1"/>
    <col min="15882" max="15882" width="9.88671875" customWidth="1"/>
    <col min="15883" max="15883" width="10.6640625" customWidth="1"/>
    <col min="15884" max="15884" width="9.44140625" customWidth="1"/>
    <col min="15885" max="15885" width="11" customWidth="1"/>
    <col min="15886" max="15886" width="8.44140625" customWidth="1"/>
    <col min="15887" max="15887" width="10.44140625" bestFit="1" customWidth="1"/>
    <col min="15889" max="15889" width="7.44140625" customWidth="1"/>
    <col min="15890" max="15892" width="11.5546875" customWidth="1"/>
    <col min="15893" max="15893" width="0" hidden="1" customWidth="1"/>
    <col min="15894" max="15894" width="9.5546875" customWidth="1"/>
    <col min="15895" max="15895" width="10.109375" customWidth="1"/>
    <col min="15896" max="15896" width="11.44140625" bestFit="1" customWidth="1"/>
    <col min="15897" max="15897" width="16.5546875" bestFit="1" customWidth="1"/>
    <col min="15898" max="15898" width="12.5546875" bestFit="1" customWidth="1"/>
    <col min="15899" max="15899" width="11.6640625" customWidth="1"/>
    <col min="15900" max="15900" width="10.88671875" bestFit="1" customWidth="1"/>
    <col min="15901" max="15901" width="12" customWidth="1"/>
    <col min="16129" max="16129" width="17.44140625" bestFit="1" customWidth="1"/>
    <col min="16130" max="16130" width="15.88671875" bestFit="1" customWidth="1"/>
    <col min="16131" max="16132" width="0" hidden="1" customWidth="1"/>
    <col min="16133" max="16133" width="22.33203125" customWidth="1"/>
    <col min="16134" max="16134" width="6" customWidth="1"/>
    <col min="16135" max="16135" width="10.6640625" bestFit="1" customWidth="1"/>
    <col min="16136" max="16136" width="11.5546875" customWidth="1"/>
    <col min="16137" max="16137" width="11.44140625" customWidth="1"/>
    <col min="16138" max="16138" width="9.88671875" customWidth="1"/>
    <col min="16139" max="16139" width="10.6640625" customWidth="1"/>
    <col min="16140" max="16140" width="9.44140625" customWidth="1"/>
    <col min="16141" max="16141" width="11" customWidth="1"/>
    <col min="16142" max="16142" width="8.44140625" customWidth="1"/>
    <col min="16143" max="16143" width="10.44140625" bestFit="1" customWidth="1"/>
    <col min="16145" max="16145" width="7.44140625" customWidth="1"/>
    <col min="16146" max="16148" width="11.5546875" customWidth="1"/>
    <col min="16149" max="16149" width="0" hidden="1" customWidth="1"/>
    <col min="16150" max="16150" width="9.5546875" customWidth="1"/>
    <col min="16151" max="16151" width="10.109375" customWidth="1"/>
    <col min="16152" max="16152" width="11.44140625" bestFit="1" customWidth="1"/>
    <col min="16153" max="16153" width="16.5546875" bestFit="1" customWidth="1"/>
    <col min="16154" max="16154" width="12.5546875" bestFit="1" customWidth="1"/>
    <col min="16155" max="16155" width="11.6640625" customWidth="1"/>
    <col min="16156" max="16156" width="10.88671875" bestFit="1" customWidth="1"/>
    <col min="16157" max="16157" width="12" customWidth="1"/>
  </cols>
  <sheetData>
    <row r="3" spans="1:29" ht="18" x14ac:dyDescent="0.35">
      <c r="W3" s="2" t="s">
        <v>97</v>
      </c>
      <c r="X3" s="2"/>
    </row>
    <row r="4" spans="1:29" ht="18" x14ac:dyDescent="0.35">
      <c r="W4" s="2"/>
      <c r="X4" s="2"/>
    </row>
    <row r="5" spans="1:29" ht="18" x14ac:dyDescent="0.35">
      <c r="W5" s="2"/>
      <c r="X5" s="2"/>
    </row>
    <row r="6" spans="1:29" x14ac:dyDescent="0.3">
      <c r="A6" s="90" t="s">
        <v>98</v>
      </c>
    </row>
    <row r="7" spans="1:29" s="12" customFormat="1" ht="41.4" x14ac:dyDescent="0.3">
      <c r="A7" s="4" t="s">
        <v>0</v>
      </c>
      <c r="B7" s="4" t="s">
        <v>1</v>
      </c>
      <c r="C7" s="4" t="s">
        <v>2</v>
      </c>
      <c r="D7" s="4" t="s">
        <v>3</v>
      </c>
      <c r="E7" s="5" t="s">
        <v>4</v>
      </c>
      <c r="F7" s="5" t="s">
        <v>5</v>
      </c>
      <c r="G7" s="91" t="s">
        <v>6</v>
      </c>
      <c r="H7" s="91" t="s">
        <v>7</v>
      </c>
      <c r="I7" s="91" t="s">
        <v>8</v>
      </c>
      <c r="J7" s="91" t="s">
        <v>9</v>
      </c>
      <c r="K7" s="91" t="s">
        <v>10</v>
      </c>
      <c r="L7" s="91" t="s">
        <v>11</v>
      </c>
      <c r="M7" s="91" t="s">
        <v>12</v>
      </c>
      <c r="N7" s="91" t="s">
        <v>13</v>
      </c>
      <c r="O7" s="91" t="s">
        <v>14</v>
      </c>
      <c r="P7" s="91" t="s">
        <v>15</v>
      </c>
      <c r="Q7" s="91" t="s">
        <v>16</v>
      </c>
      <c r="R7" s="92" t="s">
        <v>17</v>
      </c>
      <c r="S7" s="91" t="s">
        <v>18</v>
      </c>
      <c r="T7" s="91" t="s">
        <v>19</v>
      </c>
      <c r="U7" s="91" t="s">
        <v>20</v>
      </c>
      <c r="V7" s="91" t="s">
        <v>21</v>
      </c>
      <c r="W7" s="93" t="s">
        <v>22</v>
      </c>
      <c r="X7" s="93" t="s">
        <v>23</v>
      </c>
      <c r="Y7" s="94" t="s">
        <v>24</v>
      </c>
      <c r="Z7" s="94" t="s">
        <v>26</v>
      </c>
      <c r="AA7" s="95" t="s">
        <v>27</v>
      </c>
      <c r="AB7" s="96" t="s">
        <v>28</v>
      </c>
    </row>
    <row r="8" spans="1:29" s="24" customFormat="1" ht="12.9" customHeight="1" x14ac:dyDescent="0.3">
      <c r="A8" s="23">
        <v>43102.638888888891</v>
      </c>
      <c r="B8" s="23">
        <v>43103.958333333336</v>
      </c>
      <c r="C8" s="23"/>
      <c r="D8" s="14">
        <v>2000000011</v>
      </c>
      <c r="E8" s="97" t="s">
        <v>99</v>
      </c>
      <c r="F8" s="25" t="s">
        <v>32</v>
      </c>
      <c r="G8" s="98">
        <v>40887</v>
      </c>
      <c r="H8" s="99" t="s">
        <v>100</v>
      </c>
      <c r="I8" s="98">
        <v>80323</v>
      </c>
      <c r="J8" s="100">
        <f t="shared" ref="J8:J15" si="0">G8-I8</f>
        <v>-39436</v>
      </c>
      <c r="K8" s="101">
        <f>[75]Yokohama!$F$43</f>
        <v>1.3194444444452529</v>
      </c>
      <c r="L8" s="101">
        <f>[75]Yokohama!$F$43-[75]Yokohama!$F$37</f>
        <v>0.78125</v>
      </c>
      <c r="M8" s="102">
        <f t="shared" ref="M8:M15" si="1">G8/K8</f>
        <v>30988.042105244171</v>
      </c>
      <c r="N8" s="102">
        <f t="shared" ref="N8:N13" si="2">G8/L8</f>
        <v>52335.360000000001</v>
      </c>
      <c r="O8" s="98">
        <v>30000</v>
      </c>
      <c r="P8" s="24">
        <v>206.31</v>
      </c>
      <c r="Q8" s="24">
        <v>200.68</v>
      </c>
      <c r="R8" s="24">
        <f t="shared" ref="R8:R15" si="3">P8-Q8</f>
        <v>5.6299999999999955</v>
      </c>
      <c r="S8" s="103">
        <f>R8/8.7*10000/G8</f>
        <v>0.15827192916614297</v>
      </c>
      <c r="T8" s="103">
        <f>R8/8.5*10000/G8</f>
        <v>0.16199597455828749</v>
      </c>
      <c r="U8" s="103"/>
      <c r="V8" s="26"/>
      <c r="W8" s="104"/>
      <c r="X8" s="105">
        <v>2.15</v>
      </c>
      <c r="Y8" s="33">
        <f t="shared" ref="Y8:Y17" si="4">G8*X8</f>
        <v>87907.05</v>
      </c>
      <c r="Z8" s="33"/>
      <c r="AA8" s="106">
        <v>5816.5</v>
      </c>
      <c r="AB8" s="107">
        <f t="shared" ref="AB8:AB15" si="5">(G8*-0.03)</f>
        <v>-1226.6099999999999</v>
      </c>
      <c r="AC8" s="101"/>
    </row>
    <row r="9" spans="1:29" s="24" customFormat="1" ht="12.9" customHeight="1" x14ac:dyDescent="0.3">
      <c r="A9" s="23">
        <v>43106.09375</v>
      </c>
      <c r="B9" s="23">
        <v>43107.333333333336</v>
      </c>
      <c r="C9" s="23"/>
      <c r="D9" s="14">
        <v>2000000012</v>
      </c>
      <c r="E9" s="24" t="s">
        <v>50</v>
      </c>
      <c r="F9" s="25" t="s">
        <v>32</v>
      </c>
      <c r="G9" s="102">
        <v>37298</v>
      </c>
      <c r="H9" s="102" t="s">
        <v>33</v>
      </c>
      <c r="I9" s="102">
        <v>75340</v>
      </c>
      <c r="J9" s="100">
        <f t="shared" si="0"/>
        <v>-38042</v>
      </c>
      <c r="K9" s="101">
        <f>'[75]Tuo Fu 11'!$F$42</f>
        <v>1.2395833333357587</v>
      </c>
      <c r="L9" s="101">
        <f>'[75]Tuo Fu 11'!$F$42-'[75]Tuo Fu 11'!$F$36</f>
        <v>0.76909722223717836</v>
      </c>
      <c r="M9" s="102">
        <f t="shared" si="1"/>
        <v>30089.142857083985</v>
      </c>
      <c r="N9" s="102">
        <f t="shared" si="2"/>
        <v>48495.819412149482</v>
      </c>
      <c r="O9" s="98">
        <v>30000</v>
      </c>
      <c r="P9" s="108">
        <v>197.78</v>
      </c>
      <c r="Q9" s="108">
        <v>192.1</v>
      </c>
      <c r="R9" s="24">
        <f t="shared" si="3"/>
        <v>5.6800000000000068</v>
      </c>
      <c r="S9" s="103">
        <f t="shared" ref="S9:S15" si="6">R9/8.7*10000/G9</f>
        <v>0.1750425125257096</v>
      </c>
      <c r="T9" s="103">
        <f t="shared" ref="T9:T15" si="7">R9/8.5*10000/G9</f>
        <v>0.17916115987925568</v>
      </c>
      <c r="U9" s="103"/>
      <c r="V9" s="26"/>
      <c r="X9" s="105">
        <v>2.15</v>
      </c>
      <c r="Y9" s="33">
        <f t="shared" si="4"/>
        <v>80190.7</v>
      </c>
      <c r="Z9" s="33"/>
      <c r="AA9" s="106">
        <v>4741.6944442948834</v>
      </c>
      <c r="AB9" s="107">
        <f t="shared" si="5"/>
        <v>-1118.94</v>
      </c>
      <c r="AC9" s="101"/>
    </row>
    <row r="10" spans="1:29" s="24" customFormat="1" ht="12.9" customHeight="1" x14ac:dyDescent="0.3">
      <c r="A10" s="23">
        <v>43109.65625</v>
      </c>
      <c r="B10" s="23">
        <v>43110.583333333336</v>
      </c>
      <c r="C10" s="23"/>
      <c r="D10" s="14">
        <v>2000000013</v>
      </c>
      <c r="E10" s="24" t="s">
        <v>101</v>
      </c>
      <c r="F10" s="25" t="s">
        <v>32</v>
      </c>
      <c r="G10" s="102">
        <v>35831</v>
      </c>
      <c r="H10" s="102" t="s">
        <v>100</v>
      </c>
      <c r="I10" s="102">
        <v>79600</v>
      </c>
      <c r="J10" s="100">
        <f t="shared" si="0"/>
        <v>-43769</v>
      </c>
      <c r="K10" s="101">
        <f>'[75]Ocean Carrier'!$F$37</f>
        <v>0.92708333333575865</v>
      </c>
      <c r="L10" s="101">
        <f>'[75]Ocean Carrier'!$F$37-'[75]Ocean Carrier'!$F$31</f>
        <v>0.68576388889414375</v>
      </c>
      <c r="M10" s="102">
        <f t="shared" si="1"/>
        <v>38649.168539224731</v>
      </c>
      <c r="N10" s="102">
        <f t="shared" si="2"/>
        <v>52249.762024916075</v>
      </c>
      <c r="O10" s="98">
        <v>30000</v>
      </c>
      <c r="P10" s="108">
        <v>189.01</v>
      </c>
      <c r="Q10" s="108">
        <v>184.1</v>
      </c>
      <c r="R10" s="24">
        <f t="shared" si="3"/>
        <v>4.9099999999999966</v>
      </c>
      <c r="S10" s="103">
        <f t="shared" si="6"/>
        <v>0.1575082515397152</v>
      </c>
      <c r="T10" s="103">
        <f t="shared" si="7"/>
        <v>0.16121432804653202</v>
      </c>
      <c r="U10" s="103"/>
      <c r="V10" s="26"/>
      <c r="X10" s="105">
        <v>2.15</v>
      </c>
      <c r="Y10" s="33">
        <f t="shared" si="4"/>
        <v>77036.649999999994</v>
      </c>
      <c r="Z10" s="33"/>
      <c r="AA10" s="106">
        <v>5086.0277777252286</v>
      </c>
      <c r="AB10" s="107">
        <f t="shared" si="5"/>
        <v>-1074.93</v>
      </c>
      <c r="AC10" s="101"/>
    </row>
    <row r="11" spans="1:29" s="24" customFormat="1" ht="12.9" customHeight="1" x14ac:dyDescent="0.3">
      <c r="A11" s="23">
        <v>43111.715277777781</v>
      </c>
      <c r="B11" s="23">
        <v>43112.454861111109</v>
      </c>
      <c r="C11" s="23"/>
      <c r="D11" s="14">
        <v>2000000014</v>
      </c>
      <c r="E11" s="24" t="s">
        <v>102</v>
      </c>
      <c r="F11" s="25" t="s">
        <v>32</v>
      </c>
      <c r="G11" s="102">
        <v>26552</v>
      </c>
      <c r="H11" s="102" t="s">
        <v>33</v>
      </c>
      <c r="I11" s="102">
        <v>67150</v>
      </c>
      <c r="J11" s="100">
        <f t="shared" si="0"/>
        <v>-40598</v>
      </c>
      <c r="K11" s="101">
        <f>'[75]Shao Shan 1'!$F$38</f>
        <v>0.73958333332848269</v>
      </c>
      <c r="L11" s="101">
        <f>'[75]Shao Shan 1'!$F$38-'[75]Shao Shan 1'!$F$32</f>
        <v>0.47395833332848269</v>
      </c>
      <c r="M11" s="102">
        <f t="shared" si="1"/>
        <v>35901.295774883351</v>
      </c>
      <c r="N11" s="102">
        <f t="shared" si="2"/>
        <v>56021.802198375546</v>
      </c>
      <c r="O11" s="98">
        <v>30000</v>
      </c>
      <c r="P11" s="108">
        <v>182.47</v>
      </c>
      <c r="Q11" s="108">
        <v>178.43</v>
      </c>
      <c r="R11" s="24">
        <f t="shared" si="3"/>
        <v>4.039999999999992</v>
      </c>
      <c r="S11" s="103">
        <f t="shared" si="6"/>
        <v>0.1748899578532514</v>
      </c>
      <c r="T11" s="103">
        <f t="shared" si="7"/>
        <v>0.17900501568509258</v>
      </c>
      <c r="U11" s="103"/>
      <c r="V11" s="18"/>
      <c r="W11" s="15"/>
      <c r="X11" s="105">
        <v>2.15</v>
      </c>
      <c r="Y11" s="33">
        <f t="shared" si="4"/>
        <v>57086.799999999996</v>
      </c>
      <c r="Z11" s="33"/>
      <c r="AA11" s="106">
        <v>4111.08333338184</v>
      </c>
      <c r="AB11" s="107">
        <f t="shared" si="5"/>
        <v>-796.56</v>
      </c>
      <c r="AC11" s="101"/>
    </row>
    <row r="12" spans="1:29" s="24" customFormat="1" ht="12.9" customHeight="1" x14ac:dyDescent="0.3">
      <c r="A12" s="23">
        <v>43115.96875</v>
      </c>
      <c r="B12" s="23">
        <v>43116.583333333336</v>
      </c>
      <c r="C12" s="23"/>
      <c r="D12" s="14">
        <v>2000000015</v>
      </c>
      <c r="E12" s="24" t="s">
        <v>103</v>
      </c>
      <c r="F12" s="25" t="s">
        <v>32</v>
      </c>
      <c r="G12" s="102">
        <v>16058</v>
      </c>
      <c r="H12" s="102" t="s">
        <v>36</v>
      </c>
      <c r="I12" s="102">
        <v>67000</v>
      </c>
      <c r="J12" s="98">
        <f t="shared" si="0"/>
        <v>-50942</v>
      </c>
      <c r="K12" s="101">
        <f>'[75]Dewi Parwati'!$F$33</f>
        <v>0.61458333333575865</v>
      </c>
      <c r="L12" s="101">
        <f>'[75]Dewi Parwati'!$F$33-'[75]Dewi Parwati'!$F$27</f>
        <v>0.3246527777700976</v>
      </c>
      <c r="M12" s="102">
        <f t="shared" si="1"/>
        <v>26128.27118633757</v>
      </c>
      <c r="N12" s="102">
        <f t="shared" si="2"/>
        <v>49462.074867480267</v>
      </c>
      <c r="O12" s="98">
        <v>30000</v>
      </c>
      <c r="P12" s="108">
        <v>173.89</v>
      </c>
      <c r="Q12" s="108">
        <v>171.12</v>
      </c>
      <c r="R12" s="108">
        <f t="shared" si="3"/>
        <v>2.7699999999999818</v>
      </c>
      <c r="S12" s="103">
        <f t="shared" si="6"/>
        <v>0.19827550417094225</v>
      </c>
      <c r="T12" s="103">
        <f t="shared" si="7"/>
        <v>0.202940810151435</v>
      </c>
      <c r="U12" s="103"/>
      <c r="V12" s="26"/>
      <c r="X12" s="105">
        <v>2.15</v>
      </c>
      <c r="Y12" s="33">
        <f t="shared" si="4"/>
        <v>34524.699999999997</v>
      </c>
      <c r="Z12" s="33"/>
      <c r="AA12" s="106">
        <v>2106.1388889656905</v>
      </c>
      <c r="AB12" s="107">
        <f t="shared" si="5"/>
        <v>-481.74</v>
      </c>
    </row>
    <row r="13" spans="1:29" s="24" customFormat="1" ht="12.9" customHeight="1" x14ac:dyDescent="0.3">
      <c r="A13" s="23">
        <v>43117.673611111109</v>
      </c>
      <c r="B13" s="23">
        <v>43120.729166666664</v>
      </c>
      <c r="C13" s="23"/>
      <c r="D13" s="14">
        <v>2000000016</v>
      </c>
      <c r="E13" s="109" t="s">
        <v>104</v>
      </c>
      <c r="F13" s="110" t="s">
        <v>32</v>
      </c>
      <c r="G13" s="102">
        <v>77000</v>
      </c>
      <c r="H13" s="111" t="s">
        <v>33</v>
      </c>
      <c r="I13" s="111">
        <v>77000</v>
      </c>
      <c r="J13" s="98">
        <f t="shared" si="0"/>
        <v>0</v>
      </c>
      <c r="K13" s="112">
        <f>'[75]Ying Shun'!$F$64</f>
        <v>3.0555555555547471</v>
      </c>
      <c r="L13" s="112">
        <f>'[75]Ying Shun'!$F$64-'[75]Ying Shun'!$F$58</f>
        <v>1.4427083333393966</v>
      </c>
      <c r="M13" s="102">
        <f t="shared" si="1"/>
        <v>25200.000000006668</v>
      </c>
      <c r="N13" s="102">
        <f t="shared" si="2"/>
        <v>53371.841155010348</v>
      </c>
      <c r="O13" s="111">
        <v>30000</v>
      </c>
      <c r="P13" s="113">
        <v>169.48</v>
      </c>
      <c r="Q13" s="113">
        <v>157.29</v>
      </c>
      <c r="R13" s="113">
        <f t="shared" si="3"/>
        <v>12.189999999999998</v>
      </c>
      <c r="S13" s="103">
        <f t="shared" si="6"/>
        <v>0.18196745782952678</v>
      </c>
      <c r="T13" s="103">
        <f t="shared" si="7"/>
        <v>0.18624904507257445</v>
      </c>
      <c r="U13" s="103"/>
      <c r="V13" s="26"/>
      <c r="X13" s="105">
        <v>2.15</v>
      </c>
      <c r="Y13" s="33">
        <f t="shared" si="4"/>
        <v>165550</v>
      </c>
      <c r="Z13" s="33"/>
      <c r="AA13" s="114">
        <v>11239.583333272702</v>
      </c>
      <c r="AB13" s="107">
        <f t="shared" si="5"/>
        <v>-2310</v>
      </c>
    </row>
    <row r="14" spans="1:29" s="24" customFormat="1" ht="12.9" customHeight="1" x14ac:dyDescent="0.3">
      <c r="A14" s="23">
        <v>43121.708333333336</v>
      </c>
      <c r="B14" s="23">
        <v>43127.145833333336</v>
      </c>
      <c r="C14" s="23"/>
      <c r="D14" s="14">
        <v>2000000017</v>
      </c>
      <c r="E14" s="109" t="s">
        <v>105</v>
      </c>
      <c r="F14" s="110" t="s">
        <v>32</v>
      </c>
      <c r="G14" s="102">
        <v>99000</v>
      </c>
      <c r="H14" s="111" t="s">
        <v>33</v>
      </c>
      <c r="I14" s="111">
        <v>99000</v>
      </c>
      <c r="J14" s="111">
        <f t="shared" si="0"/>
        <v>0</v>
      </c>
      <c r="K14" s="112">
        <f>'[75]Eastern Glamour'!$F$65</f>
        <v>5.4375</v>
      </c>
      <c r="L14" s="112">
        <f>'[75]Eastern Glamour'!$F$65-'[75]Eastern Glamour'!$F$59</f>
        <v>1.9010416666933452</v>
      </c>
      <c r="M14" s="102">
        <f t="shared" si="1"/>
        <v>18206.896551724138</v>
      </c>
      <c r="N14" s="102">
        <f>G14/L14</f>
        <v>52076.712328036301</v>
      </c>
      <c r="O14" s="111">
        <v>30000</v>
      </c>
      <c r="P14" s="113">
        <v>155.75</v>
      </c>
      <c r="Q14" s="113">
        <v>138.38999999999999</v>
      </c>
      <c r="R14" s="113">
        <f t="shared" si="3"/>
        <v>17.360000000000014</v>
      </c>
      <c r="S14" s="103">
        <f t="shared" si="6"/>
        <v>0.20155578776268449</v>
      </c>
      <c r="T14" s="103">
        <f t="shared" si="7"/>
        <v>0.20629827688651234</v>
      </c>
      <c r="U14" s="103"/>
      <c r="V14" s="26"/>
      <c r="X14" s="105">
        <v>2.15</v>
      </c>
      <c r="Y14" s="33">
        <f t="shared" si="4"/>
        <v>212850</v>
      </c>
      <c r="Z14" s="33"/>
      <c r="AA14" s="114">
        <v>13989.583333066546</v>
      </c>
      <c r="AB14" s="107">
        <f t="shared" si="5"/>
        <v>-2970</v>
      </c>
    </row>
    <row r="15" spans="1:29" s="24" customFormat="1" ht="12.9" customHeight="1" x14ac:dyDescent="0.3">
      <c r="A15" s="23">
        <v>43129.104166666664</v>
      </c>
      <c r="B15" s="23">
        <v>43130.559027777781</v>
      </c>
      <c r="C15" s="23"/>
      <c r="D15" s="14">
        <v>2000000018</v>
      </c>
      <c r="E15" s="109" t="s">
        <v>106</v>
      </c>
      <c r="F15" s="110" t="s">
        <v>32</v>
      </c>
      <c r="G15" s="102">
        <v>31740</v>
      </c>
      <c r="H15" s="111" t="s">
        <v>33</v>
      </c>
      <c r="I15" s="111">
        <v>65804</v>
      </c>
      <c r="J15" s="111">
        <f t="shared" si="0"/>
        <v>-34064</v>
      </c>
      <c r="K15" s="112">
        <f>'[75]Well Deep'!$F$35</f>
        <v>1.4548611111167702</v>
      </c>
      <c r="L15" s="112">
        <f>'[75]Well Deep'!$F$35-'[75]Well Deep'!$F$31</f>
        <v>0.66493055556566105</v>
      </c>
      <c r="M15" s="102">
        <f t="shared" si="1"/>
        <v>21816.515513041631</v>
      </c>
      <c r="N15" s="102">
        <f>G15/L15</f>
        <v>47734.308093269319</v>
      </c>
      <c r="O15" s="111">
        <v>30000</v>
      </c>
      <c r="P15" s="113">
        <v>135.66999999999999</v>
      </c>
      <c r="Q15" s="113">
        <v>130.05000000000001</v>
      </c>
      <c r="R15" s="113">
        <f t="shared" si="3"/>
        <v>5.6199999999999761</v>
      </c>
      <c r="S15" s="103">
        <f t="shared" si="6"/>
        <v>0.20352142769195025</v>
      </c>
      <c r="T15" s="103">
        <f t="shared" si="7"/>
        <v>0.20831016716705497</v>
      </c>
      <c r="U15" s="103"/>
      <c r="V15" s="26"/>
      <c r="X15" s="105">
        <v>2.15</v>
      </c>
      <c r="Y15" s="33">
        <f t="shared" si="4"/>
        <v>68241</v>
      </c>
      <c r="Z15" s="33"/>
      <c r="AA15" s="115">
        <v>3930.6944443433899</v>
      </c>
      <c r="AB15" s="107">
        <f t="shared" si="5"/>
        <v>-952.19999999999993</v>
      </c>
    </row>
    <row r="16" spans="1:29" s="15" customFormat="1" ht="12.9" customHeight="1" x14ac:dyDescent="0.3">
      <c r="A16" s="13"/>
      <c r="B16" s="13"/>
      <c r="C16" s="13"/>
      <c r="D16" s="13"/>
      <c r="E16" s="49" t="s">
        <v>29</v>
      </c>
      <c r="F16" s="49"/>
      <c r="G16" s="116">
        <f>375000-G18</f>
        <v>10634</v>
      </c>
      <c r="H16" s="117"/>
      <c r="I16" s="117"/>
      <c r="J16" s="117"/>
      <c r="K16" s="118"/>
      <c r="L16" s="118"/>
      <c r="M16" s="117"/>
      <c r="N16" s="117"/>
      <c r="O16" s="117"/>
      <c r="P16" s="119"/>
      <c r="Q16" s="119"/>
      <c r="R16" s="119"/>
      <c r="S16" s="119"/>
      <c r="T16" s="119"/>
      <c r="U16" s="119"/>
      <c r="V16" s="18"/>
      <c r="X16" s="105">
        <v>2.15</v>
      </c>
      <c r="Y16" s="33">
        <f t="shared" si="4"/>
        <v>22863.1</v>
      </c>
      <c r="Z16" s="19"/>
      <c r="AA16" s="120"/>
      <c r="AB16" s="121"/>
    </row>
    <row r="17" spans="1:29" s="15" customFormat="1" ht="12.9" customHeight="1" x14ac:dyDescent="0.3">
      <c r="A17" s="13"/>
      <c r="B17" s="13"/>
      <c r="C17" s="13"/>
      <c r="D17" s="13"/>
      <c r="E17" s="49" t="s">
        <v>29</v>
      </c>
      <c r="F17" s="49"/>
      <c r="G17" s="116">
        <v>46875</v>
      </c>
      <c r="H17" s="117"/>
      <c r="I17" s="117"/>
      <c r="J17" s="117"/>
      <c r="K17" s="118"/>
      <c r="L17" s="118"/>
      <c r="M17" s="117"/>
      <c r="N17" s="117"/>
      <c r="O17" s="117"/>
      <c r="P17" s="119"/>
      <c r="Q17" s="119"/>
      <c r="R17" s="119"/>
      <c r="S17" s="119"/>
      <c r="T17" s="119"/>
      <c r="U17" s="119"/>
      <c r="V17" s="18"/>
      <c r="X17" s="105">
        <v>2.15</v>
      </c>
      <c r="Y17" s="33">
        <f t="shared" si="4"/>
        <v>100781.25</v>
      </c>
      <c r="Z17" s="19"/>
      <c r="AA17" s="120"/>
      <c r="AB17" s="121"/>
    </row>
    <row r="18" spans="1:29" s="20" customFormat="1" ht="12.9" customHeight="1" x14ac:dyDescent="0.3">
      <c r="C18" s="24">
        <v>1000000002</v>
      </c>
      <c r="D18" s="24"/>
      <c r="E18" s="122" t="s">
        <v>30</v>
      </c>
      <c r="F18" s="123"/>
      <c r="G18" s="124">
        <f>SUM(G8:G15)</f>
        <v>364366</v>
      </c>
      <c r="H18" s="124"/>
      <c r="I18" s="124"/>
      <c r="J18" s="124"/>
      <c r="K18" s="125">
        <f>SUM(K8:K15)</f>
        <v>14.788194444452529</v>
      </c>
      <c r="L18" s="125">
        <f>SUM(L8:L15)</f>
        <v>7.0434027778283053</v>
      </c>
      <c r="M18" s="124">
        <f>G18/K18</f>
        <v>24638.978163874766</v>
      </c>
      <c r="N18" s="124">
        <f>G18/L18</f>
        <v>51731.529701378953</v>
      </c>
      <c r="O18" s="124"/>
      <c r="P18" s="124"/>
      <c r="Q18" s="124"/>
      <c r="R18" s="126">
        <f>SUM(R8:R15)</f>
        <v>58.19999999999996</v>
      </c>
      <c r="S18" s="127">
        <f>R18/8.7*10000/G18</f>
        <v>0.18359712960083516</v>
      </c>
      <c r="T18" s="127">
        <f>R18/8.5*10000/G18</f>
        <v>0.18791706206203121</v>
      </c>
      <c r="U18" s="128">
        <f>(T18-S18)/T18</f>
        <v>2.2988505747126076E-2</v>
      </c>
      <c r="V18" s="129">
        <v>421875</v>
      </c>
      <c r="W18" s="129">
        <f>G18-V18</f>
        <v>-57509</v>
      </c>
      <c r="X18" s="130"/>
      <c r="Y18" s="131">
        <f>SUM(Y8:Y17)</f>
        <v>907031.25</v>
      </c>
      <c r="Z18" s="131"/>
      <c r="AA18" s="131">
        <f>SUM(AA8:AA15)</f>
        <v>51021.305555050283</v>
      </c>
      <c r="AB18" s="132">
        <f>SUM(AB8:AB15)</f>
        <v>-10930.980000000001</v>
      </c>
    </row>
    <row r="19" spans="1:29" s="24" customFormat="1" ht="12.9" customHeight="1" x14ac:dyDescent="0.3">
      <c r="A19" s="23">
        <v>43132.590277777781</v>
      </c>
      <c r="B19" s="23">
        <v>43136.736111111109</v>
      </c>
      <c r="C19" s="23"/>
      <c r="D19" s="14">
        <v>2000000029</v>
      </c>
      <c r="E19" s="24" t="s">
        <v>107</v>
      </c>
      <c r="F19" s="25" t="s">
        <v>32</v>
      </c>
      <c r="G19" s="102">
        <v>70783</v>
      </c>
      <c r="H19" s="102" t="s">
        <v>33</v>
      </c>
      <c r="I19" s="102">
        <v>70620</v>
      </c>
      <c r="J19" s="98">
        <f>G19-I19</f>
        <v>163</v>
      </c>
      <c r="K19" s="101">
        <f>'[76]New Herald'!$F$67</f>
        <v>4.1458333333284827</v>
      </c>
      <c r="L19" s="101">
        <f>'[76]New Herald'!$F$67-'[76]New Herald'!$F$61</f>
        <v>1.4027777778028394</v>
      </c>
      <c r="M19" s="102">
        <f>G19/K19</f>
        <v>17073.286432180779</v>
      </c>
      <c r="N19" s="102">
        <f>G19/L19</f>
        <v>50459.168315930197</v>
      </c>
      <c r="O19" s="98">
        <v>30000</v>
      </c>
      <c r="P19" s="108">
        <v>126.05</v>
      </c>
      <c r="Q19" s="108">
        <v>112.55</v>
      </c>
      <c r="R19" s="24">
        <f>P19-Q19</f>
        <v>13.5</v>
      </c>
      <c r="S19" s="103">
        <f>R19/8.7*10000/G19</f>
        <v>0.21922271420129619</v>
      </c>
      <c r="T19" s="103">
        <f>R19/8.5*10000/G19</f>
        <v>0.22438089571191486</v>
      </c>
      <c r="U19" s="103"/>
      <c r="V19" s="133"/>
      <c r="W19" s="104"/>
      <c r="X19" s="105">
        <v>2.15</v>
      </c>
      <c r="Y19" s="33">
        <f t="shared" ref="Y19:Y24" si="8">G19*X19</f>
        <v>152183.44999999998</v>
      </c>
      <c r="Z19" s="33"/>
      <c r="AA19" s="106">
        <v>9566.5555553049417</v>
      </c>
      <c r="AB19" s="107">
        <f>(G19*-0.02)</f>
        <v>-1415.66</v>
      </c>
    </row>
    <row r="20" spans="1:29" s="24" customFormat="1" ht="12.9" customHeight="1" x14ac:dyDescent="0.3">
      <c r="A20" s="23">
        <v>43136.993055555555</v>
      </c>
      <c r="B20" s="23">
        <v>43141.697916666664</v>
      </c>
      <c r="C20" s="23"/>
      <c r="D20" s="14">
        <v>2000000030</v>
      </c>
      <c r="E20" s="24" t="s">
        <v>108</v>
      </c>
      <c r="F20" s="25" t="s">
        <v>32</v>
      </c>
      <c r="G20" s="102">
        <v>72900</v>
      </c>
      <c r="H20" s="102" t="s">
        <v>33</v>
      </c>
      <c r="I20" s="102">
        <v>72900</v>
      </c>
      <c r="J20" s="98">
        <f>G20-I20</f>
        <v>0</v>
      </c>
      <c r="K20" s="101">
        <f>'[76]Dubai Pride'!$F$62</f>
        <v>4.7048611111094942</v>
      </c>
      <c r="L20" s="101">
        <f>'[76]Dubai Pride'!$F$62-'[76]Dubai Pride'!$F$56</f>
        <v>1.4201388889086957</v>
      </c>
      <c r="M20" s="102">
        <f>G20/K20</f>
        <v>15494.612546130786</v>
      </c>
      <c r="N20" s="102">
        <f>G20/L20</f>
        <v>51333.007334247377</v>
      </c>
      <c r="O20" s="98">
        <v>30000</v>
      </c>
      <c r="P20" s="108">
        <v>112.34</v>
      </c>
      <c r="Q20" s="108">
        <v>98.48</v>
      </c>
      <c r="R20" s="24">
        <f>P20-Q20</f>
        <v>13.86</v>
      </c>
      <c r="S20" s="103">
        <f>R20/8.7*10000/G20</f>
        <v>0.21853270895416491</v>
      </c>
      <c r="T20" s="103">
        <f>R20/8.5*10000/G20</f>
        <v>0.22367465504720407</v>
      </c>
      <c r="U20" s="103"/>
      <c r="V20" s="133"/>
      <c r="X20" s="105">
        <v>2.15</v>
      </c>
      <c r="Y20" s="33">
        <f t="shared" si="8"/>
        <v>156735</v>
      </c>
      <c r="Z20" s="33"/>
      <c r="AA20" s="106">
        <v>10098.611110913045</v>
      </c>
      <c r="AB20" s="107">
        <f>(G20*-0.02)</f>
        <v>-1458</v>
      </c>
    </row>
    <row r="21" spans="1:29" s="24" customFormat="1" ht="12.9" customHeight="1" x14ac:dyDescent="0.3">
      <c r="A21" s="23">
        <v>43144.5625</v>
      </c>
      <c r="B21" s="23">
        <v>43148.8125</v>
      </c>
      <c r="C21" s="23"/>
      <c r="D21" s="14">
        <v>2000000031</v>
      </c>
      <c r="E21" s="24" t="s">
        <v>109</v>
      </c>
      <c r="F21" s="25" t="s">
        <v>32</v>
      </c>
      <c r="G21" s="102">
        <v>64588</v>
      </c>
      <c r="H21" s="102" t="s">
        <v>33</v>
      </c>
      <c r="I21" s="102">
        <v>64580</v>
      </c>
      <c r="J21" s="98">
        <f>G21-I21</f>
        <v>8</v>
      </c>
      <c r="K21" s="101">
        <f>'[76]Yue Dian 81'!$F$59</f>
        <v>4.25</v>
      </c>
      <c r="L21" s="101">
        <f>'[76]Yue Dian 81'!$F$59-'[76]Yue Dian 81'!$F$53</f>
        <v>1.2031249999890861</v>
      </c>
      <c r="M21" s="102">
        <f>G21/K21</f>
        <v>15197.176470588236</v>
      </c>
      <c r="N21" s="102">
        <f>G21/L21</f>
        <v>53683.532468019446</v>
      </c>
      <c r="O21" s="98">
        <v>30000</v>
      </c>
      <c r="P21" s="108">
        <v>94.48</v>
      </c>
      <c r="Q21" s="108">
        <v>82.39</v>
      </c>
      <c r="R21" s="24">
        <f>P21-Q21</f>
        <v>12.090000000000003</v>
      </c>
      <c r="S21" s="103">
        <f>R21/8.7*10000/G21</f>
        <v>0.21515686697432859</v>
      </c>
      <c r="T21" s="103">
        <f>R21/8.5*10000/G21</f>
        <v>0.22021938149137163</v>
      </c>
      <c r="U21" s="103"/>
      <c r="V21" s="133"/>
      <c r="X21" s="105">
        <v>2.15</v>
      </c>
      <c r="Y21" s="33">
        <f t="shared" si="8"/>
        <v>138864.19999999998</v>
      </c>
      <c r="Z21" s="33"/>
      <c r="AA21" s="106">
        <v>9498.0833334424733</v>
      </c>
      <c r="AB21" s="107">
        <f>(G21*-0.02)</f>
        <v>-1291.76</v>
      </c>
    </row>
    <row r="22" spans="1:29" s="24" customFormat="1" ht="12.9" customHeight="1" x14ac:dyDescent="0.3">
      <c r="A22" s="23">
        <v>43154.041666666664</v>
      </c>
      <c r="B22" s="23">
        <v>43156.75</v>
      </c>
      <c r="C22" s="23"/>
      <c r="D22" s="14">
        <v>2000000032</v>
      </c>
      <c r="E22" s="35" t="s">
        <v>110</v>
      </c>
      <c r="F22" s="36" t="s">
        <v>58</v>
      </c>
      <c r="G22" s="102">
        <v>78694</v>
      </c>
      <c r="H22" s="102" t="s">
        <v>49</v>
      </c>
      <c r="I22" s="102">
        <v>165000</v>
      </c>
      <c r="J22" s="98">
        <f>G22-I22</f>
        <v>-86306</v>
      </c>
      <c r="K22" s="101">
        <f>'[76]MSXT Capella'!$F$57</f>
        <v>2.7083333333357587</v>
      </c>
      <c r="L22" s="101">
        <f>'[76]MSXT Capella'!$F$57-'[76]MSXT Capella'!$F$53</f>
        <v>1.6736111111349601</v>
      </c>
      <c r="M22" s="102">
        <f>G22/K22</f>
        <v>29056.246153820135</v>
      </c>
      <c r="N22" s="102">
        <f>G22/L22</f>
        <v>47020.481327130787</v>
      </c>
      <c r="O22" s="98">
        <v>30000</v>
      </c>
      <c r="P22" s="108">
        <v>75.489999999999995</v>
      </c>
      <c r="Q22" s="108">
        <v>64.44</v>
      </c>
      <c r="R22" s="24">
        <f>P22-Q22</f>
        <v>11.049999999999997</v>
      </c>
      <c r="S22" s="103">
        <f>R22/8.7*10000/G22</f>
        <v>0.16139920991800333</v>
      </c>
      <c r="T22" s="103">
        <f>R22/8.5*10000/G22</f>
        <v>0.16519683838666221</v>
      </c>
      <c r="U22" s="103"/>
      <c r="V22" s="133"/>
      <c r="X22" s="105">
        <v>2.15</v>
      </c>
      <c r="Y22" s="33">
        <f t="shared" si="8"/>
        <v>169192.1</v>
      </c>
      <c r="Z22" s="33"/>
      <c r="AA22" s="106">
        <v>9495.2222219837349</v>
      </c>
      <c r="AB22" s="107">
        <f>(G22*-0.02)</f>
        <v>-1573.88</v>
      </c>
    </row>
    <row r="23" spans="1:29" s="15" customFormat="1" ht="12.9" customHeight="1" x14ac:dyDescent="0.3">
      <c r="A23" s="13"/>
      <c r="B23" s="13"/>
      <c r="C23" s="13"/>
      <c r="D23" s="13"/>
      <c r="E23" s="39" t="s">
        <v>29</v>
      </c>
      <c r="F23" s="40"/>
      <c r="G23" s="116">
        <f>375000-SUM(G19:G22)</f>
        <v>88035</v>
      </c>
      <c r="H23" s="116"/>
      <c r="I23" s="116"/>
      <c r="J23" s="116"/>
      <c r="K23" s="134"/>
      <c r="L23" s="134"/>
      <c r="M23" s="116"/>
      <c r="N23" s="116"/>
      <c r="O23" s="135"/>
      <c r="P23" s="136"/>
      <c r="Q23" s="136"/>
      <c r="R23" s="136"/>
      <c r="S23" s="136"/>
      <c r="T23" s="136"/>
      <c r="U23" s="136"/>
      <c r="V23" s="137"/>
      <c r="X23" s="105">
        <v>2.15</v>
      </c>
      <c r="Y23" s="33">
        <f t="shared" si="8"/>
        <v>189275.25</v>
      </c>
      <c r="Z23" s="19"/>
      <c r="AA23" s="138"/>
      <c r="AB23" s="121"/>
    </row>
    <row r="24" spans="1:29" s="15" customFormat="1" ht="12.9" customHeight="1" x14ac:dyDescent="0.3">
      <c r="A24" s="13"/>
      <c r="B24" s="13"/>
      <c r="C24" s="13"/>
      <c r="D24" s="13"/>
      <c r="E24" s="39" t="s">
        <v>29</v>
      </c>
      <c r="F24" s="40"/>
      <c r="G24" s="116">
        <v>46875</v>
      </c>
      <c r="H24" s="116"/>
      <c r="I24" s="116"/>
      <c r="J24" s="116"/>
      <c r="K24" s="134"/>
      <c r="L24" s="134"/>
      <c r="M24" s="116"/>
      <c r="N24" s="116"/>
      <c r="O24" s="135"/>
      <c r="P24" s="136"/>
      <c r="Q24" s="136"/>
      <c r="R24" s="136"/>
      <c r="S24" s="136"/>
      <c r="T24" s="136"/>
      <c r="U24" s="136"/>
      <c r="V24" s="137"/>
      <c r="X24" s="105">
        <v>2.15</v>
      </c>
      <c r="Y24" s="33">
        <f t="shared" si="8"/>
        <v>100781.25</v>
      </c>
      <c r="Z24" s="19"/>
      <c r="AA24" s="138"/>
      <c r="AB24" s="121"/>
    </row>
    <row r="25" spans="1:29" s="24" customFormat="1" ht="12.9" customHeight="1" x14ac:dyDescent="0.3">
      <c r="C25" s="24">
        <v>1000000008</v>
      </c>
      <c r="E25" s="122" t="s">
        <v>37</v>
      </c>
      <c r="F25" s="123"/>
      <c r="G25" s="124">
        <f>SUM(G19:G22)</f>
        <v>286965</v>
      </c>
      <c r="H25" s="124"/>
      <c r="I25" s="124"/>
      <c r="J25" s="124"/>
      <c r="K25" s="125">
        <f>SUM(K19:K24)</f>
        <v>15.809027777773736</v>
      </c>
      <c r="L25" s="125">
        <f>SUM(L19:L24)</f>
        <v>5.6996527778355812</v>
      </c>
      <c r="M25" s="124">
        <f t="shared" ref="M25:M32" si="9">G25/K25</f>
        <v>18151.970129589532</v>
      </c>
      <c r="N25" s="124">
        <f>G25/L25</f>
        <v>50347.803837442487</v>
      </c>
      <c r="O25" s="124"/>
      <c r="P25" s="124"/>
      <c r="Q25" s="124"/>
      <c r="R25" s="126">
        <f>SUM(R19:R23)</f>
        <v>50.5</v>
      </c>
      <c r="S25" s="127">
        <f t="shared" ref="S25:S32" si="10">R25/8.7*10000/G25</f>
        <v>0.2022754587196845</v>
      </c>
      <c r="T25" s="127">
        <f>R25/8.5*10000/G25</f>
        <v>0.20703488127779471</v>
      </c>
      <c r="U25" s="128">
        <f>(T25-S25)/T25</f>
        <v>2.2988505747126374E-2</v>
      </c>
      <c r="V25" s="129">
        <v>421875</v>
      </c>
      <c r="W25" s="129">
        <f>G25-V25</f>
        <v>-134910</v>
      </c>
      <c r="X25" s="130"/>
      <c r="Y25" s="131">
        <f>SUM(Y19:Y24)</f>
        <v>907031.24999999988</v>
      </c>
      <c r="Z25" s="131"/>
      <c r="AA25" s="131">
        <f>SUM(AA19:AA22)</f>
        <v>38658.472221644195</v>
      </c>
      <c r="AB25" s="132">
        <f>SUM(AB19:AB22)</f>
        <v>-5739.3</v>
      </c>
    </row>
    <row r="26" spans="1:29" s="142" customFormat="1" ht="12.9" customHeight="1" x14ac:dyDescent="0.3">
      <c r="A26" s="23">
        <v>43158.583333333336</v>
      </c>
      <c r="B26" s="23">
        <v>43161.0625</v>
      </c>
      <c r="C26" s="23"/>
      <c r="D26" s="25">
        <v>2000000043</v>
      </c>
      <c r="E26" s="35" t="s">
        <v>111</v>
      </c>
      <c r="F26" s="36" t="s">
        <v>32</v>
      </c>
      <c r="G26" s="139">
        <v>66000</v>
      </c>
      <c r="H26" s="139" t="s">
        <v>36</v>
      </c>
      <c r="I26" s="139">
        <v>66000</v>
      </c>
      <c r="J26" s="98">
        <f t="shared" ref="J26:J32" si="11">G26-I26</f>
        <v>0</v>
      </c>
      <c r="K26" s="101">
        <f>'[77]Andhika Paramesti'!$F$58</f>
        <v>2.4791666666642413</v>
      </c>
      <c r="L26" s="101">
        <f>'[77]Andhika Paramesti'!$F$58-'[77]Andhika Paramesti'!$F$52</f>
        <v>1.265624999992724</v>
      </c>
      <c r="M26" s="102">
        <f t="shared" si="9"/>
        <v>26621.848739521844</v>
      </c>
      <c r="N26" s="102">
        <f t="shared" ref="N26:N31" si="12">G26/L26</f>
        <v>52148.148148447945</v>
      </c>
      <c r="O26" s="98">
        <v>30000</v>
      </c>
      <c r="P26" s="108">
        <v>61.96</v>
      </c>
      <c r="Q26" s="108">
        <v>52.16</v>
      </c>
      <c r="R26" s="24">
        <f t="shared" ref="R26:R32" si="13">P26-Q26</f>
        <v>9.8000000000000043</v>
      </c>
      <c r="S26" s="103">
        <f t="shared" si="10"/>
        <v>0.17067223963775699</v>
      </c>
      <c r="T26" s="103">
        <f t="shared" ref="T26:T32" si="14">R26/8.5*10000/G26</f>
        <v>0.1746880570409983</v>
      </c>
      <c r="U26" s="103"/>
      <c r="V26" s="140"/>
      <c r="W26" s="141"/>
      <c r="X26" s="105">
        <v>2.15</v>
      </c>
      <c r="Y26" s="33">
        <f t="shared" ref="Y26:Y35" si="15">G26*X26</f>
        <v>141900</v>
      </c>
      <c r="Z26" s="33"/>
      <c r="AA26" s="107">
        <v>9343.7500000727614</v>
      </c>
      <c r="AB26" s="107">
        <f t="shared" ref="AB26:AB34" si="16">(G26*-0.02)</f>
        <v>-1320</v>
      </c>
      <c r="AC26" s="35"/>
    </row>
    <row r="27" spans="1:29" s="24" customFormat="1" ht="12.9" customHeight="1" x14ac:dyDescent="0.3">
      <c r="A27" s="23">
        <v>43164.916666666664</v>
      </c>
      <c r="B27" s="23">
        <v>43167.430555555555</v>
      </c>
      <c r="C27" s="23"/>
      <c r="D27" s="25">
        <v>2000000044</v>
      </c>
      <c r="E27" s="35" t="s">
        <v>112</v>
      </c>
      <c r="F27" s="36" t="s">
        <v>58</v>
      </c>
      <c r="G27" s="139">
        <v>77758</v>
      </c>
      <c r="H27" s="139" t="s">
        <v>49</v>
      </c>
      <c r="I27" s="139">
        <v>165000</v>
      </c>
      <c r="J27" s="98">
        <f t="shared" si="11"/>
        <v>-87242</v>
      </c>
      <c r="K27" s="101">
        <f>'[77]Night Kiss'!$F$62</f>
        <v>2.5138888888905058</v>
      </c>
      <c r="L27" s="101">
        <f>'[77]Night Kiss'!$F$62-'[77]Night Kiss'!$F$56</f>
        <v>1.5798611111204082</v>
      </c>
      <c r="M27" s="102">
        <f t="shared" si="9"/>
        <v>30931.359116002204</v>
      </c>
      <c r="N27" s="102">
        <f t="shared" si="12"/>
        <v>49218.250549160912</v>
      </c>
      <c r="O27" s="98">
        <v>30000</v>
      </c>
      <c r="P27" s="108">
        <v>219.91</v>
      </c>
      <c r="Q27" s="108">
        <v>209.01</v>
      </c>
      <c r="R27" s="24">
        <f t="shared" si="13"/>
        <v>10.900000000000006</v>
      </c>
      <c r="S27" s="103">
        <f t="shared" si="10"/>
        <v>0.16112471555574881</v>
      </c>
      <c r="T27" s="103">
        <f t="shared" si="14"/>
        <v>0.16491588533353113</v>
      </c>
      <c r="U27" s="103"/>
      <c r="V27" s="143"/>
      <c r="W27" s="104"/>
      <c r="X27" s="105">
        <v>2.15</v>
      </c>
      <c r="Y27" s="33">
        <f t="shared" si="15"/>
        <v>167179.69999999998</v>
      </c>
      <c r="Z27" s="33"/>
      <c r="AA27" s="107">
        <v>10120.722222129252</v>
      </c>
      <c r="AB27" s="107">
        <f t="shared" si="16"/>
        <v>-1555.16</v>
      </c>
    </row>
    <row r="28" spans="1:29" s="24" customFormat="1" ht="12.9" customHeight="1" x14ac:dyDescent="0.3">
      <c r="A28" s="23">
        <v>43171.888888888891</v>
      </c>
      <c r="B28" s="23">
        <v>43172.847222222219</v>
      </c>
      <c r="C28" s="23"/>
      <c r="D28" s="25">
        <v>2000000045</v>
      </c>
      <c r="E28" s="35" t="s">
        <v>64</v>
      </c>
      <c r="F28" s="36" t="s">
        <v>32</v>
      </c>
      <c r="G28" s="139">
        <v>34767</v>
      </c>
      <c r="H28" s="139" t="s">
        <v>33</v>
      </c>
      <c r="I28" s="139">
        <v>70900</v>
      </c>
      <c r="J28" s="98">
        <f t="shared" si="11"/>
        <v>-36133</v>
      </c>
      <c r="K28" s="101">
        <f>'[78]Zheng Hao'!$F$42</f>
        <v>0.95833333332848269</v>
      </c>
      <c r="L28" s="101">
        <f>'[78]Zheng Hao'!$F$42-'[78]Zheng Hao'!$F$36</f>
        <v>0.61458333331393078</v>
      </c>
      <c r="M28" s="102">
        <f t="shared" si="9"/>
        <v>36278.608695835799</v>
      </c>
      <c r="N28" s="102">
        <f t="shared" si="12"/>
        <v>56570.033900091017</v>
      </c>
      <c r="O28" s="98">
        <v>30000</v>
      </c>
      <c r="P28" s="108">
        <v>203.46</v>
      </c>
      <c r="Q28" s="108">
        <v>198.65</v>
      </c>
      <c r="R28" s="24">
        <f t="shared" si="13"/>
        <v>4.8100000000000023</v>
      </c>
      <c r="S28" s="103">
        <f t="shared" si="10"/>
        <v>0.15902251077699861</v>
      </c>
      <c r="T28" s="103">
        <f t="shared" si="14"/>
        <v>0.162764216912928</v>
      </c>
      <c r="U28" s="103"/>
      <c r="V28" s="143"/>
      <c r="W28" s="144"/>
      <c r="X28" s="105">
        <v>2.15</v>
      </c>
      <c r="Y28" s="33">
        <f t="shared" si="15"/>
        <v>74749.05</v>
      </c>
      <c r="Z28" s="33"/>
      <c r="AA28" s="107">
        <v>5443.1666668606922</v>
      </c>
      <c r="AB28" s="107">
        <f t="shared" si="16"/>
        <v>-695.34</v>
      </c>
    </row>
    <row r="29" spans="1:29" s="24" customFormat="1" ht="12.9" customHeight="1" x14ac:dyDescent="0.3">
      <c r="A29" s="23">
        <v>43173.798611111109</v>
      </c>
      <c r="B29" s="23">
        <v>43175.277777777781</v>
      </c>
      <c r="C29" s="23"/>
      <c r="D29" s="25">
        <v>2000000046</v>
      </c>
      <c r="E29" s="35" t="s">
        <v>113</v>
      </c>
      <c r="F29" s="36" t="s">
        <v>32</v>
      </c>
      <c r="G29" s="139">
        <v>36218</v>
      </c>
      <c r="H29" s="139" t="s">
        <v>33</v>
      </c>
      <c r="I29" s="139">
        <v>76000</v>
      </c>
      <c r="J29" s="98">
        <f t="shared" si="11"/>
        <v>-39782</v>
      </c>
      <c r="K29" s="101">
        <f>'[78]Chang Ming'!$F$43</f>
        <v>1.4791666666715173</v>
      </c>
      <c r="L29" s="101">
        <f>'[78]Chang Ming'!$F$43-'[78]Chang Ming'!$F$37</f>
        <v>0.81076388887231587</v>
      </c>
      <c r="M29" s="102">
        <f t="shared" si="9"/>
        <v>24485.408450623931</v>
      </c>
      <c r="N29" s="102">
        <f t="shared" si="12"/>
        <v>44671.451821041621</v>
      </c>
      <c r="O29" s="98">
        <v>30000</v>
      </c>
      <c r="P29" s="108">
        <v>197.42</v>
      </c>
      <c r="Q29" s="108">
        <v>191.26</v>
      </c>
      <c r="R29" s="24">
        <f t="shared" si="13"/>
        <v>6.1599999999999966</v>
      </c>
      <c r="S29" s="103">
        <f t="shared" si="10"/>
        <v>0.19549560357046053</v>
      </c>
      <c r="T29" s="103">
        <f t="shared" si="14"/>
        <v>0.20009550012505956</v>
      </c>
      <c r="U29" s="103"/>
      <c r="V29" s="143"/>
      <c r="W29" s="144"/>
      <c r="X29" s="105">
        <v>2.15</v>
      </c>
      <c r="Y29" s="33">
        <f t="shared" si="15"/>
        <v>77868.7</v>
      </c>
      <c r="Z29" s="33"/>
      <c r="AA29" s="145">
        <v>3965.0277779435082</v>
      </c>
      <c r="AB29" s="107">
        <f t="shared" si="16"/>
        <v>-724.36</v>
      </c>
    </row>
    <row r="30" spans="1:29" s="24" customFormat="1" ht="12.9" customHeight="1" x14ac:dyDescent="0.3">
      <c r="A30" s="23">
        <v>43175.96875</v>
      </c>
      <c r="B30" s="23">
        <v>43177.895833333336</v>
      </c>
      <c r="C30" s="146"/>
      <c r="D30" s="25">
        <v>2000000047</v>
      </c>
      <c r="E30" s="109" t="s">
        <v>114</v>
      </c>
      <c r="F30" s="110" t="s">
        <v>39</v>
      </c>
      <c r="G30" s="102">
        <v>55895</v>
      </c>
      <c r="H30" s="111" t="s">
        <v>33</v>
      </c>
      <c r="I30" s="111">
        <v>99000</v>
      </c>
      <c r="J30" s="111">
        <f t="shared" si="11"/>
        <v>-43105</v>
      </c>
      <c r="K30" s="112">
        <f>'[78]Captain Vangelis'!$F$46</f>
        <v>1.9270833333357587</v>
      </c>
      <c r="L30" s="112">
        <f>'[78]Captain Vangelis'!$F$46-'[78]Captain Vangelis'!$F$40</f>
        <v>1.0399305555547471</v>
      </c>
      <c r="M30" s="102">
        <f t="shared" si="9"/>
        <v>29004.97297293647</v>
      </c>
      <c r="N30" s="102">
        <f t="shared" si="12"/>
        <v>53748.781302212068</v>
      </c>
      <c r="O30" s="111">
        <v>30000</v>
      </c>
      <c r="P30" s="113">
        <v>190.41</v>
      </c>
      <c r="Q30" s="113">
        <v>182.23</v>
      </c>
      <c r="R30" s="113">
        <f t="shared" si="13"/>
        <v>8.1800000000000068</v>
      </c>
      <c r="S30" s="103">
        <f t="shared" si="10"/>
        <v>0.16821359424948062</v>
      </c>
      <c r="T30" s="103">
        <f t="shared" si="14"/>
        <v>0.17217156117299784</v>
      </c>
      <c r="U30" s="103"/>
      <c r="V30" s="26"/>
      <c r="X30" s="105">
        <v>2.15</v>
      </c>
      <c r="Y30" s="33">
        <f t="shared" si="15"/>
        <v>120174.25</v>
      </c>
      <c r="Z30" s="33"/>
      <c r="AA30" s="147">
        <v>8232.3611111191949</v>
      </c>
      <c r="AB30" s="107">
        <f t="shared" si="16"/>
        <v>-1117.9000000000001</v>
      </c>
    </row>
    <row r="31" spans="1:29" s="24" customFormat="1" ht="12.9" customHeight="1" x14ac:dyDescent="0.3">
      <c r="A31" s="23">
        <v>43181.013888888891</v>
      </c>
      <c r="B31" s="23">
        <v>43183.552083333336</v>
      </c>
      <c r="C31" s="146"/>
      <c r="D31" s="25">
        <v>2000000048</v>
      </c>
      <c r="E31" s="109" t="s">
        <v>115</v>
      </c>
      <c r="F31" s="110" t="s">
        <v>32</v>
      </c>
      <c r="G31" s="102">
        <v>67906</v>
      </c>
      <c r="H31" s="111" t="s">
        <v>33</v>
      </c>
      <c r="I31" s="111">
        <v>67900</v>
      </c>
      <c r="J31" s="111">
        <f t="shared" si="11"/>
        <v>6</v>
      </c>
      <c r="K31" s="112">
        <f>'[78]Yue Dian 9'!$F$68</f>
        <v>2.5381944444452529</v>
      </c>
      <c r="L31" s="112">
        <f>'[78]Yue Dian 9'!$F$68-'[78]Yue Dian 9'!$F$62</f>
        <v>1.336805555572937</v>
      </c>
      <c r="M31" s="102">
        <f t="shared" si="9"/>
        <v>26753.663474683683</v>
      </c>
      <c r="N31" s="102">
        <f t="shared" si="12"/>
        <v>50797.215583755111</v>
      </c>
      <c r="O31" s="111">
        <v>30000</v>
      </c>
      <c r="P31" s="113">
        <v>178.11</v>
      </c>
      <c r="Q31" s="113">
        <v>166.98</v>
      </c>
      <c r="R31" s="113">
        <f t="shared" si="13"/>
        <v>11.130000000000024</v>
      </c>
      <c r="S31" s="103">
        <f t="shared" si="10"/>
        <v>0.18839430165634688</v>
      </c>
      <c r="T31" s="103">
        <f t="shared" si="14"/>
        <v>0.19282710875414324</v>
      </c>
      <c r="U31" s="103"/>
      <c r="V31" s="26"/>
      <c r="X31" s="105">
        <v>2.15</v>
      </c>
      <c r="Y31" s="33">
        <f t="shared" si="15"/>
        <v>145997.9</v>
      </c>
      <c r="Z31" s="33"/>
      <c r="AA31" s="147">
        <v>9267.277777603962</v>
      </c>
      <c r="AB31" s="107">
        <f t="shared" si="16"/>
        <v>-1358.1200000000001</v>
      </c>
    </row>
    <row r="32" spans="1:29" s="24" customFormat="1" ht="12.9" customHeight="1" x14ac:dyDescent="0.3">
      <c r="A32" s="23">
        <v>43183.993055555555</v>
      </c>
      <c r="B32" s="23">
        <v>43185.892361111109</v>
      </c>
      <c r="C32" s="47"/>
      <c r="D32" s="25">
        <v>2000000049</v>
      </c>
      <c r="E32" s="148" t="s">
        <v>116</v>
      </c>
      <c r="F32" s="110" t="s">
        <v>39</v>
      </c>
      <c r="G32" s="102">
        <v>60638</v>
      </c>
      <c r="H32" s="149" t="s">
        <v>49</v>
      </c>
      <c r="I32" s="149">
        <v>94600</v>
      </c>
      <c r="J32" s="150">
        <f t="shared" si="11"/>
        <v>-33962</v>
      </c>
      <c r="K32" s="151">
        <f>'[78]Jag Anand'!$F$49</f>
        <v>1.8993055555547471</v>
      </c>
      <c r="L32" s="151">
        <f>'[78]Jag Anand'!$F$49-'[78]Jag Anand'!$F$43</f>
        <v>1.1805555555438332</v>
      </c>
      <c r="M32" s="102">
        <f t="shared" si="9"/>
        <v>31926.405850104999</v>
      </c>
      <c r="N32" s="102">
        <f>G32/L32</f>
        <v>51363.95294168649</v>
      </c>
      <c r="O32" s="150">
        <v>30000</v>
      </c>
      <c r="P32" s="152">
        <v>166.57</v>
      </c>
      <c r="Q32" s="152">
        <v>158.54</v>
      </c>
      <c r="R32" s="152">
        <f t="shared" si="13"/>
        <v>8.0300000000000011</v>
      </c>
      <c r="S32" s="103">
        <f t="shared" si="10"/>
        <v>0.15221288725669163</v>
      </c>
      <c r="T32" s="103">
        <f t="shared" si="14"/>
        <v>0.15579436695684906</v>
      </c>
      <c r="U32" s="103"/>
      <c r="V32" s="26"/>
      <c r="X32" s="105">
        <v>2.15</v>
      </c>
      <c r="Y32" s="33">
        <f t="shared" si="15"/>
        <v>130371.7</v>
      </c>
      <c r="Z32" s="33"/>
      <c r="AA32" s="153">
        <v>8407.1111112283343</v>
      </c>
      <c r="AB32" s="107">
        <f t="shared" si="16"/>
        <v>-1212.76</v>
      </c>
    </row>
    <row r="33" spans="1:28" s="24" customFormat="1" ht="12.9" customHeight="1" x14ac:dyDescent="0.3">
      <c r="A33" s="707">
        <v>43186.197916666664</v>
      </c>
      <c r="B33" s="707">
        <v>43188.708333333336</v>
      </c>
      <c r="C33" s="47"/>
      <c r="D33" s="701">
        <v>2000000050</v>
      </c>
      <c r="E33" s="717" t="s">
        <v>117</v>
      </c>
      <c r="F33" s="718" t="s">
        <v>32</v>
      </c>
      <c r="G33" s="102">
        <v>22693</v>
      </c>
      <c r="H33" s="719" t="s">
        <v>49</v>
      </c>
      <c r="I33" s="712">
        <v>79080</v>
      </c>
      <c r="J33" s="712">
        <f>(G33+G34)-I33</f>
        <v>220</v>
      </c>
      <c r="K33" s="714">
        <f>'[78]Darya Moti'!$F$64</f>
        <v>2.5104166666715173</v>
      </c>
      <c r="L33" s="711">
        <f>'[78]Darya Moti'!$F$64-'[78]Darya Moti'!$F$58</f>
        <v>1.5572916666606034</v>
      </c>
      <c r="M33" s="712">
        <f>(G33+G34)/K33</f>
        <v>31588.381742677553</v>
      </c>
      <c r="N33" s="712">
        <f>(G33+G34)/L33</f>
        <v>50921.739130633046</v>
      </c>
      <c r="O33" s="712">
        <v>30000</v>
      </c>
      <c r="P33" s="705">
        <v>158.13</v>
      </c>
      <c r="Q33" s="705">
        <v>147.44</v>
      </c>
      <c r="R33" s="705">
        <f>P33-Q33</f>
        <v>10.689999999999998</v>
      </c>
      <c r="S33" s="706">
        <f>R33/8.7*10000/(G33+G34)</f>
        <v>0.15494774680755458</v>
      </c>
      <c r="T33" s="706">
        <f>R33/8.5*10000/(G33+G34)</f>
        <v>0.15859357614420291</v>
      </c>
      <c r="U33" s="154"/>
      <c r="V33" s="26"/>
      <c r="X33" s="105">
        <v>2.15</v>
      </c>
      <c r="Y33" s="33">
        <f t="shared" si="15"/>
        <v>48789.95</v>
      </c>
      <c r="Z33" s="33"/>
      <c r="AA33" s="715">
        <v>10860.42</v>
      </c>
      <c r="AB33" s="107">
        <f t="shared" si="16"/>
        <v>-453.86</v>
      </c>
    </row>
    <row r="34" spans="1:28" s="24" customFormat="1" ht="12.9" customHeight="1" x14ac:dyDescent="0.3">
      <c r="A34" s="707"/>
      <c r="B34" s="707"/>
      <c r="C34" s="47"/>
      <c r="D34" s="701"/>
      <c r="E34" s="717"/>
      <c r="F34" s="718"/>
      <c r="G34" s="102">
        <v>56607</v>
      </c>
      <c r="H34" s="719"/>
      <c r="I34" s="712"/>
      <c r="J34" s="712"/>
      <c r="K34" s="714"/>
      <c r="L34" s="711"/>
      <c r="M34" s="712"/>
      <c r="N34" s="712"/>
      <c r="O34" s="712"/>
      <c r="P34" s="705"/>
      <c r="Q34" s="705"/>
      <c r="R34" s="705"/>
      <c r="S34" s="706"/>
      <c r="T34" s="706"/>
      <c r="U34" s="154"/>
      <c r="V34" s="26"/>
      <c r="X34" s="105">
        <v>1.82</v>
      </c>
      <c r="Y34" s="33">
        <f t="shared" si="15"/>
        <v>103024.74</v>
      </c>
      <c r="Z34" s="33"/>
      <c r="AA34" s="715"/>
      <c r="AB34" s="107">
        <f t="shared" si="16"/>
        <v>-1132.1400000000001</v>
      </c>
    </row>
    <row r="35" spans="1:28" s="15" customFormat="1" ht="12.9" customHeight="1" x14ac:dyDescent="0.3">
      <c r="A35" s="48"/>
      <c r="B35" s="48"/>
      <c r="C35" s="48"/>
      <c r="D35" s="48"/>
      <c r="E35" s="155" t="s">
        <v>118</v>
      </c>
      <c r="F35" s="16"/>
      <c r="G35" s="116">
        <v>-56607</v>
      </c>
      <c r="H35" s="156"/>
      <c r="I35" s="157"/>
      <c r="J35" s="157"/>
      <c r="K35" s="158"/>
      <c r="L35" s="159"/>
      <c r="M35" s="157"/>
      <c r="N35" s="157"/>
      <c r="O35" s="157"/>
      <c r="P35" s="160"/>
      <c r="Q35" s="160"/>
      <c r="R35" s="160"/>
      <c r="S35" s="161"/>
      <c r="T35" s="161"/>
      <c r="U35" s="161"/>
      <c r="V35" s="18"/>
      <c r="X35" s="105">
        <v>2.15</v>
      </c>
      <c r="Y35" s="33">
        <f t="shared" si="15"/>
        <v>-121705.04999999999</v>
      </c>
      <c r="Z35" s="19"/>
      <c r="AA35" s="162"/>
      <c r="AB35" s="121"/>
    </row>
    <row r="36" spans="1:28" s="20" customFormat="1" ht="12.9" customHeight="1" x14ac:dyDescent="0.3">
      <c r="C36" s="20">
        <v>1000000013</v>
      </c>
      <c r="E36" s="122" t="s">
        <v>42</v>
      </c>
      <c r="F36" s="123"/>
      <c r="G36" s="124">
        <f>SUM(G26:G34)</f>
        <v>478482</v>
      </c>
      <c r="H36" s="124"/>
      <c r="I36" s="124"/>
      <c r="J36" s="124"/>
      <c r="K36" s="163">
        <f>SUM(K26:K34)</f>
        <v>16.305555555562023</v>
      </c>
      <c r="L36" s="164">
        <f>SUM(L26:L34)</f>
        <v>9.3854166666314995</v>
      </c>
      <c r="M36" s="165">
        <f t="shared" ref="M36:M41" si="17">G36/K36</f>
        <v>29344.722316853778</v>
      </c>
      <c r="N36" s="124">
        <f t="shared" ref="N36:N41" si="18">G36/L36</f>
        <v>50981.433962455179</v>
      </c>
      <c r="O36" s="124"/>
      <c r="P36" s="124"/>
      <c r="Q36" s="124"/>
      <c r="R36" s="126">
        <f>SUM(R26:R33)</f>
        <v>69.700000000000045</v>
      </c>
      <c r="S36" s="127">
        <f t="shared" ref="S36:S41" si="19">R36/8.7*10000/G36</f>
        <v>0.1674356454970839</v>
      </c>
      <c r="T36" s="127">
        <f t="shared" ref="T36:T41" si="20">R36/8.5*10000/G36</f>
        <v>0.17137530774407406</v>
      </c>
      <c r="U36" s="128">
        <f>(T36-S36)/T36</f>
        <v>2.2988505747126162E-2</v>
      </c>
      <c r="V36" s="129">
        <v>421875</v>
      </c>
      <c r="W36" s="129">
        <f>G36-V36</f>
        <v>56607</v>
      </c>
      <c r="X36" s="130"/>
      <c r="Y36" s="131">
        <f>SUM(Y26:Y35)</f>
        <v>888350.94</v>
      </c>
      <c r="Z36" s="131"/>
      <c r="AA36" s="132">
        <f>SUM(AA26:AA34)</f>
        <v>65639.836666957708</v>
      </c>
      <c r="AB36" s="132">
        <f>SUM(AB26:AB34)</f>
        <v>-9569.64</v>
      </c>
    </row>
    <row r="37" spans="1:28" s="24" customFormat="1" ht="12.9" customHeight="1" x14ac:dyDescent="0.3">
      <c r="A37" s="23">
        <v>43191.809027777781</v>
      </c>
      <c r="B37" s="23">
        <v>43192.965277777781</v>
      </c>
      <c r="C37" s="23"/>
      <c r="D37" s="25">
        <v>2000000070</v>
      </c>
      <c r="E37" s="35" t="s">
        <v>119</v>
      </c>
      <c r="F37" s="36" t="s">
        <v>32</v>
      </c>
      <c r="G37" s="139">
        <v>34362</v>
      </c>
      <c r="H37" s="139" t="s">
        <v>33</v>
      </c>
      <c r="I37" s="139">
        <v>65000</v>
      </c>
      <c r="J37" s="111">
        <f>G37-I37</f>
        <v>-30638</v>
      </c>
      <c r="K37" s="101">
        <f>[79]Gloriever!$F$43</f>
        <v>1.15625</v>
      </c>
      <c r="L37" s="101">
        <f>[79]Gloriever!$F$43-[79]Gloriever!$F$39</f>
        <v>0.6753472222299024</v>
      </c>
      <c r="M37" s="102">
        <f t="shared" si="17"/>
        <v>29718.486486486487</v>
      </c>
      <c r="N37" s="102">
        <f t="shared" si="18"/>
        <v>50880.493572686159</v>
      </c>
      <c r="O37" s="98">
        <v>30000</v>
      </c>
      <c r="P37" s="108">
        <v>143.28</v>
      </c>
      <c r="Q37" s="108">
        <v>138.41</v>
      </c>
      <c r="R37" s="113">
        <f>P37-Q37</f>
        <v>4.8700000000000045</v>
      </c>
      <c r="S37" s="103">
        <f t="shared" si="19"/>
        <v>0.16290382251979782</v>
      </c>
      <c r="T37" s="103">
        <f t="shared" si="20"/>
        <v>0.16673685363791069</v>
      </c>
      <c r="U37" s="103"/>
      <c r="V37" s="143"/>
      <c r="W37" s="104"/>
      <c r="X37" s="105">
        <v>2.15</v>
      </c>
      <c r="Y37" s="33">
        <f t="shared" ref="Y37:Y42" si="21">G37*X37</f>
        <v>73878.3</v>
      </c>
      <c r="Z37" s="33"/>
      <c r="AA37" s="166">
        <v>4700.527777700976</v>
      </c>
      <c r="AB37" s="107">
        <f>(G37*-0.01)</f>
        <v>-343.62</v>
      </c>
    </row>
    <row r="38" spans="1:28" s="24" customFormat="1" ht="12.9" customHeight="1" x14ac:dyDescent="0.3">
      <c r="A38" s="23">
        <v>43194.6875</v>
      </c>
      <c r="B38" s="23">
        <v>43198.576388888891</v>
      </c>
      <c r="C38" s="23"/>
      <c r="D38" s="25">
        <v>2000000071</v>
      </c>
      <c r="E38" s="35" t="s">
        <v>120</v>
      </c>
      <c r="F38" s="36" t="s">
        <v>39</v>
      </c>
      <c r="G38" s="139">
        <v>90115</v>
      </c>
      <c r="H38" s="139" t="s">
        <v>40</v>
      </c>
      <c r="I38" s="139">
        <v>90110</v>
      </c>
      <c r="J38" s="111">
        <f>G38-I38</f>
        <v>5</v>
      </c>
      <c r="K38" s="101">
        <f>'[79]Taipower Prosperity VI'!$F$64</f>
        <v>3.8888888888905058</v>
      </c>
      <c r="L38" s="101">
        <f>'[79]Taipower Prosperity VI'!$F$64-'[79]Taipower Prosperity VI'!$F$60</f>
        <v>1.6684027777628216</v>
      </c>
      <c r="M38" s="102">
        <f t="shared" si="17"/>
        <v>23172.428571418935</v>
      </c>
      <c r="N38" s="102">
        <f t="shared" si="18"/>
        <v>54012.736733054429</v>
      </c>
      <c r="O38" s="98">
        <v>30000</v>
      </c>
      <c r="P38" s="108">
        <v>135.27000000000001</v>
      </c>
      <c r="Q38" s="108">
        <v>121.62</v>
      </c>
      <c r="R38" s="113">
        <f>P38-Q38</f>
        <v>13.650000000000006</v>
      </c>
      <c r="S38" s="103">
        <f t="shared" si="19"/>
        <v>0.17410703181949511</v>
      </c>
      <c r="T38" s="103">
        <f t="shared" si="20"/>
        <v>0.17820366786230674</v>
      </c>
      <c r="U38" s="103"/>
      <c r="V38" s="143"/>
      <c r="W38" s="104"/>
      <c r="X38" s="105">
        <v>2.15</v>
      </c>
      <c r="Y38" s="33">
        <f t="shared" si="21"/>
        <v>193747.25</v>
      </c>
      <c r="Z38" s="33"/>
      <c r="AA38" s="166">
        <v>13354.305555705116</v>
      </c>
      <c r="AB38" s="107">
        <f>(G38*-0.01)</f>
        <v>-901.15</v>
      </c>
    </row>
    <row r="39" spans="1:28" s="24" customFormat="1" ht="12.9" customHeight="1" x14ac:dyDescent="0.3">
      <c r="A39" s="23">
        <v>43198.847222222219</v>
      </c>
      <c r="B39" s="23">
        <v>43202.354166666664</v>
      </c>
      <c r="C39" s="20"/>
      <c r="D39" s="25">
        <v>2000000072</v>
      </c>
      <c r="E39" s="35" t="s">
        <v>109</v>
      </c>
      <c r="F39" s="36" t="s">
        <v>32</v>
      </c>
      <c r="G39" s="139">
        <v>67600</v>
      </c>
      <c r="H39" s="139" t="s">
        <v>33</v>
      </c>
      <c r="I39" s="139">
        <v>67600</v>
      </c>
      <c r="J39" s="111">
        <f>G39-I39</f>
        <v>0</v>
      </c>
      <c r="K39" s="101">
        <f>'[79]Yue Dian 81'!$F$60</f>
        <v>3.5069444444452529</v>
      </c>
      <c r="L39" s="101">
        <f>'[79]Yue Dian 81'!$F$60-'[79]Yue Dian 81'!$F$56</f>
        <v>1.3003472222444543</v>
      </c>
      <c r="M39" s="102">
        <f t="shared" si="17"/>
        <v>19276.039603955953</v>
      </c>
      <c r="N39" s="102">
        <f t="shared" si="18"/>
        <v>51986.114818870868</v>
      </c>
      <c r="O39" s="98">
        <v>30000</v>
      </c>
      <c r="P39" s="108">
        <v>120.98</v>
      </c>
      <c r="Q39" s="108">
        <v>109.09</v>
      </c>
      <c r="R39" s="113">
        <f>P39-Q39</f>
        <v>11.89</v>
      </c>
      <c r="S39" s="103">
        <f t="shared" si="19"/>
        <v>0.20216962524654836</v>
      </c>
      <c r="T39" s="103">
        <f t="shared" si="20"/>
        <v>0.20692655760529066</v>
      </c>
      <c r="U39" s="103"/>
      <c r="V39" s="143"/>
      <c r="W39" s="104"/>
      <c r="X39" s="105">
        <v>2.15</v>
      </c>
      <c r="Y39" s="33">
        <f t="shared" si="21"/>
        <v>145340</v>
      </c>
      <c r="Z39" s="33"/>
      <c r="AA39" s="166">
        <v>9529.8611108887908</v>
      </c>
      <c r="AB39" s="107">
        <f>(G39*-0.01)</f>
        <v>-676</v>
      </c>
    </row>
    <row r="40" spans="1:28" s="24" customFormat="1" ht="12.9" customHeight="1" x14ac:dyDescent="0.3">
      <c r="A40" s="23">
        <v>43204.78125</v>
      </c>
      <c r="B40" s="23">
        <v>43213.229166666664</v>
      </c>
      <c r="C40" s="23"/>
      <c r="D40" s="25">
        <v>2000000073</v>
      </c>
      <c r="E40" s="35" t="s">
        <v>121</v>
      </c>
      <c r="F40" s="36" t="s">
        <v>58</v>
      </c>
      <c r="G40" s="139">
        <v>165600</v>
      </c>
      <c r="H40" s="139" t="s">
        <v>49</v>
      </c>
      <c r="I40" s="139">
        <v>165600</v>
      </c>
      <c r="J40" s="111">
        <f>G40-I40</f>
        <v>0</v>
      </c>
      <c r="K40" s="101">
        <f>[79]Urja!$F$99</f>
        <v>8.4479166666642413</v>
      </c>
      <c r="L40" s="101">
        <f>[79]Urja!$F$99-[79]Urja!$F$95</f>
        <v>3.3159722222480923</v>
      </c>
      <c r="M40" s="102">
        <f t="shared" si="17"/>
        <v>19602.466091251004</v>
      </c>
      <c r="N40" s="102">
        <f t="shared" si="18"/>
        <v>49940.104711652268</v>
      </c>
      <c r="O40" s="98">
        <v>30000</v>
      </c>
      <c r="P40" s="108">
        <v>106.06</v>
      </c>
      <c r="Q40" s="108">
        <v>78.98</v>
      </c>
      <c r="R40" s="113">
        <f>P40-Q40</f>
        <v>27.08</v>
      </c>
      <c r="S40" s="103">
        <f t="shared" si="19"/>
        <v>0.18796157476817149</v>
      </c>
      <c r="T40" s="103">
        <f t="shared" si="20"/>
        <v>0.19238420005683432</v>
      </c>
      <c r="U40" s="103"/>
      <c r="V40" s="143"/>
      <c r="W40" s="104"/>
      <c r="X40" s="105">
        <v>2.15</v>
      </c>
      <c r="Y40" s="33">
        <f t="shared" si="21"/>
        <v>356040</v>
      </c>
      <c r="Z40" s="33"/>
      <c r="AA40" s="166">
        <v>22040.277777519073</v>
      </c>
      <c r="AB40" s="107">
        <f>(G40*-0.01)</f>
        <v>-1656</v>
      </c>
    </row>
    <row r="41" spans="1:28" s="24" customFormat="1" ht="12.9" customHeight="1" x14ac:dyDescent="0.3">
      <c r="A41" s="146">
        <v>43217.694444444445</v>
      </c>
      <c r="B41" s="146">
        <v>43219.510416666664</v>
      </c>
      <c r="C41" s="23"/>
      <c r="D41" s="25">
        <v>2000000074</v>
      </c>
      <c r="E41" s="148" t="s">
        <v>122</v>
      </c>
      <c r="F41" s="110" t="s">
        <v>32</v>
      </c>
      <c r="G41" s="102">
        <v>53795</v>
      </c>
      <c r="H41" s="167" t="s">
        <v>93</v>
      </c>
      <c r="I41" s="140">
        <v>83600</v>
      </c>
      <c r="J41" s="111">
        <f>G41-I41</f>
        <v>-29805</v>
      </c>
      <c r="K41" s="151">
        <f>[79]Nozomi!$F$54</f>
        <v>1.8159722222189885</v>
      </c>
      <c r="L41" s="168">
        <f>[79]Nozomi!$F$54-[79]Nozomi!$F$50</f>
        <v>0.98784722222262644</v>
      </c>
      <c r="M41" s="102">
        <f t="shared" si="17"/>
        <v>29623.250478064223</v>
      </c>
      <c r="N41" s="102">
        <f t="shared" si="18"/>
        <v>54456.801405953112</v>
      </c>
      <c r="O41" s="150">
        <v>30000</v>
      </c>
      <c r="P41" s="152">
        <v>73.05</v>
      </c>
      <c r="Q41" s="152">
        <v>65.349999999999994</v>
      </c>
      <c r="R41" s="152">
        <f>P41-Q41</f>
        <v>7.7000000000000028</v>
      </c>
      <c r="S41" s="103">
        <f t="shared" si="19"/>
        <v>0.16452411400025432</v>
      </c>
      <c r="T41" s="103">
        <f t="shared" si="20"/>
        <v>0.1683952696237897</v>
      </c>
      <c r="U41" s="103"/>
      <c r="V41" s="143"/>
      <c r="W41" s="104"/>
      <c r="X41" s="105">
        <v>2.15</v>
      </c>
      <c r="Y41" s="33">
        <f t="shared" si="21"/>
        <v>115659.25</v>
      </c>
      <c r="Z41" s="33"/>
      <c r="AA41" s="166">
        <v>8053.1944444404016</v>
      </c>
      <c r="AB41" s="107">
        <f>(G41*-0.01)</f>
        <v>-537.95000000000005</v>
      </c>
    </row>
    <row r="42" spans="1:28" s="15" customFormat="1" ht="12.9" customHeight="1" x14ac:dyDescent="0.3">
      <c r="A42" s="48"/>
      <c r="B42" s="48"/>
      <c r="C42" s="48"/>
      <c r="D42" s="48"/>
      <c r="E42" s="155" t="s">
        <v>29</v>
      </c>
      <c r="F42" s="169"/>
      <c r="G42" s="116">
        <f>421875-SUM(G37:G41)</f>
        <v>10403</v>
      </c>
      <c r="H42" s="156"/>
      <c r="I42" s="156"/>
      <c r="J42" s="157"/>
      <c r="K42" s="158"/>
      <c r="L42" s="158"/>
      <c r="M42" s="157"/>
      <c r="N42" s="157"/>
      <c r="O42" s="157"/>
      <c r="P42" s="160"/>
      <c r="Q42" s="160"/>
      <c r="R42" s="160"/>
      <c r="S42" s="160"/>
      <c r="T42" s="160"/>
      <c r="U42" s="160"/>
      <c r="V42" s="18"/>
      <c r="X42" s="105">
        <v>2.15</v>
      </c>
      <c r="Y42" s="33">
        <f t="shared" si="21"/>
        <v>22366.45</v>
      </c>
      <c r="Z42" s="19"/>
      <c r="AA42" s="162"/>
      <c r="AB42" s="121"/>
    </row>
    <row r="43" spans="1:28" s="24" customFormat="1" ht="12.9" customHeight="1" x14ac:dyDescent="0.3">
      <c r="A43" s="23"/>
      <c r="B43" s="23"/>
      <c r="C43" s="20">
        <v>1000000017</v>
      </c>
      <c r="D43" s="23"/>
      <c r="E43" s="122" t="s">
        <v>43</v>
      </c>
      <c r="F43" s="123"/>
      <c r="G43" s="170">
        <f>SUM(G37:G41)</f>
        <v>411472</v>
      </c>
      <c r="H43" s="124"/>
      <c r="I43" s="124"/>
      <c r="J43" s="124"/>
      <c r="K43" s="163">
        <f>SUM(K37:K41)</f>
        <v>18.815972222218988</v>
      </c>
      <c r="L43" s="164">
        <f>SUM(L37:L41)</f>
        <v>7.9479166667078971</v>
      </c>
      <c r="M43" s="124"/>
      <c r="N43" s="124"/>
      <c r="O43" s="124"/>
      <c r="P43" s="124"/>
      <c r="Q43" s="124"/>
      <c r="R43" s="126">
        <f>SUM(R37:R42)</f>
        <v>65.190000000000012</v>
      </c>
      <c r="S43" s="127">
        <f t="shared" ref="S43:S49" si="22">R43/8.7*10000/G43</f>
        <v>0.18210481997015263</v>
      </c>
      <c r="T43" s="127">
        <f>R43/8.5*10000/G43</f>
        <v>0.18638963926356797</v>
      </c>
      <c r="U43" s="128">
        <f>(T43-S43)/T43</f>
        <v>2.2988505747126367E-2</v>
      </c>
      <c r="V43" s="129">
        <v>421875</v>
      </c>
      <c r="W43" s="22">
        <f>G43-V43</f>
        <v>-10403</v>
      </c>
      <c r="X43" s="130"/>
      <c r="Y43" s="131">
        <f>SUM(Y37:Y42)</f>
        <v>907031.25</v>
      </c>
      <c r="Z43" s="131"/>
      <c r="AA43" s="132">
        <f>SUM(AA37:AA41)</f>
        <v>57678.16666625435</v>
      </c>
      <c r="AB43" s="132">
        <f>SUM(AB37:AB41)</f>
        <v>-4114.72</v>
      </c>
    </row>
    <row r="44" spans="1:28" x14ac:dyDescent="0.3">
      <c r="A44" s="146">
        <v>43220.989583333336</v>
      </c>
      <c r="B44" s="146">
        <v>43223.319444444445</v>
      </c>
      <c r="C44" s="23"/>
      <c r="D44" s="25">
        <v>2000000096</v>
      </c>
      <c r="E44" s="35" t="s">
        <v>63</v>
      </c>
      <c r="F44" s="171" t="s">
        <v>32</v>
      </c>
      <c r="G44" s="139">
        <v>71700</v>
      </c>
      <c r="H44" s="139" t="s">
        <v>33</v>
      </c>
      <c r="I44" s="139">
        <v>71700</v>
      </c>
      <c r="J44" s="111">
        <f t="shared" ref="J44:J49" si="23">G44-I44</f>
        <v>0</v>
      </c>
      <c r="K44" s="101">
        <f>'[80]JK Pioneer'!$F$64</f>
        <v>2.3298611111094942</v>
      </c>
      <c r="L44" s="101">
        <f>'[80]JK Pioneer'!$F$64-'[80]JK Pioneer'!$F$60</f>
        <v>1.3680555555620231</v>
      </c>
      <c r="M44" s="102">
        <f t="shared" ref="M44:M49" si="24">G44/K44</f>
        <v>30774.366617010925</v>
      </c>
      <c r="N44" s="102">
        <f t="shared" ref="N44:N49" si="25">G44/L44</f>
        <v>52410.152284016192</v>
      </c>
      <c r="O44" s="98">
        <v>30000</v>
      </c>
      <c r="P44" s="108">
        <v>63.29</v>
      </c>
      <c r="Q44" s="108">
        <v>53.31</v>
      </c>
      <c r="R44" s="113">
        <f t="shared" ref="R44:R50" si="26">P44-Q44</f>
        <v>9.9799999999999969</v>
      </c>
      <c r="S44" s="103">
        <f>R44/8.7*10000/G44</f>
        <v>0.15998974013690501</v>
      </c>
      <c r="T44" s="103">
        <f t="shared" ref="T44:T49" si="27">R44/8.5*10000/G44</f>
        <v>0.16375420461071455</v>
      </c>
      <c r="U44" s="103"/>
      <c r="X44" s="105">
        <v>2.15</v>
      </c>
      <c r="Y44" s="33">
        <f t="shared" ref="Y44:Y54" si="28">G44*X44</f>
        <v>154155</v>
      </c>
      <c r="AA44" s="166">
        <v>10219.444444379771</v>
      </c>
      <c r="AB44" s="107">
        <f t="shared" ref="AB44:AB53" si="29">(G44*-0.01)</f>
        <v>-717</v>
      </c>
    </row>
    <row r="45" spans="1:28" s="24" customFormat="1" ht="12.9" customHeight="1" x14ac:dyDescent="0.3">
      <c r="A45" s="146">
        <v>43224.947916666664</v>
      </c>
      <c r="B45" s="146">
        <v>43228.5625</v>
      </c>
      <c r="C45" s="23"/>
      <c r="D45" s="25">
        <v>2000000097</v>
      </c>
      <c r="E45" s="35" t="s">
        <v>123</v>
      </c>
      <c r="F45" s="45" t="s">
        <v>32</v>
      </c>
      <c r="G45" s="139">
        <v>71500</v>
      </c>
      <c r="H45" s="139" t="s">
        <v>33</v>
      </c>
      <c r="I45" s="139">
        <v>71500</v>
      </c>
      <c r="J45" s="111">
        <f t="shared" si="23"/>
        <v>0</v>
      </c>
      <c r="K45" s="101">
        <f>'[80]Evoikos Theo'!$F$59</f>
        <v>3.6145833333357587</v>
      </c>
      <c r="L45" s="101">
        <f>'[80]Evoikos Theo'!$F$59-'[80]Evoikos Theo'!$F$55</f>
        <v>1.3229166666678793</v>
      </c>
      <c r="M45" s="102">
        <f t="shared" si="24"/>
        <v>19780.979827076066</v>
      </c>
      <c r="N45" s="102">
        <f t="shared" si="25"/>
        <v>54047.244094438647</v>
      </c>
      <c r="O45" s="98">
        <v>30000</v>
      </c>
      <c r="P45" s="108">
        <v>224.75</v>
      </c>
      <c r="Q45" s="108">
        <v>212.09</v>
      </c>
      <c r="R45" s="113">
        <f t="shared" si="26"/>
        <v>12.659999999999997</v>
      </c>
      <c r="S45" s="103">
        <f t="shared" si="22"/>
        <v>0.20352061731372073</v>
      </c>
      <c r="T45" s="103">
        <f t="shared" si="27"/>
        <v>0.20830933772110238</v>
      </c>
      <c r="U45" s="103"/>
      <c r="V45" s="143"/>
      <c r="W45" s="144"/>
      <c r="X45" s="105">
        <v>2.15</v>
      </c>
      <c r="Y45" s="33">
        <f t="shared" si="28"/>
        <v>153725</v>
      </c>
      <c r="Z45" s="33"/>
      <c r="AA45" s="166">
        <v>10604.166666654541</v>
      </c>
      <c r="AB45" s="107">
        <f t="shared" si="29"/>
        <v>-715</v>
      </c>
    </row>
    <row r="46" spans="1:28" s="24" customFormat="1" ht="12.9" customHeight="1" x14ac:dyDescent="0.3">
      <c r="A46" s="146">
        <v>43228.868055555555</v>
      </c>
      <c r="B46" s="146">
        <v>43231.927083333336</v>
      </c>
      <c r="C46" s="23"/>
      <c r="D46" s="25">
        <v>2000000098</v>
      </c>
      <c r="E46" s="35" t="s">
        <v>124</v>
      </c>
      <c r="F46" s="45" t="s">
        <v>32</v>
      </c>
      <c r="G46" s="139">
        <v>71300</v>
      </c>
      <c r="H46" s="139" t="s">
        <v>33</v>
      </c>
      <c r="I46" s="139">
        <v>71300</v>
      </c>
      <c r="J46" s="111">
        <f t="shared" si="23"/>
        <v>0</v>
      </c>
      <c r="K46" s="101">
        <f>'[80]Zheng Jie'!$F$60</f>
        <v>3.0590277777810115</v>
      </c>
      <c r="L46" s="101">
        <f>'[80]Zheng Jie'!$F$60-'[80]Zheng Jie'!$F$56</f>
        <v>1.3489583333648625</v>
      </c>
      <c r="M46" s="102">
        <f t="shared" si="24"/>
        <v>23308.059023811911</v>
      </c>
      <c r="N46" s="102">
        <f t="shared" si="25"/>
        <v>52855.598454363062</v>
      </c>
      <c r="O46" s="98">
        <v>30000</v>
      </c>
      <c r="P46" s="108">
        <v>211.69</v>
      </c>
      <c r="Q46" s="108">
        <v>199.94</v>
      </c>
      <c r="R46" s="113">
        <f t="shared" si="26"/>
        <v>11.75</v>
      </c>
      <c r="S46" s="103">
        <f t="shared" si="22"/>
        <v>0.18942141832309653</v>
      </c>
      <c r="T46" s="103">
        <f t="shared" si="27"/>
        <v>0.19387839287187528</v>
      </c>
      <c r="U46" s="103"/>
      <c r="V46" s="143"/>
      <c r="W46" s="144"/>
      <c r="X46" s="105">
        <v>2.15</v>
      </c>
      <c r="Y46" s="33">
        <f t="shared" si="28"/>
        <v>153295</v>
      </c>
      <c r="Z46" s="33"/>
      <c r="AA46" s="166">
        <v>10277.083333018039</v>
      </c>
      <c r="AB46" s="107">
        <f t="shared" si="29"/>
        <v>-713</v>
      </c>
    </row>
    <row r="47" spans="1:28" s="24" customFormat="1" ht="12.9" customHeight="1" x14ac:dyDescent="0.3">
      <c r="A47" s="146">
        <v>43232.302083333336</v>
      </c>
      <c r="B47" s="146">
        <v>43235.020833333336</v>
      </c>
      <c r="C47" s="23"/>
      <c r="D47" s="25">
        <v>2000000099</v>
      </c>
      <c r="E47" s="35" t="s">
        <v>125</v>
      </c>
      <c r="F47" s="45" t="s">
        <v>39</v>
      </c>
      <c r="G47" s="139">
        <v>84277</v>
      </c>
      <c r="H47" s="139" t="s">
        <v>49</v>
      </c>
      <c r="I47" s="139">
        <v>85669</v>
      </c>
      <c r="J47" s="111">
        <f t="shared" si="23"/>
        <v>-1392</v>
      </c>
      <c r="K47" s="101">
        <f>'[80]Salt Lake City'!$F$61</f>
        <v>2.71875</v>
      </c>
      <c r="L47" s="101">
        <f>'[80]Salt Lake City'!$F$61-'[80]Salt Lake City'!$F$57</f>
        <v>1.7777777777664596</v>
      </c>
      <c r="M47" s="102">
        <f t="shared" si="24"/>
        <v>30998.436781609194</v>
      </c>
      <c r="N47" s="102">
        <f t="shared" si="25"/>
        <v>47405.812500301807</v>
      </c>
      <c r="O47" s="98">
        <v>30000</v>
      </c>
      <c r="P47" s="108">
        <v>199.64</v>
      </c>
      <c r="Q47" s="108">
        <v>188.21</v>
      </c>
      <c r="R47" s="113">
        <f t="shared" si="26"/>
        <v>11.429999999999978</v>
      </c>
      <c r="S47" s="103">
        <f t="shared" si="22"/>
        <v>0.15588987546403807</v>
      </c>
      <c r="T47" s="103">
        <f t="shared" si="27"/>
        <v>0.15955787253378009</v>
      </c>
      <c r="U47" s="103"/>
      <c r="V47" s="143"/>
      <c r="W47" s="144"/>
      <c r="X47" s="105">
        <v>2.15</v>
      </c>
      <c r="Y47" s="33">
        <f t="shared" si="28"/>
        <v>181195.55</v>
      </c>
      <c r="Z47" s="33"/>
      <c r="AA47" s="166">
        <v>10314.555555668736</v>
      </c>
      <c r="AB47" s="107">
        <f t="shared" si="29"/>
        <v>-842.77</v>
      </c>
    </row>
    <row r="48" spans="1:28" s="24" customFormat="1" ht="12.9" customHeight="1" x14ac:dyDescent="0.3">
      <c r="A48" s="146">
        <v>43236.125</v>
      </c>
      <c r="B48" s="146">
        <v>43237.347222222219</v>
      </c>
      <c r="C48" s="23"/>
      <c r="D48" s="25">
        <v>2000000100</v>
      </c>
      <c r="E48" s="35" t="s">
        <v>126</v>
      </c>
      <c r="F48" s="45" t="s">
        <v>32</v>
      </c>
      <c r="G48" s="139">
        <v>36387</v>
      </c>
      <c r="H48" s="139" t="s">
        <v>100</v>
      </c>
      <c r="I48" s="139">
        <v>72500</v>
      </c>
      <c r="J48" s="102">
        <f t="shared" si="23"/>
        <v>-36113</v>
      </c>
      <c r="K48" s="101">
        <f>[80]Arpeggio!$F$40</f>
        <v>1.2222222222189885</v>
      </c>
      <c r="L48" s="101">
        <f>[80]Arpeggio!$F$40-[80]Arpeggio!$F$36</f>
        <v>0.65624999998908606</v>
      </c>
      <c r="M48" s="102">
        <f t="shared" si="24"/>
        <v>29771.181818260586</v>
      </c>
      <c r="N48" s="102">
        <f t="shared" si="25"/>
        <v>55446.857143779263</v>
      </c>
      <c r="O48" s="98">
        <v>30000</v>
      </c>
      <c r="P48" s="108">
        <v>187.01</v>
      </c>
      <c r="Q48" s="108">
        <v>181.77</v>
      </c>
      <c r="R48" s="108">
        <f t="shared" si="26"/>
        <v>5.2399999999999807</v>
      </c>
      <c r="S48" s="103">
        <f t="shared" si="22"/>
        <v>0.1655258335599831</v>
      </c>
      <c r="T48" s="103">
        <f t="shared" si="27"/>
        <v>0.16942055905551209</v>
      </c>
      <c r="U48" s="103"/>
      <c r="V48" s="143"/>
      <c r="W48" s="144"/>
      <c r="X48" s="105">
        <v>2.15</v>
      </c>
      <c r="Y48" s="33">
        <f t="shared" si="28"/>
        <v>78232.05</v>
      </c>
      <c r="Z48" s="33"/>
      <c r="AA48" s="166">
        <v>5566.5000001091403</v>
      </c>
      <c r="AB48" s="107">
        <f t="shared" si="29"/>
        <v>-363.87</v>
      </c>
    </row>
    <row r="49" spans="1:28" s="24" customFormat="1" ht="12.9" customHeight="1" x14ac:dyDescent="0.3">
      <c r="A49" s="146">
        <v>43238.875</v>
      </c>
      <c r="B49" s="146">
        <v>43239.930555555555</v>
      </c>
      <c r="C49" s="47"/>
      <c r="D49" s="25">
        <v>2000000101</v>
      </c>
      <c r="E49" s="35" t="s">
        <v>127</v>
      </c>
      <c r="F49" s="45" t="s">
        <v>32</v>
      </c>
      <c r="G49" s="139">
        <v>26918</v>
      </c>
      <c r="H49" s="172" t="s">
        <v>49</v>
      </c>
      <c r="I49" s="172">
        <v>77270</v>
      </c>
      <c r="J49" s="111">
        <f t="shared" si="23"/>
        <v>-50352</v>
      </c>
      <c r="K49" s="112">
        <f>'[80]Pedhoulas Cherry'!$F$35</f>
        <v>1.0555555555547471</v>
      </c>
      <c r="L49" s="112">
        <f>'[80]Pedhoulas Cherry'!$F$35-'[80]Pedhoulas Cherry'!$F$31</f>
        <v>0.47395833332484472</v>
      </c>
      <c r="M49" s="102">
        <f t="shared" si="24"/>
        <v>25501.263157914269</v>
      </c>
      <c r="N49" s="102">
        <f t="shared" si="25"/>
        <v>56794.021979039164</v>
      </c>
      <c r="O49" s="98">
        <v>30000</v>
      </c>
      <c r="P49" s="113">
        <v>179.68</v>
      </c>
      <c r="Q49" s="113">
        <v>175.57</v>
      </c>
      <c r="R49" s="113">
        <f t="shared" si="26"/>
        <v>4.1100000000000136</v>
      </c>
      <c r="S49" s="103">
        <f t="shared" si="22"/>
        <v>0.17550107478395494</v>
      </c>
      <c r="T49" s="103">
        <f t="shared" si="27"/>
        <v>0.17963051183769504</v>
      </c>
      <c r="U49" s="103"/>
      <c r="V49" s="143"/>
      <c r="W49" s="104"/>
      <c r="X49" s="105">
        <v>2.15</v>
      </c>
      <c r="Y49" s="33">
        <f t="shared" si="28"/>
        <v>57873.7</v>
      </c>
      <c r="Z49" s="33"/>
      <c r="AA49" s="173">
        <v>4233.0833334182198</v>
      </c>
      <c r="AB49" s="107">
        <f t="shared" si="29"/>
        <v>-269.18</v>
      </c>
    </row>
    <row r="50" spans="1:28" s="24" customFormat="1" ht="12.9" customHeight="1" x14ac:dyDescent="0.3">
      <c r="A50" s="716">
        <v>43240.631944444445</v>
      </c>
      <c r="B50" s="716">
        <v>43244.270833333336</v>
      </c>
      <c r="C50" s="47"/>
      <c r="D50" s="701">
        <v>2000000102</v>
      </c>
      <c r="E50" s="708" t="s">
        <v>115</v>
      </c>
      <c r="F50" s="700" t="s">
        <v>32</v>
      </c>
      <c r="G50" s="139">
        <v>59793</v>
      </c>
      <c r="H50" s="710" t="s">
        <v>33</v>
      </c>
      <c r="I50" s="713">
        <v>64800</v>
      </c>
      <c r="J50" s="712">
        <f>(G50+G51)-I50</f>
        <v>0</v>
      </c>
      <c r="K50" s="714">
        <f>'[80]Yue Dian 9'!$F$63</f>
        <v>3.6388888888905058</v>
      </c>
      <c r="L50" s="711">
        <f>'[80]Yue Dian 9'!$F$63-'[80]Yue Dian 9'!$F$59</f>
        <v>1.2430555555547471</v>
      </c>
      <c r="M50" s="712">
        <f>(G50+G51)/K50</f>
        <v>17807.633587778346</v>
      </c>
      <c r="N50" s="712">
        <f>(G50+G51)/L50</f>
        <v>52129.60893858139</v>
      </c>
      <c r="O50" s="712">
        <v>30000</v>
      </c>
      <c r="P50" s="705">
        <v>174.55</v>
      </c>
      <c r="Q50" s="705">
        <v>162.71</v>
      </c>
      <c r="R50" s="705">
        <f t="shared" si="26"/>
        <v>11.840000000000003</v>
      </c>
      <c r="S50" s="706">
        <f>R50/8.7*10000/(G50+G51)</f>
        <v>0.21001844756634036</v>
      </c>
      <c r="T50" s="706">
        <f>R50/8.5*10000/(G50+G51)</f>
        <v>0.21496005809731306</v>
      </c>
      <c r="U50" s="154"/>
      <c r="V50" s="143"/>
      <c r="W50" s="104"/>
      <c r="X50" s="105">
        <v>2.15</v>
      </c>
      <c r="Y50" s="33">
        <f t="shared" si="28"/>
        <v>128554.95</v>
      </c>
      <c r="Z50" s="33"/>
      <c r="AA50" s="699">
        <v>9169.44</v>
      </c>
      <c r="AB50" s="107">
        <f t="shared" si="29"/>
        <v>-597.93000000000006</v>
      </c>
    </row>
    <row r="51" spans="1:28" s="24" customFormat="1" ht="12.9" customHeight="1" x14ac:dyDescent="0.3">
      <c r="A51" s="716"/>
      <c r="B51" s="716"/>
      <c r="C51" s="47"/>
      <c r="D51" s="701"/>
      <c r="E51" s="708"/>
      <c r="F51" s="700"/>
      <c r="G51" s="139">
        <v>5007</v>
      </c>
      <c r="H51" s="710"/>
      <c r="I51" s="713"/>
      <c r="J51" s="712"/>
      <c r="K51" s="714"/>
      <c r="L51" s="711"/>
      <c r="M51" s="712"/>
      <c r="N51" s="712"/>
      <c r="O51" s="712"/>
      <c r="P51" s="705"/>
      <c r="Q51" s="705"/>
      <c r="R51" s="705"/>
      <c r="S51" s="706"/>
      <c r="T51" s="706"/>
      <c r="U51" s="154"/>
      <c r="V51" s="143"/>
      <c r="W51" s="104"/>
      <c r="X51" s="105">
        <v>1.82</v>
      </c>
      <c r="Y51" s="33">
        <f t="shared" si="28"/>
        <v>9112.74</v>
      </c>
      <c r="Z51" s="33"/>
      <c r="AA51" s="699"/>
      <c r="AB51" s="107">
        <f t="shared" si="29"/>
        <v>-50.07</v>
      </c>
    </row>
    <row r="52" spans="1:28" s="24" customFormat="1" ht="12.9" customHeight="1" x14ac:dyDescent="0.3">
      <c r="A52" s="146">
        <v>43244.548611111109</v>
      </c>
      <c r="B52" s="146">
        <v>43248.510416666664</v>
      </c>
      <c r="C52" s="47"/>
      <c r="D52" s="25">
        <v>2000000103</v>
      </c>
      <c r="E52" s="35" t="s">
        <v>128</v>
      </c>
      <c r="F52" s="45" t="s">
        <v>32</v>
      </c>
      <c r="G52" s="139">
        <v>77000</v>
      </c>
      <c r="H52" s="172" t="s">
        <v>33</v>
      </c>
      <c r="I52" s="172">
        <v>77000</v>
      </c>
      <c r="J52" s="111">
        <f>G52-I52</f>
        <v>0</v>
      </c>
      <c r="K52" s="112">
        <f>'[80]Yangtze Xing Hua'!$F$68</f>
        <v>3.9618055555547471</v>
      </c>
      <c r="L52" s="112">
        <f>'[80]Yangtze Xing Hua'!$F$68-'[80]Yangtze Xing Hua'!$F$64</f>
        <v>1.4635416666860692</v>
      </c>
      <c r="M52" s="102">
        <f>G52/K52</f>
        <v>19435.582822089855</v>
      </c>
      <c r="N52" s="102">
        <f>G52/L52</f>
        <v>52612.099643430622</v>
      </c>
      <c r="O52" s="98">
        <v>30000</v>
      </c>
      <c r="P52" s="113">
        <v>162.4</v>
      </c>
      <c r="Q52" s="113">
        <v>148.97</v>
      </c>
      <c r="R52" s="113">
        <f>P52-Q52</f>
        <v>13.430000000000007</v>
      </c>
      <c r="S52" s="103">
        <f>R52/8.7*10000/G52</f>
        <v>0.20047768323630405</v>
      </c>
      <c r="T52" s="103">
        <f>R52/8.5*10000/G52</f>
        <v>0.20519480519480529</v>
      </c>
      <c r="U52" s="103"/>
      <c r="V52" s="143"/>
      <c r="W52" s="104"/>
      <c r="X52" s="105">
        <v>1.82</v>
      </c>
      <c r="Y52" s="33">
        <f t="shared" si="28"/>
        <v>140140</v>
      </c>
      <c r="Z52" s="33"/>
      <c r="AA52" s="175">
        <v>11031.249999805976</v>
      </c>
      <c r="AB52" s="107">
        <f t="shared" si="29"/>
        <v>-770</v>
      </c>
    </row>
    <row r="53" spans="1:28" s="24" customFormat="1" ht="12.9" customHeight="1" x14ac:dyDescent="0.3">
      <c r="A53" s="146">
        <v>43249.677083333336</v>
      </c>
      <c r="B53" s="146">
        <v>43251.8125</v>
      </c>
      <c r="C53" s="47"/>
      <c r="D53" s="25">
        <v>2000000104</v>
      </c>
      <c r="E53" s="35" t="s">
        <v>129</v>
      </c>
      <c r="F53" s="45" t="s">
        <v>32</v>
      </c>
      <c r="G53" s="139">
        <v>57408</v>
      </c>
      <c r="H53" s="172" t="s">
        <v>49</v>
      </c>
      <c r="I53" s="172">
        <v>76625</v>
      </c>
      <c r="J53" s="111">
        <f>G53-I53</f>
        <v>-19217</v>
      </c>
      <c r="K53" s="112">
        <f>'[80]Mineral Hokkaido'!$F$58</f>
        <v>2.1354166666642413</v>
      </c>
      <c r="L53" s="112">
        <f>'[80]Mineral Hokkaido'!$F$58-'[80]Mineral Hokkaido'!$F$54</f>
        <v>1.1406249999854481</v>
      </c>
      <c r="M53" s="102">
        <f>G53/K53</f>
        <v>26883.746341493948</v>
      </c>
      <c r="N53" s="102">
        <f>G53/L53</f>
        <v>50330.30137050512</v>
      </c>
      <c r="O53" s="98">
        <v>30000</v>
      </c>
      <c r="P53" s="113">
        <v>147.12</v>
      </c>
      <c r="Q53" s="113">
        <v>138.07</v>
      </c>
      <c r="R53" s="113">
        <f>P53-Q53</f>
        <v>9.0500000000000114</v>
      </c>
      <c r="S53" s="103">
        <f>R53/8.7*10000/G53</f>
        <v>0.18119946437037918</v>
      </c>
      <c r="T53" s="103">
        <f>R53/8.5*10000/G53</f>
        <v>0.18546298117909396</v>
      </c>
      <c r="U53" s="103"/>
      <c r="V53" s="143"/>
      <c r="W53" s="104"/>
      <c r="X53" s="105">
        <v>1.82</v>
      </c>
      <c r="Y53" s="33">
        <f t="shared" si="28"/>
        <v>104482.56</v>
      </c>
      <c r="Z53" s="33"/>
      <c r="AA53" s="175">
        <v>7729.7500001455192</v>
      </c>
      <c r="AB53" s="107">
        <f t="shared" si="29"/>
        <v>-574.08000000000004</v>
      </c>
    </row>
    <row r="54" spans="1:28" s="15" customFormat="1" ht="12.9" customHeight="1" x14ac:dyDescent="0.3">
      <c r="A54" s="48"/>
      <c r="B54" s="48"/>
      <c r="C54" s="48"/>
      <c r="D54" s="48"/>
      <c r="E54" s="155" t="s">
        <v>118</v>
      </c>
      <c r="F54" s="16"/>
      <c r="G54" s="116">
        <v>-139415</v>
      </c>
      <c r="H54" s="156"/>
      <c r="I54" s="157"/>
      <c r="J54" s="157"/>
      <c r="K54" s="158"/>
      <c r="L54" s="159"/>
      <c r="M54" s="157"/>
      <c r="N54" s="157"/>
      <c r="O54" s="157"/>
      <c r="P54" s="160"/>
      <c r="Q54" s="160"/>
      <c r="R54" s="160"/>
      <c r="S54" s="161"/>
      <c r="T54" s="161"/>
      <c r="U54" s="161"/>
      <c r="V54" s="18"/>
      <c r="X54" s="105">
        <v>2.15</v>
      </c>
      <c r="Y54" s="33">
        <f t="shared" si="28"/>
        <v>-299742.25</v>
      </c>
      <c r="Z54" s="19"/>
      <c r="AA54" s="162"/>
      <c r="AB54" s="121"/>
    </row>
    <row r="55" spans="1:28" s="35" customFormat="1" ht="12.9" customHeight="1" x14ac:dyDescent="0.3">
      <c r="A55" s="50"/>
      <c r="B55" s="50"/>
      <c r="C55" s="20">
        <v>1000000021</v>
      </c>
      <c r="D55" s="50"/>
      <c r="E55" s="122" t="s">
        <v>52</v>
      </c>
      <c r="F55" s="123"/>
      <c r="G55" s="170">
        <f>SUM(G44:G53)</f>
        <v>561290</v>
      </c>
      <c r="H55" s="124"/>
      <c r="I55" s="124"/>
      <c r="J55" s="124"/>
      <c r="K55" s="163">
        <f>SUM(K44:K53)</f>
        <v>23.736111111109494</v>
      </c>
      <c r="L55" s="164">
        <f>SUM(L44:L53)</f>
        <v>10.79513888890142</v>
      </c>
      <c r="M55" s="124"/>
      <c r="N55" s="124"/>
      <c r="O55" s="124"/>
      <c r="P55" s="124"/>
      <c r="Q55" s="124"/>
      <c r="R55" s="126">
        <f>SUM(R44:R53)</f>
        <v>89.489999999999981</v>
      </c>
      <c r="S55" s="127">
        <f>R55/8.7*10000/G55</f>
        <v>0.18326011324897509</v>
      </c>
      <c r="T55" s="127">
        <f t="shared" ref="T55:T63" si="30">R55/8.5*10000/G55</f>
        <v>0.18757211591365683</v>
      </c>
      <c r="U55" s="128">
        <f>(T55-S55)/T55</f>
        <v>2.2988505747126273E-2</v>
      </c>
      <c r="V55" s="129">
        <v>421875</v>
      </c>
      <c r="W55" s="22">
        <f>G55-V55</f>
        <v>139415</v>
      </c>
      <c r="X55" s="130"/>
      <c r="Y55" s="131">
        <f>SUM(Y44:Y54)</f>
        <v>861024.3</v>
      </c>
      <c r="Z55" s="131"/>
      <c r="AA55" s="132">
        <f>SUM(AA44:AA53)</f>
        <v>79145.273333199933</v>
      </c>
      <c r="AB55" s="132">
        <f>SUM(AB44:AB53)</f>
        <v>-5612.9</v>
      </c>
    </row>
    <row r="56" spans="1:28" x14ac:dyDescent="0.3">
      <c r="A56" s="146">
        <v>43253.208333333336</v>
      </c>
      <c r="B56" s="146">
        <v>43256.357638888891</v>
      </c>
      <c r="C56" s="23"/>
      <c r="D56" s="25">
        <v>2000000124</v>
      </c>
      <c r="E56" s="35" t="s">
        <v>130</v>
      </c>
      <c r="F56" s="171" t="s">
        <v>32</v>
      </c>
      <c r="G56" s="139">
        <v>71090</v>
      </c>
      <c r="H56" s="139" t="s">
        <v>33</v>
      </c>
      <c r="I56" s="139">
        <v>70940</v>
      </c>
      <c r="J56" s="111">
        <f t="shared" ref="J56:J63" si="31">G56-I56</f>
        <v>150</v>
      </c>
      <c r="K56" s="101">
        <f>[81]Nearchos!$F$79</f>
        <v>3.1493055555547471</v>
      </c>
      <c r="L56" s="101">
        <f>[81]Nearchos!$F$79-[81]Nearchos!$F$75</f>
        <v>1.3177083333175688</v>
      </c>
      <c r="M56" s="102">
        <f t="shared" ref="M56:M61" si="32">G56/K56</f>
        <v>22573.230429994768</v>
      </c>
      <c r="N56" s="102">
        <f t="shared" ref="N56:N61" si="33">G56/L56</f>
        <v>53949.72332080354</v>
      </c>
      <c r="O56" s="98">
        <v>30000</v>
      </c>
      <c r="P56" s="108">
        <v>136.22999999999999</v>
      </c>
      <c r="Q56" s="108">
        <v>124.17</v>
      </c>
      <c r="R56" s="113">
        <f t="shared" ref="R56:R64" si="34">P56-Q56</f>
        <v>12.059999999999988</v>
      </c>
      <c r="S56" s="103">
        <f t="shared" ref="S56:S63" si="35">R56/8.7*10000/G56</f>
        <v>0.19499323344376465</v>
      </c>
      <c r="T56" s="103">
        <f t="shared" si="30"/>
        <v>0.19958130952479439</v>
      </c>
      <c r="U56" s="103"/>
      <c r="X56" s="105">
        <v>2.15</v>
      </c>
      <c r="Y56" s="33">
        <f t="shared" ref="Y56:Y68" si="36">G56*X56</f>
        <v>152843.5</v>
      </c>
      <c r="AA56" s="166">
        <v>10519.58333349098</v>
      </c>
      <c r="AB56" s="107">
        <f>(G56*0)</f>
        <v>0</v>
      </c>
    </row>
    <row r="57" spans="1:28" s="183" customFormat="1" x14ac:dyDescent="0.3">
      <c r="A57" s="176">
        <v>43257.163194444445</v>
      </c>
      <c r="B57" s="176">
        <v>43258.541666666664</v>
      </c>
      <c r="C57" s="50"/>
      <c r="D57" s="36">
        <v>2000000125</v>
      </c>
      <c r="E57" s="35" t="s">
        <v>131</v>
      </c>
      <c r="F57" s="177" t="s">
        <v>58</v>
      </c>
      <c r="G57" s="139">
        <v>42808</v>
      </c>
      <c r="H57" s="139" t="s">
        <v>49</v>
      </c>
      <c r="I57" s="139">
        <v>163212</v>
      </c>
      <c r="J57" s="172">
        <f t="shared" si="31"/>
        <v>-120404</v>
      </c>
      <c r="K57" s="178">
        <f>'[81]CS Harmony'!$F$42</f>
        <v>1.3784722222189885</v>
      </c>
      <c r="L57" s="178">
        <f>'[81]CS Harmony'!$F$42-'[81]CS Harmony'!$F$38</f>
        <v>0.89930555553291924</v>
      </c>
      <c r="M57" s="139">
        <f t="shared" si="32"/>
        <v>31054.670025261767</v>
      </c>
      <c r="N57" s="139">
        <f t="shared" si="33"/>
        <v>47601.173746371911</v>
      </c>
      <c r="O57" s="143">
        <v>30000</v>
      </c>
      <c r="P57" s="179">
        <v>122.91</v>
      </c>
      <c r="Q57" s="179">
        <v>116.79</v>
      </c>
      <c r="R57" s="180">
        <f t="shared" si="34"/>
        <v>6.1199999999999903</v>
      </c>
      <c r="S57" s="181">
        <f t="shared" si="35"/>
        <v>0.16432635859233505</v>
      </c>
      <c r="T57" s="181">
        <f t="shared" si="30"/>
        <v>0.16819286114744883</v>
      </c>
      <c r="U57" s="179"/>
      <c r="V57" s="182"/>
      <c r="X57" s="184">
        <v>2.15</v>
      </c>
      <c r="Y57" s="54">
        <f t="shared" si="36"/>
        <v>92037.2</v>
      </c>
      <c r="Z57" s="185"/>
      <c r="AA57" s="166">
        <v>5276.2777780041415</v>
      </c>
      <c r="AB57" s="145">
        <f t="shared" ref="AB57:AB65" si="37">(G57*0)</f>
        <v>0</v>
      </c>
    </row>
    <row r="58" spans="1:28" x14ac:dyDescent="0.3">
      <c r="A58" s="146">
        <v>43259.131944444445</v>
      </c>
      <c r="B58" s="146">
        <v>43261.736111111109</v>
      </c>
      <c r="C58" s="23"/>
      <c r="D58" s="25">
        <v>2000000126</v>
      </c>
      <c r="E58" s="35" t="s">
        <v>109</v>
      </c>
      <c r="F58" s="171" t="s">
        <v>32</v>
      </c>
      <c r="G58" s="139">
        <v>67500</v>
      </c>
      <c r="H58" s="139" t="s">
        <v>33</v>
      </c>
      <c r="I58" s="139">
        <v>67500</v>
      </c>
      <c r="J58" s="111">
        <f t="shared" si="31"/>
        <v>0</v>
      </c>
      <c r="K58" s="101">
        <f>'[81]Yue Dian 81'!$F$60</f>
        <v>2.6041666666642413</v>
      </c>
      <c r="L58" s="101">
        <f>'[81]Yue Dian 81'!$F$60-'[81]Yue Dian 81'!$F$56</f>
        <v>1.2361111111094942</v>
      </c>
      <c r="M58" s="102">
        <f t="shared" si="32"/>
        <v>25920.000000024142</v>
      </c>
      <c r="N58" s="102">
        <f t="shared" si="33"/>
        <v>54606.741573105137</v>
      </c>
      <c r="O58" s="98">
        <v>30000</v>
      </c>
      <c r="P58" s="108">
        <v>116.08</v>
      </c>
      <c r="Q58" s="108">
        <v>105.48</v>
      </c>
      <c r="R58" s="113">
        <f t="shared" si="34"/>
        <v>10.599999999999994</v>
      </c>
      <c r="S58" s="103">
        <f t="shared" si="35"/>
        <v>0.18050234142188154</v>
      </c>
      <c r="T58" s="103">
        <f t="shared" si="30"/>
        <v>0.18474945533769055</v>
      </c>
      <c r="U58" s="108"/>
      <c r="X58" s="105">
        <v>2.15</v>
      </c>
      <c r="Y58" s="33">
        <f t="shared" si="36"/>
        <v>145125</v>
      </c>
      <c r="AA58" s="166">
        <v>10138.888888905058</v>
      </c>
      <c r="AB58" s="107">
        <f t="shared" si="37"/>
        <v>0</v>
      </c>
    </row>
    <row r="59" spans="1:28" x14ac:dyDescent="0.3">
      <c r="A59" s="146">
        <v>43263.684027777781</v>
      </c>
      <c r="B59" s="146">
        <v>43265.5</v>
      </c>
      <c r="C59" s="23"/>
      <c r="D59" s="25">
        <v>2000000127</v>
      </c>
      <c r="E59" s="35" t="s">
        <v>132</v>
      </c>
      <c r="F59" s="171" t="s">
        <v>32</v>
      </c>
      <c r="G59" s="139">
        <v>51201</v>
      </c>
      <c r="H59" s="139" t="s">
        <v>93</v>
      </c>
      <c r="I59" s="139">
        <v>81150</v>
      </c>
      <c r="J59" s="111">
        <f t="shared" si="31"/>
        <v>-29949</v>
      </c>
      <c r="K59" s="101">
        <f>'[81]Wooyang Friend'!$F$54</f>
        <v>1.8159722222189885</v>
      </c>
      <c r="L59" s="101">
        <f>'[81]Wooyang Friend'!$F$54-'[81]Wooyang Friend'!$F$50</f>
        <v>1.0503472222153505</v>
      </c>
      <c r="M59" s="102">
        <f t="shared" si="32"/>
        <v>28194.814531598964</v>
      </c>
      <c r="N59" s="102">
        <f t="shared" si="33"/>
        <v>48746.73719040156</v>
      </c>
      <c r="O59" s="98">
        <v>30000</v>
      </c>
      <c r="P59" s="108">
        <v>102.77</v>
      </c>
      <c r="Q59" s="108">
        <v>94.49</v>
      </c>
      <c r="R59" s="113">
        <f t="shared" si="34"/>
        <v>8.2800000000000011</v>
      </c>
      <c r="S59" s="103">
        <f t="shared" si="35"/>
        <v>0.18587999022109622</v>
      </c>
      <c r="T59" s="103">
        <f t="shared" si="30"/>
        <v>0.19025363704982787</v>
      </c>
      <c r="U59" s="108"/>
      <c r="X59" s="105">
        <v>2.15</v>
      </c>
      <c r="Y59" s="33">
        <f t="shared" si="36"/>
        <v>110082.15</v>
      </c>
      <c r="AA59" s="166">
        <v>6563.5277778464961</v>
      </c>
      <c r="AB59" s="107">
        <f t="shared" si="37"/>
        <v>0</v>
      </c>
    </row>
    <row r="60" spans="1:28" x14ac:dyDescent="0.3">
      <c r="A60" s="146">
        <v>43268.625</v>
      </c>
      <c r="B60" s="146">
        <v>43271.145833333336</v>
      </c>
      <c r="C60" s="23"/>
      <c r="D60" s="25">
        <v>2000000128</v>
      </c>
      <c r="E60" s="35" t="s">
        <v>133</v>
      </c>
      <c r="F60" s="171" t="s">
        <v>32</v>
      </c>
      <c r="G60" s="139">
        <v>71499</v>
      </c>
      <c r="H60" s="139" t="s">
        <v>33</v>
      </c>
      <c r="I60" s="139">
        <v>71365</v>
      </c>
      <c r="J60" s="111">
        <f t="shared" si="31"/>
        <v>134</v>
      </c>
      <c r="K60" s="101">
        <f>'[81]Yue Dian 82'!$F$57</f>
        <v>2.5208333333357587</v>
      </c>
      <c r="L60" s="101">
        <f>'[81]Yue Dian 82'!$F$57-'[81]Yue Dian 82'!$F$53</f>
        <v>1.3732638889050577</v>
      </c>
      <c r="M60" s="102">
        <f t="shared" si="32"/>
        <v>28363.239669394199</v>
      </c>
      <c r="N60" s="102">
        <f t="shared" si="33"/>
        <v>52065.011377389514</v>
      </c>
      <c r="O60" s="98">
        <v>30000</v>
      </c>
      <c r="P60" s="108">
        <v>89.85</v>
      </c>
      <c r="Q60" s="108">
        <v>78.959999999999994</v>
      </c>
      <c r="R60" s="113">
        <f t="shared" si="34"/>
        <v>10.89</v>
      </c>
      <c r="S60" s="103">
        <f t="shared" si="35"/>
        <v>0.1750687615114945</v>
      </c>
      <c r="T60" s="103">
        <f t="shared" si="30"/>
        <v>0.17918802648823554</v>
      </c>
      <c r="U60" s="108"/>
      <c r="X60" s="105">
        <v>2.15</v>
      </c>
      <c r="Y60" s="33">
        <f t="shared" si="36"/>
        <v>153722.85</v>
      </c>
      <c r="AA60" s="166">
        <v>10100.361110949425</v>
      </c>
      <c r="AB60" s="107">
        <f t="shared" si="37"/>
        <v>0</v>
      </c>
    </row>
    <row r="61" spans="1:28" s="183" customFormat="1" x14ac:dyDescent="0.3">
      <c r="A61" s="176">
        <v>43272.565972222219</v>
      </c>
      <c r="B61" s="176">
        <v>43274.010416666664</v>
      </c>
      <c r="C61" s="59"/>
      <c r="D61" s="36">
        <v>2000000136</v>
      </c>
      <c r="E61" s="44" t="s">
        <v>106</v>
      </c>
      <c r="F61" s="177" t="s">
        <v>32</v>
      </c>
      <c r="G61" s="139">
        <v>39780</v>
      </c>
      <c r="H61" s="172" t="s">
        <v>33</v>
      </c>
      <c r="I61" s="172">
        <v>63000</v>
      </c>
      <c r="J61" s="172">
        <f t="shared" si="31"/>
        <v>-23220</v>
      </c>
      <c r="K61" s="186">
        <f>'[81]Well Deep'!$F$46</f>
        <v>1.4444444444452529</v>
      </c>
      <c r="L61" s="186">
        <f>'[81]Well Deep'!$F$46-'[81]Well Deep'!$F$42</f>
        <v>0.85243055556929903</v>
      </c>
      <c r="M61" s="139">
        <f t="shared" si="32"/>
        <v>27539.999999984586</v>
      </c>
      <c r="N61" s="139">
        <f t="shared" si="33"/>
        <v>46666.558044054123</v>
      </c>
      <c r="O61" s="172">
        <v>30000</v>
      </c>
      <c r="P61" s="180">
        <v>76.650000000000006</v>
      </c>
      <c r="Q61" s="180">
        <v>70.069999999999993</v>
      </c>
      <c r="R61" s="180">
        <f t="shared" si="34"/>
        <v>6.5800000000000125</v>
      </c>
      <c r="S61" s="181">
        <f t="shared" si="35"/>
        <v>0.19012615361499779</v>
      </c>
      <c r="T61" s="181">
        <f t="shared" si="30"/>
        <v>0.19459971017064481</v>
      </c>
      <c r="U61" s="187"/>
      <c r="V61" s="188"/>
      <c r="W61" s="189"/>
      <c r="X61" s="184">
        <v>2.15</v>
      </c>
      <c r="Y61" s="54">
        <f t="shared" si="36"/>
        <v>85527</v>
      </c>
      <c r="Z61" s="190"/>
      <c r="AA61" s="173">
        <v>4735.6944443070106</v>
      </c>
      <c r="AB61" s="145">
        <f t="shared" si="37"/>
        <v>0</v>
      </c>
    </row>
    <row r="62" spans="1:28" s="183" customFormat="1" x14ac:dyDescent="0.3">
      <c r="A62" s="176">
        <v>43274.291666666664</v>
      </c>
      <c r="B62" s="176">
        <v>43274.888888888891</v>
      </c>
      <c r="C62" s="59"/>
      <c r="D62" s="36">
        <v>2000000140</v>
      </c>
      <c r="E62" s="44" t="s">
        <v>134</v>
      </c>
      <c r="F62" s="177" t="s">
        <v>32</v>
      </c>
      <c r="G62" s="139">
        <v>23520</v>
      </c>
      <c r="H62" s="172" t="s">
        <v>33</v>
      </c>
      <c r="I62" s="172">
        <v>74002</v>
      </c>
      <c r="J62" s="172">
        <f t="shared" si="31"/>
        <v>-50482</v>
      </c>
      <c r="K62" s="186">
        <f>'[81]Medi Genova'!$F$34</f>
        <v>0.59722222222626442</v>
      </c>
      <c r="L62" s="186">
        <f>'[81]Medi Genova'!$F$34-'[81]Medi Genova'!$F$30</f>
        <v>0.40277777778828749</v>
      </c>
      <c r="M62" s="139">
        <f>G62/K62</f>
        <v>39382.325581128796</v>
      </c>
      <c r="N62" s="139">
        <f>G62/L62</f>
        <v>58394.482757096994</v>
      </c>
      <c r="O62" s="172">
        <v>30000</v>
      </c>
      <c r="P62" s="180">
        <v>69.650000000000006</v>
      </c>
      <c r="Q62" s="180">
        <v>66.34</v>
      </c>
      <c r="R62" s="180">
        <f t="shared" si="34"/>
        <v>3.3100000000000023</v>
      </c>
      <c r="S62" s="181">
        <f t="shared" si="35"/>
        <v>0.16176010634138727</v>
      </c>
      <c r="T62" s="181">
        <f t="shared" si="30"/>
        <v>0.16556622649059635</v>
      </c>
      <c r="U62" s="187"/>
      <c r="V62" s="188"/>
      <c r="W62" s="189"/>
      <c r="X62" s="184">
        <v>2.15</v>
      </c>
      <c r="Y62" s="54">
        <f t="shared" si="36"/>
        <v>50568</v>
      </c>
      <c r="Z62" s="190"/>
      <c r="AA62" s="173">
        <v>3812.2222221171255</v>
      </c>
      <c r="AB62" s="145">
        <f t="shared" si="37"/>
        <v>0</v>
      </c>
    </row>
    <row r="63" spans="1:28" s="206" customFormat="1" x14ac:dyDescent="0.3">
      <c r="A63" s="191">
        <v>43275.885416666664</v>
      </c>
      <c r="B63" s="191">
        <v>43276.763888888891</v>
      </c>
      <c r="C63" s="192"/>
      <c r="D63" s="36">
        <v>2000000141</v>
      </c>
      <c r="E63" s="193" t="s">
        <v>126</v>
      </c>
      <c r="F63" s="194" t="s">
        <v>32</v>
      </c>
      <c r="G63" s="195">
        <v>32681</v>
      </c>
      <c r="H63" s="195" t="s">
        <v>93</v>
      </c>
      <c r="I63" s="196">
        <v>72500</v>
      </c>
      <c r="J63" s="196">
        <f t="shared" si="31"/>
        <v>-39819</v>
      </c>
      <c r="K63" s="186">
        <f>[81]Arpeggio!$F$36</f>
        <v>0.87847222222626442</v>
      </c>
      <c r="L63" s="186">
        <f>[81]Arpeggio!$F$36-[81]Arpeggio!$F$32</f>
        <v>0.59548611112768413</v>
      </c>
      <c r="M63" s="195">
        <f>G63/K63</f>
        <v>37202.086956350555</v>
      </c>
      <c r="N63" s="195">
        <f>G63/L63</f>
        <v>54881.212826460935</v>
      </c>
      <c r="O63" s="196">
        <v>30000</v>
      </c>
      <c r="P63" s="197">
        <v>65</v>
      </c>
      <c r="Q63" s="197">
        <v>60.5</v>
      </c>
      <c r="R63" s="197">
        <f t="shared" si="34"/>
        <v>4.5</v>
      </c>
      <c r="S63" s="198">
        <f t="shared" si="35"/>
        <v>0.15826975285650527</v>
      </c>
      <c r="T63" s="198">
        <f t="shared" si="30"/>
        <v>0.16199374704136421</v>
      </c>
      <c r="U63" s="199"/>
      <c r="V63" s="200"/>
      <c r="W63" s="201"/>
      <c r="X63" s="202">
        <v>2.15</v>
      </c>
      <c r="Y63" s="53">
        <f t="shared" si="36"/>
        <v>70264.149999999994</v>
      </c>
      <c r="Z63" s="203"/>
      <c r="AA63" s="204">
        <v>4938.8055553898248</v>
      </c>
      <c r="AB63" s="205">
        <f t="shared" si="37"/>
        <v>0</v>
      </c>
    </row>
    <row r="64" spans="1:28" x14ac:dyDescent="0.3">
      <c r="A64" s="707">
        <v>43277.100694444445</v>
      </c>
      <c r="B64" s="707">
        <v>43280.659722222219</v>
      </c>
      <c r="C64" s="47"/>
      <c r="D64" s="701">
        <v>2000000142</v>
      </c>
      <c r="E64" s="708" t="s">
        <v>135</v>
      </c>
      <c r="F64" s="709" t="s">
        <v>32</v>
      </c>
      <c r="G64" s="139">
        <v>21796</v>
      </c>
      <c r="H64" s="710" t="s">
        <v>33</v>
      </c>
      <c r="I64" s="713">
        <v>75400</v>
      </c>
      <c r="J64" s="712">
        <f>(G64+G65)-I64</f>
        <v>-857</v>
      </c>
      <c r="K64" s="714">
        <f>'[81]Atlas B'!$F$60</f>
        <v>3.5590277777737356</v>
      </c>
      <c r="L64" s="714">
        <f>'[81]Atlas B'!$F$60-'[81]Atlas B'!$F$56</f>
        <v>1.3628472222007986</v>
      </c>
      <c r="M64" s="703">
        <f>(G64+G65)/K64</f>
        <v>20944.764878072569</v>
      </c>
      <c r="N64" s="703">
        <f>(G64+G65)/L64</f>
        <v>54696.519746082748</v>
      </c>
      <c r="O64" s="703">
        <v>30000</v>
      </c>
      <c r="P64" s="704">
        <v>60.08</v>
      </c>
      <c r="Q64" s="704">
        <v>47.2</v>
      </c>
      <c r="R64" s="705">
        <f t="shared" si="34"/>
        <v>12.879999999999995</v>
      </c>
      <c r="S64" s="706">
        <f>R64/8.7*10000/(G64+G65)</f>
        <v>0.19860480127107066</v>
      </c>
      <c r="T64" s="706">
        <f>R64/8.5*10000/(G64+G65)</f>
        <v>0.20327785541862525</v>
      </c>
      <c r="U64" s="152"/>
      <c r="V64" s="207"/>
      <c r="W64" s="208"/>
      <c r="X64" s="105">
        <v>2.15</v>
      </c>
      <c r="Y64" s="33">
        <f t="shared" si="36"/>
        <v>46861.4</v>
      </c>
      <c r="Z64" s="209"/>
      <c r="AA64" s="699">
        <v>11219.194444658682</v>
      </c>
      <c r="AB64" s="107">
        <f t="shared" si="37"/>
        <v>0</v>
      </c>
    </row>
    <row r="65" spans="1:28" x14ac:dyDescent="0.3">
      <c r="A65" s="707"/>
      <c r="B65" s="707"/>
      <c r="C65" s="47"/>
      <c r="D65" s="701"/>
      <c r="E65" s="708"/>
      <c r="F65" s="709"/>
      <c r="G65" s="139">
        <v>52747</v>
      </c>
      <c r="H65" s="710"/>
      <c r="I65" s="713"/>
      <c r="J65" s="712"/>
      <c r="K65" s="714"/>
      <c r="L65" s="714"/>
      <c r="M65" s="703"/>
      <c r="N65" s="703"/>
      <c r="O65" s="703"/>
      <c r="P65" s="704"/>
      <c r="Q65" s="704"/>
      <c r="R65" s="705"/>
      <c r="S65" s="706"/>
      <c r="T65" s="706"/>
      <c r="U65" s="152"/>
      <c r="V65" s="207"/>
      <c r="W65" s="208"/>
      <c r="X65" s="105">
        <v>1.82</v>
      </c>
      <c r="Y65" s="33">
        <f t="shared" si="36"/>
        <v>95999.540000000008</v>
      </c>
      <c r="Z65" s="209"/>
      <c r="AA65" s="699"/>
      <c r="AB65" s="107">
        <f t="shared" si="37"/>
        <v>0</v>
      </c>
    </row>
    <row r="66" spans="1:28" s="220" customFormat="1" x14ac:dyDescent="0.3">
      <c r="A66" s="210"/>
      <c r="B66" s="210"/>
      <c r="C66" s="48"/>
      <c r="D66" s="48"/>
      <c r="E66" s="211" t="s">
        <v>118</v>
      </c>
      <c r="F66" s="212"/>
      <c r="G66" s="213">
        <v>-6800</v>
      </c>
      <c r="H66" s="214"/>
      <c r="I66" s="214"/>
      <c r="J66" s="117"/>
      <c r="K66" s="118"/>
      <c r="L66" s="118"/>
      <c r="M66" s="116"/>
      <c r="N66" s="116"/>
      <c r="O66" s="117"/>
      <c r="P66" s="119"/>
      <c r="Q66" s="119"/>
      <c r="R66" s="119"/>
      <c r="S66" s="215"/>
      <c r="T66" s="215"/>
      <c r="U66" s="160"/>
      <c r="V66" s="216"/>
      <c r="W66" s="217"/>
      <c r="X66" s="105">
        <v>2.15</v>
      </c>
      <c r="Y66" s="33">
        <f t="shared" si="36"/>
        <v>-14620</v>
      </c>
      <c r="Z66" s="218"/>
      <c r="AA66" s="219"/>
      <c r="AB66" s="121"/>
    </row>
    <row r="67" spans="1:28" s="35" customFormat="1" ht="12.9" customHeight="1" x14ac:dyDescent="0.3">
      <c r="A67" s="50"/>
      <c r="B67" s="50"/>
      <c r="C67" s="20">
        <v>1000000025</v>
      </c>
      <c r="D67" s="50"/>
      <c r="E67" s="122" t="s">
        <v>60</v>
      </c>
      <c r="F67" s="123"/>
      <c r="G67" s="170">
        <f>SUM(G56:G65)</f>
        <v>474622</v>
      </c>
      <c r="H67" s="124"/>
      <c r="I67" s="124"/>
      <c r="J67" s="124"/>
      <c r="K67" s="163">
        <f>SUM(K56:K65)</f>
        <v>17.947916666664241</v>
      </c>
      <c r="L67" s="164">
        <f>SUM(L56:L65)</f>
        <v>9.0902777777664596</v>
      </c>
      <c r="M67" s="124"/>
      <c r="N67" s="124"/>
      <c r="O67" s="124"/>
      <c r="P67" s="124"/>
      <c r="Q67" s="124"/>
      <c r="R67" s="126">
        <f>SUM(R56:R64)</f>
        <v>75.219999999999985</v>
      </c>
      <c r="S67" s="127">
        <f>R67/8.7*10000/G67</f>
        <v>0.18216553407752381</v>
      </c>
      <c r="T67" s="127">
        <f>R67/8.5*10000/G67</f>
        <v>0.18645178193817144</v>
      </c>
      <c r="U67" s="124"/>
      <c r="V67" s="129">
        <v>421875</v>
      </c>
      <c r="W67" s="22">
        <f>G67-V67</f>
        <v>52747</v>
      </c>
      <c r="X67" s="130"/>
      <c r="Y67" s="131">
        <f>SUM(Y56:Y64)</f>
        <v>907031.25</v>
      </c>
      <c r="Z67" s="131"/>
      <c r="AA67" s="132">
        <f>SUM(AA56:AA65)</f>
        <v>67304.555555668732</v>
      </c>
      <c r="AB67" s="132">
        <f>SUM(AB56:AB64)</f>
        <v>0</v>
      </c>
    </row>
    <row r="68" spans="1:28" x14ac:dyDescent="0.3">
      <c r="A68" s="146">
        <v>43282.010416666664</v>
      </c>
      <c r="B68" s="146">
        <v>43286.423611111109</v>
      </c>
      <c r="C68" s="23"/>
      <c r="D68" s="23"/>
      <c r="E68" s="35" t="s">
        <v>136</v>
      </c>
      <c r="F68" s="36" t="s">
        <v>39</v>
      </c>
      <c r="G68" s="139">
        <v>89001</v>
      </c>
      <c r="H68" s="139" t="s">
        <v>49</v>
      </c>
      <c r="I68" s="139">
        <v>89000</v>
      </c>
      <c r="J68" s="111">
        <f>G68-I68</f>
        <v>1</v>
      </c>
      <c r="K68" s="101">
        <f>[82]Aliki!$F$67</f>
        <v>4.4131944444452529</v>
      </c>
      <c r="L68" s="101">
        <f>[82]Aliki!$F$67-[82]Aliki!$F$63</f>
        <v>1.5815972222299024</v>
      </c>
      <c r="M68" s="102">
        <f>G68/K68</f>
        <v>20167.024390240207</v>
      </c>
      <c r="N68" s="102">
        <f>G68/L68</f>
        <v>56272.860592481957</v>
      </c>
      <c r="O68" s="102">
        <v>30000</v>
      </c>
      <c r="P68" s="108">
        <v>219.08</v>
      </c>
      <c r="Q68" s="108">
        <v>202.66</v>
      </c>
      <c r="R68" s="113">
        <f>P68-Q68</f>
        <v>16.420000000000016</v>
      </c>
      <c r="S68" s="103">
        <f>R68/8.7*10000/G68</f>
        <v>0.21206012537376909</v>
      </c>
      <c r="T68" s="103">
        <f>R68/8.5*10000/G68</f>
        <v>0.21704977538256368</v>
      </c>
      <c r="U68" s="108"/>
      <c r="X68" s="105">
        <v>2.84</v>
      </c>
      <c r="Y68" s="33">
        <f t="shared" si="36"/>
        <v>252762.84</v>
      </c>
      <c r="AA68" s="166">
        <v>13851.027777700974</v>
      </c>
      <c r="AB68" s="145">
        <f>(G68*0)</f>
        <v>0</v>
      </c>
    </row>
    <row r="69" spans="1:28" x14ac:dyDescent="0.3">
      <c r="A69" s="146">
        <v>43292.75</v>
      </c>
      <c r="B69" s="146">
        <v>43295.131944444445</v>
      </c>
      <c r="C69" s="23"/>
      <c r="D69" s="23"/>
      <c r="E69" s="35" t="s">
        <v>133</v>
      </c>
      <c r="F69" s="36" t="s">
        <v>32</v>
      </c>
      <c r="G69" s="139">
        <v>71500</v>
      </c>
      <c r="H69" s="172" t="s">
        <v>33</v>
      </c>
      <c r="I69" s="139">
        <v>71365</v>
      </c>
      <c r="J69" s="111">
        <f>G69-I69</f>
        <v>135</v>
      </c>
      <c r="K69" s="101">
        <f>'[82]Yue Dian 82'!$F$60</f>
        <v>2.3819444444452529</v>
      </c>
      <c r="L69" s="101">
        <f>'[82]Yue Dian 82'!$F$60-'[82]Yue Dian 82'!$F$56</f>
        <v>1.3229166666715173</v>
      </c>
      <c r="M69" s="102">
        <f>G69/K69</f>
        <v>30017.492711360075</v>
      </c>
      <c r="N69" s="102">
        <f>G69/L69</f>
        <v>54047.244094290021</v>
      </c>
      <c r="O69" s="102">
        <v>30000</v>
      </c>
      <c r="P69" s="108">
        <v>194.02</v>
      </c>
      <c r="Q69" s="108">
        <v>183.74</v>
      </c>
      <c r="R69" s="113">
        <f>P69-Q69</f>
        <v>10.280000000000001</v>
      </c>
      <c r="S69" s="103">
        <f>R69/8.7*10000/G69</f>
        <v>0.16526002732899289</v>
      </c>
      <c r="T69" s="103">
        <f>R69/8.5*10000/G69</f>
        <v>0.16914849856026326</v>
      </c>
      <c r="U69" s="108"/>
      <c r="X69" s="105">
        <v>2.84</v>
      </c>
      <c r="Y69" s="33">
        <f>G69*X69</f>
        <v>203060</v>
      </c>
      <c r="AA69" s="166">
        <v>10604.166666618161</v>
      </c>
      <c r="AB69" s="145">
        <f>(G69*0)</f>
        <v>0</v>
      </c>
    </row>
    <row r="70" spans="1:28" x14ac:dyDescent="0.3">
      <c r="A70" s="146">
        <v>43295.902777777781</v>
      </c>
      <c r="B70" s="146">
        <v>43298.277777777781</v>
      </c>
      <c r="C70" s="23"/>
      <c r="D70" s="23"/>
      <c r="E70" s="35" t="s">
        <v>137</v>
      </c>
      <c r="F70" s="36" t="s">
        <v>32</v>
      </c>
      <c r="G70" s="139">
        <v>70488</v>
      </c>
      <c r="H70" s="139" t="s">
        <v>33</v>
      </c>
      <c r="I70" s="139">
        <v>70468</v>
      </c>
      <c r="J70" s="111">
        <f>G70-I70</f>
        <v>20</v>
      </c>
      <c r="K70" s="101">
        <f>'[82]Ocean Favour'!$F$64</f>
        <v>2.375</v>
      </c>
      <c r="L70" s="101">
        <f>'[82]Ocean Favour'!$F$64-'[82]Ocean Favour'!$F$60</f>
        <v>1.3159722222517303</v>
      </c>
      <c r="M70" s="102">
        <f>G70/K70</f>
        <v>29679.157894736843</v>
      </c>
      <c r="N70" s="102">
        <f>G70/L70</f>
        <v>53563.44063204433</v>
      </c>
      <c r="O70" s="102">
        <v>30000</v>
      </c>
      <c r="P70" s="108">
        <v>182.7</v>
      </c>
      <c r="Q70" s="108">
        <v>171.8</v>
      </c>
      <c r="R70" s="113">
        <f>P70-Q70</f>
        <v>10.899999999999977</v>
      </c>
      <c r="S70" s="103">
        <f>R70/8.7*10000/G70</f>
        <v>0.17774281625502047</v>
      </c>
      <c r="T70" s="103">
        <f>R70/8.5*10000/G70</f>
        <v>0.18192500016690327</v>
      </c>
      <c r="U70" s="108"/>
      <c r="X70" s="105">
        <v>2.84</v>
      </c>
      <c r="Y70" s="33">
        <f>G70*X70</f>
        <v>200185.91999999998</v>
      </c>
      <c r="AA70" s="166">
        <v>10336.277777482699</v>
      </c>
      <c r="AB70" s="145">
        <f>(G70*0)</f>
        <v>0</v>
      </c>
    </row>
    <row r="71" spans="1:28" x14ac:dyDescent="0.3">
      <c r="A71" s="146">
        <v>43306.711805555555</v>
      </c>
      <c r="B71" s="146">
        <v>43309.472222222219</v>
      </c>
      <c r="C71" s="47"/>
      <c r="D71" s="47"/>
      <c r="E71" s="35" t="s">
        <v>138</v>
      </c>
      <c r="F71" s="36" t="s">
        <v>39</v>
      </c>
      <c r="G71" s="139">
        <v>87080</v>
      </c>
      <c r="H71" s="172" t="s">
        <v>93</v>
      </c>
      <c r="I71" s="172">
        <v>87000</v>
      </c>
      <c r="J71" s="111">
        <f>G71-I71</f>
        <v>80</v>
      </c>
      <c r="K71" s="112">
        <f>'[82]F STAR'!$F$66</f>
        <v>2.7604166666642413</v>
      </c>
      <c r="L71" s="112">
        <f>'[82]F STAR'!$F$66-'[82]F STAR'!$F$62</f>
        <v>1.7048611111131322</v>
      </c>
      <c r="M71" s="102">
        <f>G71/K71</f>
        <v>31545.962264178659</v>
      </c>
      <c r="N71" s="102">
        <f>G71/L71</f>
        <v>51077.474541690979</v>
      </c>
      <c r="O71" s="111">
        <v>30000</v>
      </c>
      <c r="P71" s="113">
        <v>160.47</v>
      </c>
      <c r="Q71" s="113">
        <v>148.04</v>
      </c>
      <c r="R71" s="113">
        <f>P71-Q71</f>
        <v>12.430000000000007</v>
      </c>
      <c r="S71" s="103">
        <f>R71/8.7*10000/G71</f>
        <v>0.1640716160064204</v>
      </c>
      <c r="T71" s="103">
        <f>R71/8.5*10000/G71</f>
        <v>0.16793212461833618</v>
      </c>
      <c r="U71" s="152"/>
      <c r="X71" s="105">
        <v>2.84</v>
      </c>
      <c r="Y71" s="33">
        <f>G71*X71</f>
        <v>247307.19999999998</v>
      </c>
      <c r="AA71" s="173">
        <v>11978.055555535346</v>
      </c>
      <c r="AB71" s="145">
        <f>(G71*0)</f>
        <v>0</v>
      </c>
    </row>
    <row r="72" spans="1:28" s="220" customFormat="1" x14ac:dyDescent="0.3">
      <c r="A72" s="13"/>
      <c r="B72" s="13"/>
      <c r="C72" s="13"/>
      <c r="D72" s="13"/>
      <c r="E72" s="39" t="s">
        <v>29</v>
      </c>
      <c r="F72" s="40"/>
      <c r="G72" s="213">
        <v>51891</v>
      </c>
      <c r="H72" s="213"/>
      <c r="I72" s="213"/>
      <c r="J72" s="116"/>
      <c r="K72" s="134"/>
      <c r="L72" s="134"/>
      <c r="M72" s="116"/>
      <c r="N72" s="116"/>
      <c r="O72" s="116"/>
      <c r="P72" s="136"/>
      <c r="Q72" s="136"/>
      <c r="R72" s="136"/>
      <c r="S72" s="136"/>
      <c r="T72" s="136"/>
      <c r="U72" s="136"/>
      <c r="V72" s="221"/>
      <c r="X72" s="105">
        <v>2.84</v>
      </c>
      <c r="Y72" s="33">
        <f>G72*X72</f>
        <v>147370.44</v>
      </c>
      <c r="Z72" s="222"/>
      <c r="AA72" s="223"/>
      <c r="AB72" s="121"/>
    </row>
    <row r="73" spans="1:28" s="35" customFormat="1" ht="12.9" customHeight="1" x14ac:dyDescent="0.3">
      <c r="A73" s="50"/>
      <c r="B73" s="50"/>
      <c r="C73" s="50"/>
      <c r="D73" s="50"/>
      <c r="E73" s="122" t="s">
        <v>67</v>
      </c>
      <c r="F73" s="123"/>
      <c r="G73" s="170">
        <f>SUM(G68:G71)</f>
        <v>318069</v>
      </c>
      <c r="H73" s="124"/>
      <c r="I73" s="124"/>
      <c r="J73" s="124"/>
      <c r="K73" s="163">
        <f>SUM(K68:K71)</f>
        <v>11.930555555554747</v>
      </c>
      <c r="L73" s="164">
        <f>SUM(L68:L71)</f>
        <v>5.9253472222662822</v>
      </c>
      <c r="M73" s="124"/>
      <c r="N73" s="124"/>
      <c r="O73" s="124"/>
      <c r="P73" s="124"/>
      <c r="Q73" s="124"/>
      <c r="R73" s="126">
        <f>SUM(R68:R72)</f>
        <v>50.03</v>
      </c>
      <c r="S73" s="127">
        <f>R73/8.7*10000/G73</f>
        <v>0.18079645336840997</v>
      </c>
      <c r="T73" s="127">
        <f>R73/8.5*10000/G73</f>
        <v>0.1850504875653137</v>
      </c>
      <c r="U73" s="124"/>
      <c r="V73" s="129">
        <v>369960</v>
      </c>
      <c r="W73" s="22">
        <f>G73-V73</f>
        <v>-51891</v>
      </c>
      <c r="X73" s="130"/>
      <c r="Y73" s="131">
        <f>SUM(Y68:Y72)</f>
        <v>1050686.3999999999</v>
      </c>
      <c r="Z73" s="131"/>
      <c r="AA73" s="132">
        <f>SUM(AA68:AA72)</f>
        <v>46769.527777337178</v>
      </c>
      <c r="AB73" s="132">
        <f>SUM(AB68:AB72)</f>
        <v>0</v>
      </c>
    </row>
    <row r="74" spans="1:28" x14ac:dyDescent="0.3">
      <c r="A74" s="146">
        <v>43311.625</v>
      </c>
      <c r="B74" s="146">
        <v>43315.645833333336</v>
      </c>
      <c r="C74" s="23"/>
      <c r="D74" s="23"/>
      <c r="E74" s="35" t="s">
        <v>139</v>
      </c>
      <c r="F74" s="700" t="s">
        <v>32</v>
      </c>
      <c r="G74" s="139">
        <f>74501-G75</f>
        <v>67672</v>
      </c>
      <c r="H74" s="139" t="s">
        <v>33</v>
      </c>
      <c r="I74" s="139">
        <v>74496</v>
      </c>
      <c r="J74" s="111">
        <f>(G74+G75)-I74</f>
        <v>5</v>
      </c>
      <c r="K74" s="101">
        <f>'[83]Rosco Plum'!$F$62</f>
        <v>4.0208333333357587</v>
      </c>
      <c r="L74" s="101">
        <f>'[83]Rosco Plum'!$F$62-'[83]Rosco Plum'!$F$58</f>
        <v>1.3923611111167702</v>
      </c>
      <c r="M74" s="102">
        <f>(G74+G75)/K74</f>
        <v>18528.746113978461</v>
      </c>
      <c r="N74" s="102">
        <f>(G74+G75)/L74</f>
        <v>53506.952618236392</v>
      </c>
      <c r="O74" s="102">
        <v>30000</v>
      </c>
      <c r="P74" s="108">
        <v>144.77000000000001</v>
      </c>
      <c r="Q74" s="108">
        <v>130.9</v>
      </c>
      <c r="R74" s="113">
        <f>P74-Q74</f>
        <v>13.870000000000005</v>
      </c>
      <c r="S74" s="103">
        <f>R74/8.7*10000/(G74+G75)</f>
        <v>0.21399080194403017</v>
      </c>
      <c r="T74" s="103">
        <f>R74/8.5*10000/(G74+G75)</f>
        <v>0.21902587963683084</v>
      </c>
      <c r="U74" s="108"/>
      <c r="X74" s="105">
        <v>2.84</v>
      </c>
      <c r="Y74" s="33">
        <f t="shared" ref="Y74:Y79" si="38">G74*X74</f>
        <v>192188.47999999998</v>
      </c>
      <c r="AA74" s="166">
        <v>10910.055555498962</v>
      </c>
      <c r="AB74" s="107">
        <f>(G74*0.01)</f>
        <v>676.72</v>
      </c>
    </row>
    <row r="75" spans="1:28" x14ac:dyDescent="0.3">
      <c r="A75" s="23"/>
      <c r="B75" s="23"/>
      <c r="C75" s="23"/>
      <c r="D75" s="23"/>
      <c r="E75" s="35" t="s">
        <v>140</v>
      </c>
      <c r="F75" s="700"/>
      <c r="G75" s="139">
        <v>6829</v>
      </c>
      <c r="H75" s="139"/>
      <c r="I75" s="139"/>
      <c r="J75" s="102"/>
      <c r="K75" s="101"/>
      <c r="L75" s="101"/>
      <c r="M75" s="102"/>
      <c r="N75" s="102"/>
      <c r="O75" s="102"/>
      <c r="P75" s="108"/>
      <c r="Q75" s="108"/>
      <c r="R75" s="108"/>
      <c r="S75" s="108"/>
      <c r="T75" s="108"/>
      <c r="U75" s="108"/>
      <c r="X75" s="105">
        <v>6.7</v>
      </c>
      <c r="Y75" s="33">
        <f t="shared" si="38"/>
        <v>45754.3</v>
      </c>
      <c r="AA75" s="166"/>
      <c r="AB75" s="107">
        <f>(G75*0.01)</f>
        <v>68.290000000000006</v>
      </c>
    </row>
    <row r="76" spans="1:28" x14ac:dyDescent="0.3">
      <c r="A76" s="146">
        <v>43319.541666666664</v>
      </c>
      <c r="B76" s="146">
        <v>43320.642361111109</v>
      </c>
      <c r="C76" s="23"/>
      <c r="D76" s="23"/>
      <c r="E76" s="35" t="s">
        <v>38</v>
      </c>
      <c r="F76" s="36" t="s">
        <v>39</v>
      </c>
      <c r="G76" s="139">
        <v>41999</v>
      </c>
      <c r="H76" s="139" t="s">
        <v>40</v>
      </c>
      <c r="I76" s="139">
        <v>86100</v>
      </c>
      <c r="J76" s="111">
        <f>G76-I76</f>
        <v>-44101</v>
      </c>
      <c r="K76" s="101">
        <f>'[83]Taipower Prosperity I'!$F$36</f>
        <v>1.1006944444452529</v>
      </c>
      <c r="L76" s="101">
        <f>'[83]Taipower Prosperity I'!$F$36-'[83]Taipower Prosperity I'!$F$32</f>
        <v>0.76736111111677019</v>
      </c>
      <c r="M76" s="102">
        <f>G76/K76</f>
        <v>38156.82018924642</v>
      </c>
      <c r="N76" s="102">
        <f>G76/L76</f>
        <v>54731.728506383697</v>
      </c>
      <c r="O76" s="102">
        <v>30000</v>
      </c>
      <c r="P76" s="108">
        <v>144.38999999999999</v>
      </c>
      <c r="Q76" s="108">
        <v>137.55000000000001</v>
      </c>
      <c r="R76" s="113">
        <f>P76-Q76</f>
        <v>6.839999999999975</v>
      </c>
      <c r="S76" s="103">
        <f>R76/8.7*10000/G76</f>
        <v>0.18719657528791669</v>
      </c>
      <c r="T76" s="103">
        <f>R76/8.5*10000/G76</f>
        <v>0.19160120058880883</v>
      </c>
      <c r="U76" s="108"/>
      <c r="X76" s="105">
        <v>2.84</v>
      </c>
      <c r="Y76" s="33">
        <f t="shared" si="38"/>
        <v>119277.15999999999</v>
      </c>
      <c r="AA76" s="166">
        <v>6326.0555554989642</v>
      </c>
      <c r="AB76" s="107">
        <f>(G76*0.01)</f>
        <v>419.99</v>
      </c>
    </row>
    <row r="77" spans="1:28" x14ac:dyDescent="0.3">
      <c r="A77" s="146">
        <v>43323.090277777781</v>
      </c>
      <c r="B77" s="146">
        <v>43324.645833333336</v>
      </c>
      <c r="C77" s="23"/>
      <c r="D77" s="23"/>
      <c r="E77" s="35" t="s">
        <v>141</v>
      </c>
      <c r="F77" s="36" t="s">
        <v>32</v>
      </c>
      <c r="G77" s="139">
        <v>51167</v>
      </c>
      <c r="H77" s="139" t="s">
        <v>40</v>
      </c>
      <c r="I77" s="139">
        <v>79530</v>
      </c>
      <c r="J77" s="111">
        <f>G77-I77</f>
        <v>-28363</v>
      </c>
      <c r="K77" s="101">
        <f>'[83]Cemtex Innovation'!$F$44</f>
        <v>1.5555555555547471</v>
      </c>
      <c r="L77" s="101">
        <f>'[83]Cemtex Innovation'!$F$44-'[83]Cemtex Innovation'!$F$40</f>
        <v>1.0069444444525288</v>
      </c>
      <c r="M77" s="102">
        <f>G77/K77</f>
        <v>32893.071428588526</v>
      </c>
      <c r="N77" s="102">
        <f>G77/L77</f>
        <v>50814.124137523067</v>
      </c>
      <c r="O77" s="102">
        <v>30000</v>
      </c>
      <c r="P77" s="35">
        <f>(133678/10000)*8.7</f>
        <v>116.29986</v>
      </c>
      <c r="Q77" s="69">
        <f>(124957/10000)*8.7</f>
        <v>108.71258999999999</v>
      </c>
      <c r="R77" s="224">
        <f>P77-Q77</f>
        <v>7.5872700000000037</v>
      </c>
      <c r="S77" s="103">
        <f>R77/8.7*10000/G77</f>
        <v>0.17044188637207586</v>
      </c>
      <c r="T77" s="103">
        <f>R77/8.5*10000/G77</f>
        <v>0.17445228369847762</v>
      </c>
      <c r="U77" s="108"/>
      <c r="X77" s="105">
        <v>2.84</v>
      </c>
      <c r="Y77" s="33">
        <f t="shared" si="38"/>
        <v>145314.28</v>
      </c>
      <c r="AA77" s="166">
        <v>6986.2222221413786</v>
      </c>
      <c r="AB77" s="107">
        <f>(G77*0.01)</f>
        <v>511.67</v>
      </c>
    </row>
    <row r="78" spans="1:28" x14ac:dyDescent="0.3">
      <c r="A78" s="146">
        <v>43332.909722222219</v>
      </c>
      <c r="B78" s="146">
        <v>43336.986111111109</v>
      </c>
      <c r="C78" s="23"/>
      <c r="D78" s="23"/>
      <c r="E78" s="35" t="s">
        <v>142</v>
      </c>
      <c r="F78" s="36" t="s">
        <v>32</v>
      </c>
      <c r="G78" s="139">
        <v>75705</v>
      </c>
      <c r="H78" s="139" t="s">
        <v>49</v>
      </c>
      <c r="I78" s="139">
        <v>75705</v>
      </c>
      <c r="J78" s="111">
        <f>G78-I78</f>
        <v>0</v>
      </c>
      <c r="K78" s="101">
        <f>'[83]Sky Jade'!$F$59</f>
        <v>4.0763888888905058</v>
      </c>
      <c r="L78" s="101">
        <f>'[83]Sky Jade'!$F$59-'[83]Sky Jade'!$F$55</f>
        <v>1.3489583333466726</v>
      </c>
      <c r="M78" s="102">
        <f>G78/K78</f>
        <v>18571.584327079516</v>
      </c>
      <c r="N78" s="102">
        <f>G78/L78</f>
        <v>56121.081080526121</v>
      </c>
      <c r="O78" s="102">
        <v>30000</v>
      </c>
      <c r="P78" s="35">
        <f>(112267/10000)*8.7</f>
        <v>97.67228999999999</v>
      </c>
      <c r="Q78" s="35">
        <f>(96693/10000)*8.7</f>
        <v>84.12290999999999</v>
      </c>
      <c r="R78" s="224">
        <f>P78-Q78</f>
        <v>13.549379999999999</v>
      </c>
      <c r="S78" s="103">
        <f>R78/8.7*10000/G78</f>
        <v>0.20571956938115055</v>
      </c>
      <c r="T78" s="103">
        <f>R78/8.5*10000/G78</f>
        <v>0.21056002983717756</v>
      </c>
      <c r="U78" s="108"/>
      <c r="X78" s="105">
        <v>2.84</v>
      </c>
      <c r="Y78" s="33">
        <f t="shared" si="38"/>
        <v>215002.19999999998</v>
      </c>
      <c r="AA78" s="166">
        <v>11745.416666533272</v>
      </c>
      <c r="AB78" s="107">
        <f>(G78*0.01)</f>
        <v>757.05000000000007</v>
      </c>
    </row>
    <row r="79" spans="1:28" s="220" customFormat="1" x14ac:dyDescent="0.3">
      <c r="A79" s="210"/>
      <c r="B79" s="210"/>
      <c r="C79" s="48"/>
      <c r="D79" s="48"/>
      <c r="E79" s="211" t="s">
        <v>29</v>
      </c>
      <c r="F79" s="40"/>
      <c r="G79" s="213">
        <v>178503</v>
      </c>
      <c r="H79" s="214"/>
      <c r="I79" s="214"/>
      <c r="J79" s="225"/>
      <c r="K79" s="118"/>
      <c r="L79" s="118"/>
      <c r="M79" s="117"/>
      <c r="N79" s="117"/>
      <c r="O79" s="117"/>
      <c r="P79" s="119"/>
      <c r="Q79" s="119"/>
      <c r="R79" s="119"/>
      <c r="S79" s="160"/>
      <c r="T79" s="160"/>
      <c r="U79" s="160"/>
      <c r="V79" s="216"/>
      <c r="W79" s="217"/>
      <c r="X79" s="105">
        <v>2.84</v>
      </c>
      <c r="Y79" s="33">
        <f t="shared" si="38"/>
        <v>506948.51999999996</v>
      </c>
      <c r="Z79" s="222"/>
      <c r="AA79" s="226"/>
      <c r="AB79" s="121"/>
    </row>
    <row r="80" spans="1:28" s="35" customFormat="1" ht="12.9" customHeight="1" x14ac:dyDescent="0.3">
      <c r="A80" s="50"/>
      <c r="B80" s="50"/>
      <c r="C80" s="50"/>
      <c r="D80" s="50"/>
      <c r="E80" s="122" t="s">
        <v>72</v>
      </c>
      <c r="F80" s="123"/>
      <c r="G80" s="170">
        <f>SUM(G74:G78)</f>
        <v>243372</v>
      </c>
      <c r="H80" s="124"/>
      <c r="I80" s="124"/>
      <c r="J80" s="124"/>
      <c r="K80" s="163">
        <f>SUM(K74:K78)</f>
        <v>10.753472222226264</v>
      </c>
      <c r="L80" s="164">
        <f>SUM(L74:L78)</f>
        <v>4.5156250000327418</v>
      </c>
      <c r="M80" s="124"/>
      <c r="N80" s="124"/>
      <c r="O80" s="124"/>
      <c r="P80" s="124"/>
      <c r="Q80" s="124"/>
      <c r="R80" s="126">
        <f>SUM(R74:R79)</f>
        <v>41.846649999999983</v>
      </c>
      <c r="S80" s="127">
        <f>R80/8.7*10000/G80</f>
        <v>0.1976381740756924</v>
      </c>
      <c r="T80" s="127">
        <f>R80/8.5*10000/G80</f>
        <v>0.20228848405394398</v>
      </c>
      <c r="U80" s="124"/>
      <c r="V80" s="129">
        <v>421875</v>
      </c>
      <c r="W80" s="22">
        <f>G80-V80</f>
        <v>-178503</v>
      </c>
      <c r="X80" s="130"/>
      <c r="Y80" s="131">
        <f>SUM(Y74:Y79)</f>
        <v>1224484.94</v>
      </c>
      <c r="Z80" s="131"/>
      <c r="AA80" s="132">
        <f>SUM(AA74:AA79)</f>
        <v>35967.749999672575</v>
      </c>
      <c r="AB80" s="132">
        <f>SUM(AB74:AB79)</f>
        <v>2433.7200000000003</v>
      </c>
    </row>
    <row r="81" spans="1:28" x14ac:dyDescent="0.3">
      <c r="A81" s="146">
        <v>43348.260416666664</v>
      </c>
      <c r="B81" s="146">
        <v>43349.75</v>
      </c>
      <c r="C81" s="23"/>
      <c r="D81" s="23"/>
      <c r="E81" s="35" t="s">
        <v>143</v>
      </c>
      <c r="F81" s="36" t="s">
        <v>32</v>
      </c>
      <c r="G81" s="139">
        <v>47195</v>
      </c>
      <c r="H81" s="139" t="s">
        <v>93</v>
      </c>
      <c r="I81" s="139">
        <v>80100</v>
      </c>
      <c r="J81" s="111">
        <f>G81-I81</f>
        <v>-32905</v>
      </c>
      <c r="K81" s="101">
        <f>'[84]Pan Flower'!$F$43</f>
        <v>1.4895833333357587</v>
      </c>
      <c r="L81" s="101">
        <f>'[84]Pan Flower'!$F$43-'[84]Pan Flower'!$F$39</f>
        <v>0.9704861110985803</v>
      </c>
      <c r="M81" s="102">
        <f>G81/K81</f>
        <v>31683.356643305058</v>
      </c>
      <c r="N81" s="102">
        <f>G81/L81</f>
        <v>48630.268336942754</v>
      </c>
      <c r="O81" s="102">
        <v>30000</v>
      </c>
      <c r="P81" s="35">
        <f>(79667/10000)*8.7</f>
        <v>69.310289999999995</v>
      </c>
      <c r="Q81" s="69">
        <f>(71867/10000)*8.7</f>
        <v>62.524289999999993</v>
      </c>
      <c r="R81" s="224">
        <f>P81-Q81</f>
        <v>6.7860000000000014</v>
      </c>
      <c r="S81" s="103">
        <f>R81/8.7*10000/G81</f>
        <v>0.16527174488822974</v>
      </c>
      <c r="T81" s="103">
        <f>R81/8.5*10000/G81</f>
        <v>0.16916049182677628</v>
      </c>
      <c r="U81" s="108"/>
      <c r="X81" s="105">
        <v>2.84</v>
      </c>
      <c r="Y81" s="33">
        <f t="shared" ref="Y81:Y89" si="39">G81*X81</f>
        <v>134033.79999999999</v>
      </c>
      <c r="AA81" s="166">
        <v>6026.8055556808631</v>
      </c>
      <c r="AB81" s="107">
        <f>(G81*0.01)</f>
        <v>471.95</v>
      </c>
    </row>
    <row r="82" spans="1:28" x14ac:dyDescent="0.3">
      <c r="A82" s="146">
        <v>43350.784722222219</v>
      </c>
      <c r="B82" s="146">
        <v>43353.076388888891</v>
      </c>
      <c r="C82" s="23"/>
      <c r="D82" s="23"/>
      <c r="E82" s="35" t="s">
        <v>144</v>
      </c>
      <c r="F82" s="700" t="s">
        <v>58</v>
      </c>
      <c r="G82" s="139">
        <f>66453-G83</f>
        <v>58458</v>
      </c>
      <c r="H82" s="139" t="s">
        <v>49</v>
      </c>
      <c r="I82" s="139">
        <v>113500</v>
      </c>
      <c r="J82" s="111">
        <f>G82-I82</f>
        <v>-55042</v>
      </c>
      <c r="K82" s="101">
        <f>'[84]Eastern River'!$F$54</f>
        <v>2.2916666666715173</v>
      </c>
      <c r="L82" s="101">
        <f>'[84]Eastern River'!$F$54-'[84]Eastern River'!$F$50</f>
        <v>1.2899305555547471</v>
      </c>
      <c r="M82" s="102">
        <f>(G82+G83)/K82</f>
        <v>28997.672727211349</v>
      </c>
      <c r="N82" s="102">
        <f>(G82+G83)/L82</f>
        <v>51516.726783343191</v>
      </c>
      <c r="O82" s="102">
        <v>30000</v>
      </c>
      <c r="P82" s="69">
        <f>(70097/10000)*8.7</f>
        <v>60.984389999999991</v>
      </c>
      <c r="Q82" s="35">
        <f>(59134/10000)*8.7</f>
        <v>51.446579999999997</v>
      </c>
      <c r="R82" s="224">
        <f>P82-Q82</f>
        <v>9.5378099999999932</v>
      </c>
      <c r="S82" s="103">
        <f>R82/8.7*10000/(G82+G83)</f>
        <v>0.16497374083939018</v>
      </c>
      <c r="T82" s="103">
        <f>R82/8.5*10000/G82</f>
        <v>0.19194897090520482</v>
      </c>
      <c r="U82" s="108"/>
      <c r="X82" s="105">
        <v>2.84</v>
      </c>
      <c r="Y82" s="33">
        <f t="shared" si="39"/>
        <v>166020.72</v>
      </c>
      <c r="AA82" s="166">
        <v>9251.6944444525288</v>
      </c>
      <c r="AB82" s="107">
        <f>(G82*0.01)</f>
        <v>584.58000000000004</v>
      </c>
    </row>
    <row r="83" spans="1:28" x14ac:dyDescent="0.3">
      <c r="A83" s="23"/>
      <c r="B83" s="23"/>
      <c r="C83" s="23"/>
      <c r="D83" s="23"/>
      <c r="E83" s="35" t="s">
        <v>145</v>
      </c>
      <c r="F83" s="700"/>
      <c r="G83" s="139">
        <v>7995</v>
      </c>
      <c r="H83" s="139"/>
      <c r="I83" s="139"/>
      <c r="J83" s="98"/>
      <c r="K83" s="101"/>
      <c r="L83" s="101"/>
      <c r="M83" s="102"/>
      <c r="N83" s="102"/>
      <c r="O83" s="102"/>
      <c r="P83"/>
      <c r="Q83"/>
      <c r="R83"/>
      <c r="S83"/>
      <c r="T83"/>
      <c r="U83" s="108"/>
      <c r="X83" s="105">
        <v>6.7</v>
      </c>
      <c r="Y83" s="33">
        <f t="shared" si="39"/>
        <v>53566.5</v>
      </c>
      <c r="AA83" s="166"/>
      <c r="AB83" s="107">
        <f>(G83*0.01)</f>
        <v>79.95</v>
      </c>
    </row>
    <row r="84" spans="1:28" x14ac:dyDescent="0.3">
      <c r="A84" s="146">
        <v>43355.694444444445</v>
      </c>
      <c r="B84" s="146">
        <v>43357.416666666664</v>
      </c>
      <c r="C84" s="23"/>
      <c r="D84" s="23"/>
      <c r="E84" s="35" t="s">
        <v>146</v>
      </c>
      <c r="F84" s="36" t="s">
        <v>32</v>
      </c>
      <c r="G84" s="139">
        <v>50588</v>
      </c>
      <c r="H84" s="139" t="s">
        <v>49</v>
      </c>
      <c r="I84" s="139">
        <v>79015</v>
      </c>
      <c r="J84" s="111">
        <f>G84-I84</f>
        <v>-28427</v>
      </c>
      <c r="K84" s="101">
        <f>[84]Renaissance!$F$50</f>
        <v>1.7222222222189885</v>
      </c>
      <c r="L84" s="101">
        <f>[84]Renaissance!$F$50-[84]Renaissance!$F$46</f>
        <v>1.0885416666606034</v>
      </c>
      <c r="M84" s="102">
        <f>G84/K84</f>
        <v>29373.677419409993</v>
      </c>
      <c r="N84" s="102">
        <f>G84/L84</f>
        <v>46473.186603129674</v>
      </c>
      <c r="O84" s="102">
        <v>30000</v>
      </c>
      <c r="P84" s="69">
        <f>(54454/10000)*8.7</f>
        <v>47.374980000000001</v>
      </c>
      <c r="Q84" s="69">
        <f>(45634/10000)*8.7</f>
        <v>39.701579999999993</v>
      </c>
      <c r="R84" s="224">
        <f>P84-Q84</f>
        <v>7.673400000000008</v>
      </c>
      <c r="S84" s="227">
        <f>R84/8.7*10000/G84</f>
        <v>0.17434964813789852</v>
      </c>
      <c r="T84" s="103">
        <f>R84/8.5*10000/G84</f>
        <v>0.17845199279996671</v>
      </c>
      <c r="U84" s="108"/>
      <c r="X84" s="105">
        <v>2.84</v>
      </c>
      <c r="Y84" s="33">
        <f t="shared" si="39"/>
        <v>143669.91999999998</v>
      </c>
      <c r="AA84" s="166">
        <v>5977.2500000606324</v>
      </c>
      <c r="AB84" s="107">
        <f>(G84*0.01)</f>
        <v>505.88</v>
      </c>
    </row>
    <row r="85" spans="1:28" s="237" customFormat="1" x14ac:dyDescent="0.3">
      <c r="A85" s="228">
        <v>43359.625</v>
      </c>
      <c r="B85" s="228">
        <v>43362.951388888891</v>
      </c>
      <c r="C85" s="70"/>
      <c r="D85" s="70"/>
      <c r="E85" s="71" t="s">
        <v>147</v>
      </c>
      <c r="F85" s="229" t="s">
        <v>32</v>
      </c>
      <c r="G85" s="195">
        <v>71001</v>
      </c>
      <c r="H85" s="195" t="s">
        <v>33</v>
      </c>
      <c r="I85" s="195">
        <v>71000</v>
      </c>
      <c r="J85" s="230">
        <f>G85-I85</f>
        <v>1</v>
      </c>
      <c r="K85" s="101">
        <f>'[84]Rosco Ginkgo'!$F$52</f>
        <v>3.3263888888905058</v>
      </c>
      <c r="L85" s="101">
        <f>'[84]Rosco Ginkgo'!$F$52-'[84]Rosco Ginkgo'!$F$48</f>
        <v>1.3246527777664596</v>
      </c>
      <c r="M85" s="231">
        <f>G85/K85</f>
        <v>21344.768267213007</v>
      </c>
      <c r="N85" s="231">
        <f>G85/L85</f>
        <v>53599.706422476316</v>
      </c>
      <c r="O85" s="231">
        <v>30000</v>
      </c>
      <c r="P85" s="75">
        <f>(166701/10000)*8.7</f>
        <v>145.02986999999999</v>
      </c>
      <c r="Q85" s="75">
        <f>(153021/10000)*8.7</f>
        <v>133.12826999999999</v>
      </c>
      <c r="R85" s="232">
        <f>P85-Q85</f>
        <v>11.901600000000002</v>
      </c>
      <c r="S85" s="233">
        <f>R85/8.7*10000/G85</f>
        <v>0.19267334262897712</v>
      </c>
      <c r="T85" s="234">
        <f>R85/8.5*10000/G85</f>
        <v>0.19720683304377656</v>
      </c>
      <c r="U85" s="235"/>
      <c r="V85" s="236"/>
      <c r="X85" s="238">
        <v>2.64</v>
      </c>
      <c r="Y85" s="58">
        <f t="shared" si="39"/>
        <v>187442.64</v>
      </c>
      <c r="Z85" s="239"/>
      <c r="AA85" s="240">
        <v>10420.472222335402</v>
      </c>
      <c r="AB85" s="241" t="s">
        <v>70</v>
      </c>
    </row>
    <row r="86" spans="1:28" s="243" customFormat="1" x14ac:dyDescent="0.3">
      <c r="A86" s="146">
        <v>43367.788194444445</v>
      </c>
      <c r="B86" s="146">
        <v>43370.388888888891</v>
      </c>
      <c r="C86" s="23"/>
      <c r="D86" s="23"/>
      <c r="E86" s="35" t="s">
        <v>82</v>
      </c>
      <c r="F86" s="700" t="s">
        <v>32</v>
      </c>
      <c r="G86" s="139">
        <f>74950-G87</f>
        <v>58999</v>
      </c>
      <c r="H86" s="139" t="s">
        <v>33</v>
      </c>
      <c r="I86" s="139">
        <v>74950</v>
      </c>
      <c r="J86" s="98">
        <f>(G86+G87)-I86</f>
        <v>0</v>
      </c>
      <c r="K86" s="101">
        <f>'[84]Blessed Luck'!$F$58</f>
        <v>2.6006944444452529</v>
      </c>
      <c r="L86" s="101">
        <f>'[84]Blessed Luck'!$F$58-'[84]Blessed Luck'!$F$54</f>
        <v>1.3715277777737356</v>
      </c>
      <c r="M86" s="102">
        <f>(G86+G87)/K86</f>
        <v>28819.225634169947</v>
      </c>
      <c r="N86" s="102">
        <f>(G86+G87)/L86</f>
        <v>54647.088607755992</v>
      </c>
      <c r="O86" s="102">
        <v>30000</v>
      </c>
      <c r="P86" s="69">
        <f>(145329/10000)*8.7</f>
        <v>126.43622999999998</v>
      </c>
      <c r="Q86" s="69">
        <f>(132246/10000)*8.7</f>
        <v>115.05401999999999</v>
      </c>
      <c r="R86" s="224">
        <f>P86-Q86</f>
        <v>11.382209999999986</v>
      </c>
      <c r="S86" s="227">
        <f>R86/8.7*10000/(G86+G87)</f>
        <v>0.17455637091394244</v>
      </c>
      <c r="T86" s="103">
        <f>R86/8.5*10000/(G86+G87)</f>
        <v>0.17866357964132928</v>
      </c>
      <c r="U86" s="108"/>
      <c r="V86" s="242"/>
      <c r="X86" s="105">
        <v>2.64</v>
      </c>
      <c r="Y86" s="33">
        <f t="shared" si="39"/>
        <v>155757.36000000002</v>
      </c>
      <c r="Z86" s="244"/>
      <c r="AA86" s="166">
        <v>11268.05555559598</v>
      </c>
      <c r="AB86" s="245" t="s">
        <v>70</v>
      </c>
    </row>
    <row r="87" spans="1:28" s="243" customFormat="1" x14ac:dyDescent="0.3">
      <c r="A87" s="146"/>
      <c r="B87" s="146"/>
      <c r="C87" s="23"/>
      <c r="D87" s="23"/>
      <c r="E87" s="35" t="s">
        <v>148</v>
      </c>
      <c r="F87" s="700"/>
      <c r="G87" s="139">
        <f>(8134+7817)</f>
        <v>15951</v>
      </c>
      <c r="H87" s="139"/>
      <c r="I87" s="139"/>
      <c r="J87" s="98"/>
      <c r="K87" s="101"/>
      <c r="L87" s="101"/>
      <c r="M87" s="102"/>
      <c r="N87" s="102"/>
      <c r="O87" s="102"/>
      <c r="P87" s="69"/>
      <c r="Q87" s="69"/>
      <c r="R87" s="224"/>
      <c r="S87" s="227"/>
      <c r="T87" s="103"/>
      <c r="U87" s="108"/>
      <c r="V87" s="242"/>
      <c r="X87" s="105">
        <v>6.5</v>
      </c>
      <c r="Y87" s="33">
        <f t="shared" si="39"/>
        <v>103681.5</v>
      </c>
      <c r="Z87" s="244"/>
      <c r="AA87" s="166"/>
      <c r="AB87" s="245" t="s">
        <v>70</v>
      </c>
    </row>
    <row r="88" spans="1:28" s="243" customFormat="1" x14ac:dyDescent="0.3">
      <c r="A88" s="146">
        <v>43370.642361111109</v>
      </c>
      <c r="B88" s="146">
        <v>43372.5</v>
      </c>
      <c r="C88" s="23"/>
      <c r="D88" s="23"/>
      <c r="E88" s="35" t="s">
        <v>149</v>
      </c>
      <c r="F88" s="36" t="s">
        <v>32</v>
      </c>
      <c r="G88" s="139">
        <v>59999</v>
      </c>
      <c r="H88" s="172" t="s">
        <v>93</v>
      </c>
      <c r="I88" s="139">
        <v>60000</v>
      </c>
      <c r="J88" s="111">
        <f>G88-I88</f>
        <v>-1</v>
      </c>
      <c r="K88" s="101">
        <f>'[84]Tong Ying'!$F$47</f>
        <v>1.8576388888905058</v>
      </c>
      <c r="L88" s="101">
        <f>'[84]Tong Ying'!$F$47-'[84]Tong Ying'!$F$43</f>
        <v>1.1753472222189885</v>
      </c>
      <c r="M88" s="102">
        <f>G88/K88</f>
        <v>32298.527102775624</v>
      </c>
      <c r="N88" s="102">
        <f>G88/L88</f>
        <v>51047.893648589488</v>
      </c>
      <c r="O88" s="102">
        <v>30000</v>
      </c>
      <c r="P88" s="69">
        <f>(131776/10000)*8.7</f>
        <v>114.64511999999999</v>
      </c>
      <c r="Q88" s="69">
        <f>(121746/10000)*8.7</f>
        <v>105.91901999999999</v>
      </c>
      <c r="R88" s="224">
        <f>P88-Q88</f>
        <v>8.7261000000000024</v>
      </c>
      <c r="S88" s="227">
        <f>R88/8.7*10000/G88</f>
        <v>0.1671694528242138</v>
      </c>
      <c r="T88" s="103">
        <f>R88/8.5*10000/G88</f>
        <v>0.17110285171419526</v>
      </c>
      <c r="U88" s="108"/>
      <c r="V88" s="242"/>
      <c r="X88" s="105">
        <v>2.64</v>
      </c>
      <c r="Y88" s="33">
        <f t="shared" si="39"/>
        <v>158397.36000000002</v>
      </c>
      <c r="Z88" s="244"/>
      <c r="AA88" s="166">
        <v>8246.1944444767814</v>
      </c>
      <c r="AB88" s="245" t="s">
        <v>70</v>
      </c>
    </row>
    <row r="89" spans="1:28" s="220" customFormat="1" x14ac:dyDescent="0.3">
      <c r="A89" s="210"/>
      <c r="B89" s="210"/>
      <c r="C89" s="13"/>
      <c r="D89" s="13"/>
      <c r="E89" s="39" t="s">
        <v>29</v>
      </c>
      <c r="F89" s="40"/>
      <c r="G89" s="213">
        <v>51689</v>
      </c>
      <c r="H89" s="214"/>
      <c r="I89" s="213"/>
      <c r="J89" s="117"/>
      <c r="K89" s="134"/>
      <c r="L89" s="134"/>
      <c r="M89" s="116"/>
      <c r="N89" s="116"/>
      <c r="O89" s="116"/>
      <c r="P89" s="246"/>
      <c r="Q89" s="246"/>
      <c r="R89" s="247"/>
      <c r="S89" s="248"/>
      <c r="T89" s="215"/>
      <c r="U89" s="136"/>
      <c r="V89" s="221"/>
      <c r="X89" s="105">
        <v>2.64</v>
      </c>
      <c r="Y89" s="33">
        <f t="shared" si="39"/>
        <v>136458.96000000002</v>
      </c>
      <c r="Z89" s="222"/>
      <c r="AA89" s="223"/>
      <c r="AB89" s="245" t="s">
        <v>70</v>
      </c>
    </row>
    <row r="90" spans="1:28" s="35" customFormat="1" ht="12.9" customHeight="1" x14ac:dyDescent="0.3">
      <c r="A90" s="50"/>
      <c r="B90" s="50"/>
      <c r="C90" s="50"/>
      <c r="D90" s="50"/>
      <c r="E90" s="122" t="s">
        <v>78</v>
      </c>
      <c r="F90" s="123"/>
      <c r="G90" s="170">
        <f>SUM(G81:G88)</f>
        <v>370186</v>
      </c>
      <c r="H90" s="124"/>
      <c r="I90" s="124"/>
      <c r="J90" s="124"/>
      <c r="K90" s="163">
        <f>SUM(K81:K88)</f>
        <v>13.288194444452529</v>
      </c>
      <c r="L90" s="164">
        <f>SUM(L81:L88)</f>
        <v>7.2204861110731144</v>
      </c>
      <c r="M90" s="124"/>
      <c r="N90" s="124"/>
      <c r="O90" s="124"/>
      <c r="P90" s="124"/>
      <c r="Q90" s="124"/>
      <c r="R90" s="126">
        <f>SUM(R81:R88)</f>
        <v>56.007119999999993</v>
      </c>
      <c r="S90" s="127">
        <f t="shared" ref="S90:S95" si="40">R90/8.7*10000/G90</f>
        <v>0.17390176830025986</v>
      </c>
      <c r="T90" s="127">
        <f t="shared" ref="T90:T95" si="41">R90/8.5*10000/G90</f>
        <v>0.17799357461320714</v>
      </c>
      <c r="U90" s="126"/>
      <c r="V90" s="129">
        <v>421875</v>
      </c>
      <c r="W90" s="22">
        <f>G90-V90</f>
        <v>-51689</v>
      </c>
      <c r="X90" s="22"/>
      <c r="Y90" s="131">
        <f>SUM(Y81:Y89)</f>
        <v>1239028.76</v>
      </c>
      <c r="Z90" s="131"/>
      <c r="AA90" s="132">
        <f>SUM(AA81:AA88)</f>
        <v>51190.472222602184</v>
      </c>
      <c r="AB90" s="132">
        <f>SUM(AB81:AB84)</f>
        <v>1642.3600000000001</v>
      </c>
    </row>
    <row r="91" spans="1:28" x14ac:dyDescent="0.3">
      <c r="A91" s="146">
        <v>43373.138888888891</v>
      </c>
      <c r="B91" s="146">
        <v>43375.177083333336</v>
      </c>
      <c r="C91" s="23"/>
      <c r="D91" s="23"/>
      <c r="E91" s="35" t="s">
        <v>150</v>
      </c>
      <c r="F91" s="36" t="s">
        <v>32</v>
      </c>
      <c r="G91" s="139">
        <v>66500</v>
      </c>
      <c r="H91" s="139" t="s">
        <v>33</v>
      </c>
      <c r="I91" s="139">
        <v>66400</v>
      </c>
      <c r="J91" s="111">
        <f t="shared" ref="J91:J101" si="42">G91-I91</f>
        <v>100</v>
      </c>
      <c r="K91" s="101">
        <f>'[85]Chang Ming 2'!$F$51</f>
        <v>1.9965277777737356</v>
      </c>
      <c r="L91" s="101">
        <f>'[85]Chang Ming 2'!$F$51-'[85]Chang Ming 2'!$F$47</f>
        <v>1.272569444430701</v>
      </c>
      <c r="M91" s="102">
        <f t="shared" ref="M91:M96" si="43">G91/K91</f>
        <v>33307.826087023954</v>
      </c>
      <c r="N91" s="102">
        <f>G91/L91</f>
        <v>52256.480218845398</v>
      </c>
      <c r="O91" s="102">
        <v>30000</v>
      </c>
      <c r="P91" s="69">
        <f>(120788/10000)*8.7</f>
        <v>105.08555999999999</v>
      </c>
      <c r="Q91" s="69">
        <f>(109478/10000)*8.7</f>
        <v>95.245859999999993</v>
      </c>
      <c r="R91" s="224">
        <f t="shared" ref="R91:R96" si="44">P91-Q91</f>
        <v>9.8396999999999935</v>
      </c>
      <c r="S91" s="227">
        <f t="shared" si="40"/>
        <v>0.17007518796992471</v>
      </c>
      <c r="T91" s="103">
        <f t="shared" si="41"/>
        <v>0.1740769570986288</v>
      </c>
      <c r="U91" s="108"/>
      <c r="X91" s="105">
        <v>2.64</v>
      </c>
      <c r="Y91" s="33">
        <f t="shared" ref="Y91:Y107" si="45">G91*X91</f>
        <v>175560</v>
      </c>
      <c r="AA91" s="166">
        <v>9440.9722223596582</v>
      </c>
      <c r="AB91" s="245" t="s">
        <v>70</v>
      </c>
    </row>
    <row r="92" spans="1:28" x14ac:dyDescent="0.3">
      <c r="A92" s="146">
        <v>43375.791666666664</v>
      </c>
      <c r="B92" s="146">
        <v>43377.965277777781</v>
      </c>
      <c r="C92" s="23"/>
      <c r="D92" s="23"/>
      <c r="E92" s="35" t="s">
        <v>151</v>
      </c>
      <c r="F92" s="36" t="s">
        <v>32</v>
      </c>
      <c r="G92" s="139">
        <v>67760</v>
      </c>
      <c r="H92" s="139" t="s">
        <v>33</v>
      </c>
      <c r="I92" s="139">
        <v>67760</v>
      </c>
      <c r="J92" s="111">
        <f t="shared" si="42"/>
        <v>0</v>
      </c>
      <c r="K92" s="101">
        <f>'[85]Agios Nikolaos 1'!$F$53</f>
        <v>2.1736111111167702</v>
      </c>
      <c r="L92" s="101">
        <f>'[85]Agios Nikolaos 1'!$F$53-'[85]Agios Nikolaos 1'!$F$49</f>
        <v>1.3836805555620231</v>
      </c>
      <c r="M92" s="102">
        <f t="shared" si="43"/>
        <v>31173.9297123789</v>
      </c>
      <c r="N92" s="102">
        <f>G92/L92</f>
        <v>48970.840652217776</v>
      </c>
      <c r="O92" s="102">
        <v>30000</v>
      </c>
      <c r="P92" s="69">
        <f>(107958/10000)*8.7</f>
        <v>93.923459999999992</v>
      </c>
      <c r="Q92" s="69">
        <f>(95798/10000)*8.7</f>
        <v>83.344259999999991</v>
      </c>
      <c r="R92" s="224">
        <f t="shared" si="44"/>
        <v>10.5792</v>
      </c>
      <c r="S92" s="227">
        <f t="shared" si="40"/>
        <v>0.17945690672963402</v>
      </c>
      <c r="T92" s="103">
        <f t="shared" si="41"/>
        <v>0.18367942218209599</v>
      </c>
      <c r="U92" s="108"/>
      <c r="X92" s="105">
        <v>2.64</v>
      </c>
      <c r="Y92" s="33">
        <f t="shared" si="45"/>
        <v>178886.39999999999</v>
      </c>
      <c r="AA92" s="166">
        <v>8749.8611110464353</v>
      </c>
      <c r="AB92" s="245" t="s">
        <v>70</v>
      </c>
    </row>
    <row r="93" spans="1:28" x14ac:dyDescent="0.3">
      <c r="A93" s="146">
        <v>43378.809027777781</v>
      </c>
      <c r="B93" s="146">
        <v>43380.930555555555</v>
      </c>
      <c r="C93" s="23"/>
      <c r="D93" s="23"/>
      <c r="E93" s="35" t="s">
        <v>152</v>
      </c>
      <c r="F93" s="36" t="s">
        <v>32</v>
      </c>
      <c r="G93" s="139">
        <v>65700</v>
      </c>
      <c r="H93" s="139" t="s">
        <v>33</v>
      </c>
      <c r="I93" s="139">
        <v>65700</v>
      </c>
      <c r="J93" s="111">
        <f t="shared" si="42"/>
        <v>0</v>
      </c>
      <c r="K93" s="101">
        <f>'[85]Rosco Olive'!$F$55</f>
        <v>2.1215277777737356</v>
      </c>
      <c r="L93" s="101">
        <f>'[85]Rosco Olive'!$F$55-'[85]Rosco Olive'!$F$51</f>
        <v>1.2239583333284827</v>
      </c>
      <c r="M93" s="102">
        <f t="shared" si="43"/>
        <v>30968.248772563096</v>
      </c>
      <c r="N93" s="102">
        <f>G93/L93</f>
        <v>53678.297872553158</v>
      </c>
      <c r="O93" s="102">
        <v>30000</v>
      </c>
      <c r="P93" s="69">
        <f>(94165/10000)*8.7</f>
        <v>81.923549999999992</v>
      </c>
      <c r="Q93" s="69">
        <f>(82115/10000)*8.7</f>
        <v>71.440049999999985</v>
      </c>
      <c r="R93" s="224">
        <f t="shared" si="44"/>
        <v>10.483500000000006</v>
      </c>
      <c r="S93" s="227">
        <f t="shared" si="40"/>
        <v>0.18340943683409447</v>
      </c>
      <c r="T93" s="103">
        <f t="shared" si="41"/>
        <v>0.18772495299489669</v>
      </c>
      <c r="U93" s="108"/>
      <c r="X93" s="105">
        <v>2.64</v>
      </c>
      <c r="Y93" s="33">
        <f t="shared" si="45"/>
        <v>173448</v>
      </c>
      <c r="AA93" s="166">
        <v>9660.4166667151731</v>
      </c>
      <c r="AB93" s="245" t="s">
        <v>70</v>
      </c>
    </row>
    <row r="94" spans="1:28" ht="14.25" customHeight="1" x14ac:dyDescent="0.3">
      <c r="A94" s="146">
        <v>43383.618055555555</v>
      </c>
      <c r="B94" s="146">
        <v>43387.465277777781</v>
      </c>
      <c r="C94" s="23"/>
      <c r="D94" s="23"/>
      <c r="E94" s="35" t="s">
        <v>153</v>
      </c>
      <c r="F94" s="36" t="s">
        <v>32</v>
      </c>
      <c r="G94" s="139">
        <v>70187</v>
      </c>
      <c r="H94" s="139" t="s">
        <v>33</v>
      </c>
      <c r="I94" s="139">
        <v>70185</v>
      </c>
      <c r="J94" s="111">
        <f t="shared" si="42"/>
        <v>2</v>
      </c>
      <c r="K94" s="101">
        <f>'[85]Ocean Virgo'!$F$60</f>
        <v>3.8472222222262644</v>
      </c>
      <c r="L94" s="101">
        <f>'[85]Ocean Virgo'!$F$60-'[85]Ocean Virgo'!$F$56</f>
        <v>1.343750000007276</v>
      </c>
      <c r="M94" s="102">
        <f t="shared" si="43"/>
        <v>18243.552346551231</v>
      </c>
      <c r="N94" s="102">
        <f>G94/L94</f>
        <v>52232.18604622881</v>
      </c>
      <c r="O94" s="102">
        <v>30000</v>
      </c>
      <c r="P94" s="69">
        <f>(77413/10000)*8.7</f>
        <v>67.349309999999988</v>
      </c>
      <c r="Q94" s="69">
        <f>(61779/10000)*8.7</f>
        <v>53.747729999999997</v>
      </c>
      <c r="R94" s="224">
        <f t="shared" si="44"/>
        <v>13.601579999999991</v>
      </c>
      <c r="S94" s="227">
        <f t="shared" si="40"/>
        <v>0.22274780229957103</v>
      </c>
      <c r="T94" s="103">
        <f t="shared" si="41"/>
        <v>0.22798892705956092</v>
      </c>
      <c r="U94" s="108"/>
      <c r="X94" s="105">
        <v>2.64</v>
      </c>
      <c r="Y94" s="33">
        <f t="shared" si="45"/>
        <v>185293.68000000002</v>
      </c>
      <c r="AA94" s="166">
        <v>9958.1666665939083</v>
      </c>
      <c r="AB94" s="245" t="s">
        <v>70</v>
      </c>
    </row>
    <row r="95" spans="1:28" s="237" customFormat="1" x14ac:dyDescent="0.3">
      <c r="A95" s="228">
        <v>43388.260416666664</v>
      </c>
      <c r="B95" s="228">
        <v>43389.9375</v>
      </c>
      <c r="C95" s="70"/>
      <c r="D95" s="70"/>
      <c r="E95" s="71" t="s">
        <v>154</v>
      </c>
      <c r="F95" s="229" t="s">
        <v>58</v>
      </c>
      <c r="G95" s="195">
        <v>52212</v>
      </c>
      <c r="H95" s="195" t="s">
        <v>49</v>
      </c>
      <c r="I95" s="195">
        <v>85726</v>
      </c>
      <c r="J95" s="249">
        <f t="shared" si="42"/>
        <v>-33514</v>
      </c>
      <c r="K95" s="101">
        <f>'[85]Cape Brazilia'!$F$41</f>
        <v>1.6770833333357587</v>
      </c>
      <c r="L95" s="101">
        <f>'[85]Cape Brazilia'!$F$41-'[85]Cape Brazilia'!$F$37</f>
        <v>1.0190972222153505</v>
      </c>
      <c r="M95" s="231">
        <f t="shared" si="43"/>
        <v>31132.621117967399</v>
      </c>
      <c r="N95" s="231">
        <f>G95/L95</f>
        <v>51233.580920277323</v>
      </c>
      <c r="O95" s="231">
        <v>30000</v>
      </c>
      <c r="P95" s="75">
        <f>(60699/10000)*8.7</f>
        <v>52.808129999999991</v>
      </c>
      <c r="Q95" s="75">
        <f>(52329/10000)*8.7</f>
        <v>45.526229999999998</v>
      </c>
      <c r="R95" s="232">
        <f t="shared" si="44"/>
        <v>7.2818999999999932</v>
      </c>
      <c r="S95" s="233">
        <f t="shared" si="40"/>
        <v>0.16030797517811984</v>
      </c>
      <c r="T95" s="234">
        <f t="shared" si="41"/>
        <v>0.16407992753525205</v>
      </c>
      <c r="U95" s="235"/>
      <c r="V95" s="236"/>
      <c r="X95" s="238">
        <v>2.64</v>
      </c>
      <c r="Y95" s="58">
        <f t="shared" si="45"/>
        <v>137839.67999999999</v>
      </c>
      <c r="Z95" s="239"/>
      <c r="AA95" s="240">
        <v>7213.0277778464942</v>
      </c>
      <c r="AB95" s="241" t="s">
        <v>70</v>
      </c>
    </row>
    <row r="96" spans="1:28" x14ac:dyDescent="0.3">
      <c r="A96" s="146">
        <v>43390.659722222219</v>
      </c>
      <c r="B96" s="146">
        <v>43393.381944444445</v>
      </c>
      <c r="C96" s="23"/>
      <c r="D96" s="23"/>
      <c r="E96" s="35" t="s">
        <v>155</v>
      </c>
      <c r="F96" s="36" t="s">
        <v>39</v>
      </c>
      <c r="G96" s="139">
        <f>87700-G97</f>
        <v>81154</v>
      </c>
      <c r="H96" s="139" t="s">
        <v>33</v>
      </c>
      <c r="I96" s="139">
        <v>87700</v>
      </c>
      <c r="J96" s="98">
        <f>(G96+G97)-I96</f>
        <v>0</v>
      </c>
      <c r="K96" s="101">
        <f>'[85]Yue Dian 101'!$F$63</f>
        <v>2.7222222222262644</v>
      </c>
      <c r="L96" s="101">
        <f>'[85]Yue Dian 101'!$F$63-'[85]Yue Dian 101'!$F$59</f>
        <v>1.6059027777664596</v>
      </c>
      <c r="M96" s="102">
        <f t="shared" si="43"/>
        <v>29811.673469343488</v>
      </c>
      <c r="N96" s="102">
        <f>(G96+G97)/L96</f>
        <v>54611.027027411918</v>
      </c>
      <c r="O96" s="102">
        <v>30000</v>
      </c>
      <c r="P96" s="69">
        <f>(175886/10000)*8.7</f>
        <v>153.02081999999999</v>
      </c>
      <c r="Q96" s="69">
        <f>(160958/10000)*8.7</f>
        <v>140.03345999999999</v>
      </c>
      <c r="R96" s="224">
        <f t="shared" si="44"/>
        <v>12.987359999999995</v>
      </c>
      <c r="S96" s="227">
        <f>R96/8.7*10000/(G96+G97)</f>
        <v>0.1702166476624857</v>
      </c>
      <c r="T96" s="103">
        <f>R96/8.5*10000/(G96+G97)</f>
        <v>0.17422174525454417</v>
      </c>
      <c r="U96" s="108"/>
      <c r="X96" s="105">
        <v>2.64</v>
      </c>
      <c r="Y96" s="33">
        <f t="shared" si="45"/>
        <v>214246.56</v>
      </c>
      <c r="AA96" s="166">
        <v>13174.305555668738</v>
      </c>
      <c r="AB96" s="245" t="s">
        <v>70</v>
      </c>
    </row>
    <row r="97" spans="1:28" x14ac:dyDescent="0.3">
      <c r="A97" s="146"/>
      <c r="B97" s="146"/>
      <c r="C97" s="23"/>
      <c r="D97" s="23"/>
      <c r="E97" s="35" t="s">
        <v>156</v>
      </c>
      <c r="F97" s="36"/>
      <c r="G97" s="139">
        <v>6546</v>
      </c>
      <c r="H97" s="139"/>
      <c r="I97" s="139"/>
      <c r="J97" s="98"/>
      <c r="K97" s="101"/>
      <c r="L97" s="101"/>
      <c r="M97" s="102"/>
      <c r="N97" s="102"/>
      <c r="O97" s="102"/>
      <c r="P97" s="69"/>
      <c r="Q97" s="69"/>
      <c r="R97" s="224"/>
      <c r="S97" s="227"/>
      <c r="T97" s="103"/>
      <c r="U97" s="108"/>
      <c r="X97" s="105">
        <v>6.5</v>
      </c>
      <c r="Y97" s="33">
        <f t="shared" si="45"/>
        <v>42549</v>
      </c>
      <c r="AA97" s="166"/>
      <c r="AB97" s="245" t="s">
        <v>70</v>
      </c>
    </row>
    <row r="98" spans="1:28" x14ac:dyDescent="0.3">
      <c r="A98" s="146">
        <v>43393.979166666664</v>
      </c>
      <c r="B98" s="146">
        <v>43395.958333333336</v>
      </c>
      <c r="C98" s="23"/>
      <c r="D98" s="23"/>
      <c r="E98" s="35" t="s">
        <v>150</v>
      </c>
      <c r="F98" s="36" t="s">
        <v>32</v>
      </c>
      <c r="G98" s="139">
        <v>11816</v>
      </c>
      <c r="H98" s="139" t="s">
        <v>33</v>
      </c>
      <c r="I98" s="139">
        <v>67000</v>
      </c>
      <c r="J98" s="98">
        <f>(G98+G99+G100)-I98</f>
        <v>2</v>
      </c>
      <c r="K98" s="101">
        <f>'[85]Chang Ming 2b'!$F$52</f>
        <v>1.9791666666715173</v>
      </c>
      <c r="L98" s="101">
        <f>'[85]Chang Ming 2b'!$F$52-'[85]Chang Ming 2b'!$F$48</f>
        <v>1.3177083333454598</v>
      </c>
      <c r="M98" s="102">
        <f>(G98+G99+G100)/K98</f>
        <v>33853.642105180188</v>
      </c>
      <c r="N98" s="102">
        <f>(G98+G99+G100)/L98</f>
        <v>50847.367588464876</v>
      </c>
      <c r="O98" s="102">
        <v>30000</v>
      </c>
      <c r="P98" s="69">
        <f>(159988/10000)*8.7</f>
        <v>139.18955999999997</v>
      </c>
      <c r="Q98" s="69">
        <f>(149084/10000)*8.7</f>
        <v>129.70308</v>
      </c>
      <c r="R98" s="224">
        <f>P98-Q98</f>
        <v>9.4864799999999718</v>
      </c>
      <c r="S98" s="227">
        <f>R98/8.7*10000/(G98+G99+G100)</f>
        <v>0.16274141070415762</v>
      </c>
      <c r="T98" s="103">
        <f>R98/8.5*10000/G98</f>
        <v>0.94452984985463084</v>
      </c>
      <c r="U98" s="108"/>
      <c r="X98" s="105">
        <v>2.64</v>
      </c>
      <c r="Y98" s="33">
        <f t="shared" si="45"/>
        <v>31194.240000000002</v>
      </c>
      <c r="AA98" s="166">
        <v>9156.9166665454031</v>
      </c>
      <c r="AB98" s="245" t="s">
        <v>70</v>
      </c>
    </row>
    <row r="99" spans="1:28" x14ac:dyDescent="0.3">
      <c r="A99" s="146"/>
      <c r="B99" s="146"/>
      <c r="C99" s="23"/>
      <c r="D99" s="23"/>
      <c r="E99" s="35" t="s">
        <v>150</v>
      </c>
      <c r="F99" s="36"/>
      <c r="G99" s="139">
        <v>48165</v>
      </c>
      <c r="H99" s="139"/>
      <c r="I99" s="139"/>
      <c r="J99" s="98"/>
      <c r="K99" s="101"/>
      <c r="L99" s="101"/>
      <c r="M99" s="102"/>
      <c r="N99" s="102"/>
      <c r="O99" s="102"/>
      <c r="P99" s="69"/>
      <c r="Q99" s="69"/>
      <c r="R99" s="224"/>
      <c r="S99" s="227"/>
      <c r="T99" s="103"/>
      <c r="U99" s="108"/>
      <c r="X99" s="105">
        <v>2.64</v>
      </c>
      <c r="Y99" s="33">
        <f t="shared" si="45"/>
        <v>127155.6</v>
      </c>
      <c r="AA99" s="166"/>
      <c r="AB99" s="245" t="s">
        <v>70</v>
      </c>
    </row>
    <row r="100" spans="1:28" x14ac:dyDescent="0.3">
      <c r="A100" s="146"/>
      <c r="B100" s="146"/>
      <c r="C100" s="23"/>
      <c r="D100" s="23"/>
      <c r="E100" s="35" t="s">
        <v>157</v>
      </c>
      <c r="F100" s="36"/>
      <c r="G100" s="139">
        <v>7021</v>
      </c>
      <c r="H100" s="139"/>
      <c r="I100" s="139"/>
      <c r="J100" s="98"/>
      <c r="K100" s="101"/>
      <c r="L100" s="101"/>
      <c r="M100" s="102"/>
      <c r="N100" s="102"/>
      <c r="O100" s="102"/>
      <c r="P100" s="69"/>
      <c r="Q100" s="69"/>
      <c r="R100" s="224"/>
      <c r="S100" s="227"/>
      <c r="T100" s="103"/>
      <c r="U100" s="108"/>
      <c r="X100" s="105">
        <v>6.5</v>
      </c>
      <c r="Y100" s="33">
        <f t="shared" si="45"/>
        <v>45636.5</v>
      </c>
      <c r="AA100" s="166"/>
      <c r="AB100" s="245" t="s">
        <v>70</v>
      </c>
    </row>
    <row r="101" spans="1:28" x14ac:dyDescent="0.3">
      <c r="A101" s="146">
        <v>43396.180555555555</v>
      </c>
      <c r="B101" s="146">
        <v>43398.541666666664</v>
      </c>
      <c r="C101" s="23"/>
      <c r="D101" s="23"/>
      <c r="E101" s="35" t="s">
        <v>158</v>
      </c>
      <c r="F101" s="36"/>
      <c r="G101" s="139">
        <v>66401</v>
      </c>
      <c r="H101" s="139"/>
      <c r="I101" s="139">
        <v>67000</v>
      </c>
      <c r="J101" s="98">
        <f t="shared" si="42"/>
        <v>-599</v>
      </c>
      <c r="K101" s="101">
        <f>'[85]Wu Zhou 8'!$F$49</f>
        <v>2.3611111111094942</v>
      </c>
      <c r="L101" s="101">
        <f>'[85]Wu Zhou 8'!$F$49-'[85]Wu Zhou 8'!$F$45</f>
        <v>1.2812500000024254</v>
      </c>
      <c r="M101" s="102">
        <f>G101/K101</f>
        <v>28122.776470607492</v>
      </c>
      <c r="N101" s="102">
        <f>G101/L101</f>
        <v>51825.170731609214</v>
      </c>
      <c r="O101" s="102">
        <v>30000</v>
      </c>
      <c r="P101" s="69">
        <f>(148603/10000)*8.7</f>
        <v>129.28460999999999</v>
      </c>
      <c r="Q101" s="69">
        <f>(136930/10000)*8.7</f>
        <v>119.12909999999999</v>
      </c>
      <c r="R101" s="224">
        <f>P101-Q101</f>
        <v>10.155509999999992</v>
      </c>
      <c r="S101" s="227">
        <f>R101/8.7*10000/G101</f>
        <v>0.17579554524781243</v>
      </c>
      <c r="T101" s="103">
        <f>R101/8.5*10000/G101</f>
        <v>0.17993191101834918</v>
      </c>
      <c r="U101" s="108"/>
      <c r="X101" s="105">
        <v>2.64</v>
      </c>
      <c r="Y101" s="33">
        <f t="shared" si="45"/>
        <v>175298.64</v>
      </c>
      <c r="AA101" s="166">
        <v>9321.1666666424117</v>
      </c>
      <c r="AB101" s="245" t="s">
        <v>70</v>
      </c>
    </row>
    <row r="102" spans="1:28" x14ac:dyDescent="0.3">
      <c r="A102" s="146">
        <v>43399.083333333336</v>
      </c>
      <c r="B102" s="146">
        <v>43400.743055555555</v>
      </c>
      <c r="C102" s="23"/>
      <c r="D102" s="23"/>
      <c r="E102" s="35" t="s">
        <v>159</v>
      </c>
      <c r="F102" s="36"/>
      <c r="G102" s="139">
        <f>50019-G103</f>
        <v>43124</v>
      </c>
      <c r="H102" s="139"/>
      <c r="I102" s="139">
        <v>50018</v>
      </c>
      <c r="J102" s="98">
        <f>(G102+G103)-I102</f>
        <v>1</v>
      </c>
      <c r="K102" s="101">
        <f>'[85]Captain George'!$F$45</f>
        <v>1.6527777777737356</v>
      </c>
      <c r="L102" s="101">
        <f>'[85]Captain George'!$F$45-'[85]Captain George'!$F$41</f>
        <v>1.1805555555535345</v>
      </c>
      <c r="M102" s="102">
        <f>(G102+G103)/K102</f>
        <v>30263.596638729479</v>
      </c>
      <c r="N102" s="102">
        <f>(G102+G103)/L102</f>
        <v>42369.03529419018</v>
      </c>
      <c r="O102" s="102">
        <v>30000</v>
      </c>
      <c r="P102" s="69">
        <f>(136100/10000)*8.7</f>
        <v>118.40699999999998</v>
      </c>
      <c r="Q102" s="69">
        <f>(127900/10000)*8.7</f>
        <v>111.27299999999998</v>
      </c>
      <c r="R102" s="224">
        <f>P102-Q102</f>
        <v>7.1340000000000003</v>
      </c>
      <c r="S102" s="227">
        <f>R102/8.7*10000/(G102+G103)</f>
        <v>0.16393770367260441</v>
      </c>
      <c r="T102" s="103">
        <f>R102/8.5*10000/(G102+G103)</f>
        <v>0.16779506140607747</v>
      </c>
      <c r="U102" s="108"/>
      <c r="X102" s="105">
        <v>2.64</v>
      </c>
      <c r="Y102" s="33">
        <f t="shared" si="45"/>
        <v>113847.36</v>
      </c>
      <c r="AA102" s="166">
        <v>4867.4444444646551</v>
      </c>
      <c r="AB102" s="245" t="s">
        <v>70</v>
      </c>
    </row>
    <row r="103" spans="1:28" x14ac:dyDescent="0.3">
      <c r="A103" s="146"/>
      <c r="B103" s="146"/>
      <c r="C103" s="23"/>
      <c r="D103" s="23"/>
      <c r="E103" s="35" t="s">
        <v>160</v>
      </c>
      <c r="F103" s="36"/>
      <c r="G103" s="139">
        <v>6895</v>
      </c>
      <c r="H103" s="139"/>
      <c r="I103" s="139"/>
      <c r="J103" s="98"/>
      <c r="K103" s="101"/>
      <c r="L103" s="101"/>
      <c r="M103" s="102"/>
      <c r="N103" s="102"/>
      <c r="O103" s="102"/>
      <c r="P103" s="69"/>
      <c r="Q103" s="69"/>
      <c r="R103" s="224"/>
      <c r="S103" s="227"/>
      <c r="T103" s="103"/>
      <c r="U103" s="108"/>
      <c r="X103" s="105">
        <v>6.5</v>
      </c>
      <c r="Y103" s="33">
        <f t="shared" si="45"/>
        <v>44817.5</v>
      </c>
      <c r="AA103" s="166"/>
      <c r="AB103" s="245" t="s">
        <v>70</v>
      </c>
    </row>
    <row r="104" spans="1:28" x14ac:dyDescent="0.3">
      <c r="A104" s="146">
        <v>43401.041666666664</v>
      </c>
      <c r="B104" s="146">
        <v>43403.951388888891</v>
      </c>
      <c r="C104" s="23"/>
      <c r="D104" s="23"/>
      <c r="E104" s="35" t="s">
        <v>111</v>
      </c>
      <c r="F104" s="36"/>
      <c r="G104" s="139">
        <f>66000-G105</f>
        <v>59195</v>
      </c>
      <c r="H104" s="139" t="s">
        <v>36</v>
      </c>
      <c r="I104" s="139">
        <v>66000</v>
      </c>
      <c r="J104" s="98"/>
      <c r="K104" s="101">
        <f>'[85]Andhika Paramesti'!$F$50</f>
        <v>2.9097222222262644</v>
      </c>
      <c r="L104" s="101">
        <f>'[85]Andhika Paramesti'!$F$50-'[85]Andhika Paramesti'!$F$46</f>
        <v>1.3055555555426206</v>
      </c>
      <c r="M104" s="102">
        <f>(G104+G105)/K104</f>
        <v>22682.577565600946</v>
      </c>
      <c r="N104" s="102">
        <f>(G104+G105)/L104</f>
        <v>50553.191489862562</v>
      </c>
      <c r="O104" s="102">
        <v>30000</v>
      </c>
      <c r="P104" s="69">
        <f>(127300/10000)*8.7</f>
        <v>110.75099999999999</v>
      </c>
      <c r="Q104" s="69">
        <f>(114762/10000)*8.7</f>
        <v>99.842939999999999</v>
      </c>
      <c r="R104" s="224">
        <f>P104-Q104</f>
        <v>10.908059999999992</v>
      </c>
      <c r="S104" s="227">
        <f>R104/8.7*10000/(G104+G105)</f>
        <v>0.18996969696969684</v>
      </c>
      <c r="T104" s="103">
        <f>R104/8.5*10000/(G104+G105)</f>
        <v>0.1944395721925132</v>
      </c>
      <c r="U104" s="108"/>
      <c r="X104" s="105">
        <v>2.64</v>
      </c>
      <c r="Y104" s="33">
        <f t="shared" si="45"/>
        <v>156274.80000000002</v>
      </c>
      <c r="AA104" s="166">
        <v>8944.4444445737954</v>
      </c>
      <c r="AB104" s="245" t="s">
        <v>70</v>
      </c>
    </row>
    <row r="105" spans="1:28" x14ac:dyDescent="0.3">
      <c r="A105" s="146"/>
      <c r="B105" s="146"/>
      <c r="C105" s="23"/>
      <c r="D105" s="23"/>
      <c r="E105" s="35" t="s">
        <v>161</v>
      </c>
      <c r="F105" s="36"/>
      <c r="G105" s="139">
        <v>6805</v>
      </c>
      <c r="H105" s="139"/>
      <c r="I105" s="139"/>
      <c r="J105" s="98"/>
      <c r="K105" s="101"/>
      <c r="L105" s="101"/>
      <c r="M105" s="102"/>
      <c r="N105" s="102"/>
      <c r="O105" s="102"/>
      <c r="P105" s="69"/>
      <c r="Q105" s="69"/>
      <c r="R105" s="224"/>
      <c r="S105" s="227"/>
      <c r="T105" s="103"/>
      <c r="U105" s="108"/>
      <c r="X105" s="105">
        <v>6.5</v>
      </c>
      <c r="Y105" s="33">
        <f t="shared" si="45"/>
        <v>44232.5</v>
      </c>
      <c r="AA105" s="166"/>
      <c r="AB105" s="245" t="s">
        <v>70</v>
      </c>
    </row>
    <row r="106" spans="1:28" s="220" customFormat="1" x14ac:dyDescent="0.3">
      <c r="A106" s="210"/>
      <c r="B106" s="210"/>
      <c r="C106" s="13"/>
      <c r="D106" s="13"/>
      <c r="E106" s="39" t="s">
        <v>118</v>
      </c>
      <c r="F106" s="40"/>
      <c r="G106" s="213">
        <v>-230394</v>
      </c>
      <c r="H106" s="214"/>
      <c r="I106" s="213"/>
      <c r="J106" s="117"/>
      <c r="K106" s="134"/>
      <c r="L106" s="134"/>
      <c r="M106" s="116"/>
      <c r="N106" s="116"/>
      <c r="O106" s="116"/>
      <c r="P106" s="246"/>
      <c r="Q106" s="246"/>
      <c r="R106" s="247"/>
      <c r="S106" s="248"/>
      <c r="T106" s="215"/>
      <c r="U106" s="136"/>
      <c r="V106" s="221"/>
      <c r="X106" s="105">
        <v>2.84</v>
      </c>
      <c r="Y106" s="33">
        <f t="shared" si="45"/>
        <v>-654318.96</v>
      </c>
      <c r="Z106" s="222"/>
      <c r="AA106" s="223"/>
      <c r="AB106" s="245" t="s">
        <v>70</v>
      </c>
    </row>
    <row r="107" spans="1:28" s="220" customFormat="1" x14ac:dyDescent="0.3">
      <c r="A107" s="210"/>
      <c r="B107" s="210"/>
      <c r="C107" s="13"/>
      <c r="D107" s="13"/>
      <c r="E107" s="39" t="s">
        <v>118</v>
      </c>
      <c r="F107" s="40"/>
      <c r="G107" s="213">
        <v>-7212</v>
      </c>
      <c r="H107" s="214"/>
      <c r="I107" s="213"/>
      <c r="J107" s="117"/>
      <c r="K107" s="134"/>
      <c r="L107" s="134"/>
      <c r="M107" s="116"/>
      <c r="N107" s="116"/>
      <c r="O107" s="116"/>
      <c r="P107" s="246"/>
      <c r="Q107" s="246"/>
      <c r="R107" s="247"/>
      <c r="S107" s="248"/>
      <c r="T107" s="215"/>
      <c r="U107" s="136"/>
      <c r="V107" s="221"/>
      <c r="X107" s="105">
        <v>2.64</v>
      </c>
      <c r="Y107" s="33">
        <f t="shared" si="45"/>
        <v>-19039.68</v>
      </c>
      <c r="Z107" s="222"/>
      <c r="AA107" s="223"/>
      <c r="AB107" s="245" t="s">
        <v>70</v>
      </c>
    </row>
    <row r="108" spans="1:28" s="35" customFormat="1" ht="12.9" customHeight="1" x14ac:dyDescent="0.3">
      <c r="A108" s="50"/>
      <c r="B108" s="50"/>
      <c r="C108" s="50"/>
      <c r="D108" s="50"/>
      <c r="E108" s="122" t="s">
        <v>84</v>
      </c>
      <c r="F108" s="123"/>
      <c r="G108" s="170">
        <f>SUM(G91:G105)</f>
        <v>659481</v>
      </c>
      <c r="H108" s="124"/>
      <c r="I108" s="124"/>
      <c r="J108" s="124"/>
      <c r="K108" s="163">
        <f>SUM(K91:K104)</f>
        <v>23.44097222223354</v>
      </c>
      <c r="L108" s="164">
        <f>SUM(L91:L104)</f>
        <v>12.934027777754331</v>
      </c>
      <c r="M108" s="124"/>
      <c r="N108" s="124"/>
      <c r="O108" s="124"/>
      <c r="P108" s="124"/>
      <c r="Q108" s="124"/>
      <c r="R108" s="126">
        <f>SUM(R91:R104)</f>
        <v>102.45728999999994</v>
      </c>
      <c r="S108" s="127">
        <f>R108/8.7*10000/G108</f>
        <v>0.17857527358635039</v>
      </c>
      <c r="T108" s="126"/>
      <c r="U108" s="126"/>
      <c r="V108" s="129">
        <v>421875</v>
      </c>
      <c r="W108" s="22">
        <f>G108-V108</f>
        <v>237606</v>
      </c>
      <c r="X108" s="22"/>
      <c r="Y108" s="131">
        <f>SUM(Y91:Y104)</f>
        <v>1802047.9600000004</v>
      </c>
      <c r="Z108" s="131"/>
      <c r="AA108" s="132">
        <f>SUM(AA91:AA107)</f>
        <v>90486.722222456665</v>
      </c>
      <c r="AB108" s="132">
        <f>SUM(AB91:AB96)</f>
        <v>0</v>
      </c>
    </row>
    <row r="109" spans="1:28" x14ac:dyDescent="0.3">
      <c r="A109" s="146">
        <v>43404.166666666664</v>
      </c>
      <c r="B109" s="146">
        <v>43406.923611111109</v>
      </c>
      <c r="C109" s="23"/>
      <c r="D109" s="23"/>
      <c r="E109" s="35" t="s">
        <v>71</v>
      </c>
      <c r="F109" s="36"/>
      <c r="G109" s="139">
        <v>67007</v>
      </c>
      <c r="H109" s="139" t="s">
        <v>36</v>
      </c>
      <c r="I109" s="139">
        <v>67000</v>
      </c>
      <c r="J109" s="98">
        <f>G109-I109</f>
        <v>7</v>
      </c>
      <c r="K109" s="101">
        <f>'[86]Chandra Kirana'!$F$60</f>
        <v>2.7569444444452529</v>
      </c>
      <c r="L109" s="101">
        <f>'[86]Chandra Kirana'!$F$60-'[86]Chandra Kirana'!$F$56</f>
        <v>1.3003472221971606</v>
      </c>
      <c r="M109" s="102">
        <f>G109/K109</f>
        <v>24304.806045332924</v>
      </c>
      <c r="N109" s="102">
        <f>G109/L109</f>
        <v>51530.082778029187</v>
      </c>
      <c r="O109" s="102">
        <v>30000</v>
      </c>
      <c r="P109" s="69">
        <f>(114412/10000)*8.7</f>
        <v>99.538439999999994</v>
      </c>
      <c r="Q109" s="69">
        <f>(101639/10000)*8.7</f>
        <v>88.425929999999994</v>
      </c>
      <c r="R109" s="224">
        <f>P109-Q109</f>
        <v>11.11251</v>
      </c>
      <c r="S109" s="227">
        <f>R109/8.7*10000/G109</f>
        <v>0.19062187532645847</v>
      </c>
      <c r="T109" s="103">
        <f>R109/8.5*10000/G109</f>
        <v>0.19510709592237513</v>
      </c>
      <c r="U109" s="108"/>
      <c r="X109" s="105">
        <v>2.64</v>
      </c>
      <c r="Y109" s="33">
        <f t="shared" ref="Y109:Y116" si="46">G109*X109</f>
        <v>176898.48</v>
      </c>
      <c r="AA109" s="166">
        <v>9332.1944446950583</v>
      </c>
      <c r="AB109" s="245" t="s">
        <v>70</v>
      </c>
    </row>
    <row r="110" spans="1:28" x14ac:dyDescent="0.3">
      <c r="A110" s="146">
        <v>43408.722222222219</v>
      </c>
      <c r="B110" s="146">
        <v>43411.444444444445</v>
      </c>
      <c r="C110" s="23"/>
      <c r="D110" s="23"/>
      <c r="E110" s="35" t="s">
        <v>162</v>
      </c>
      <c r="G110" s="139">
        <f>70702-G111</f>
        <v>62374</v>
      </c>
      <c r="H110" s="139" t="s">
        <v>33</v>
      </c>
      <c r="I110" s="139">
        <v>70700</v>
      </c>
      <c r="J110" s="98">
        <f>(G110+G111)-I110</f>
        <v>2</v>
      </c>
      <c r="K110" s="101">
        <f>'[87]Yue Dian 6'!$F$58</f>
        <v>2.7222222222262644</v>
      </c>
      <c r="L110" s="101">
        <f>'[87]Yue Dian 6'!$F$58-'[87]Yue Dian 6'!$F$54</f>
        <v>1.3055555555644485</v>
      </c>
      <c r="M110" s="102">
        <f>(G110+G111)/K110</f>
        <v>25972.163265267558</v>
      </c>
      <c r="N110" s="102">
        <f>(G110+G111)/L110</f>
        <v>54154.723403886441</v>
      </c>
      <c r="O110" s="102">
        <v>30000</v>
      </c>
      <c r="P110" s="69">
        <f>(98799/10000)*8.7</f>
        <v>85.955129999999983</v>
      </c>
      <c r="Q110" s="69">
        <f>(86118/10000)*8.7</f>
        <v>74.922659999999993</v>
      </c>
      <c r="R110" s="224">
        <f>P110-Q110</f>
        <v>11.032469999999989</v>
      </c>
      <c r="S110" s="227">
        <f>R110/8.7*10000/(G110+G111)</f>
        <v>0.17935843399055174</v>
      </c>
      <c r="T110" s="103">
        <f>R110/8.5*10000/(G110+G111)</f>
        <v>0.18357863243738823</v>
      </c>
      <c r="U110" s="108"/>
      <c r="V110" s="250"/>
      <c r="X110" s="105">
        <v>2.64</v>
      </c>
      <c r="Y110" s="33">
        <f t="shared" si="46"/>
        <v>164667.36000000002</v>
      </c>
      <c r="AA110" s="33">
        <v>10511.777777688847</v>
      </c>
      <c r="AB110" s="245" t="s">
        <v>70</v>
      </c>
    </row>
    <row r="111" spans="1:28" x14ac:dyDescent="0.3">
      <c r="A111" s="146"/>
      <c r="B111" s="146"/>
      <c r="C111" s="23"/>
      <c r="D111" s="23"/>
      <c r="E111" s="35" t="s">
        <v>163</v>
      </c>
      <c r="G111" s="139">
        <v>8328</v>
      </c>
      <c r="H111" s="139"/>
      <c r="I111" s="139"/>
      <c r="J111" s="98"/>
      <c r="K111" s="101"/>
      <c r="L111" s="101"/>
      <c r="M111" s="102"/>
      <c r="N111" s="102"/>
      <c r="O111" s="102"/>
      <c r="P111" s="69"/>
      <c r="Q111" s="69"/>
      <c r="R111" s="224"/>
      <c r="S111" s="227"/>
      <c r="T111" s="103"/>
      <c r="U111" s="108"/>
      <c r="V111" s="250"/>
      <c r="X111" s="105">
        <v>6.5</v>
      </c>
      <c r="Y111" s="33">
        <f t="shared" si="46"/>
        <v>54132</v>
      </c>
      <c r="AA111"/>
      <c r="AB111" s="245" t="s">
        <v>70</v>
      </c>
    </row>
    <row r="112" spans="1:28" x14ac:dyDescent="0.3">
      <c r="A112" s="146">
        <v>43411.684027777781</v>
      </c>
      <c r="B112" s="146">
        <v>43414.270833333336</v>
      </c>
      <c r="C112" s="23"/>
      <c r="D112" s="23"/>
      <c r="E112" s="44" t="s">
        <v>164</v>
      </c>
      <c r="F112" s="208"/>
      <c r="G112" s="139">
        <v>70002</v>
      </c>
      <c r="H112" s="172" t="s">
        <v>33</v>
      </c>
      <c r="I112" s="172">
        <v>70000</v>
      </c>
      <c r="J112" s="98">
        <f>(G112)-I112</f>
        <v>2</v>
      </c>
      <c r="K112" s="112">
        <f>'[86]Hui Zhi'!$F$57</f>
        <v>2.5868055555547471</v>
      </c>
      <c r="L112" s="112">
        <f>'[87]Hui Zhi'!$F$57-'[87]Hui Zhi'!$F$53</f>
        <v>1.3437500000060634</v>
      </c>
      <c r="M112" s="102">
        <f>(G112)/K112</f>
        <v>27061.175838934632</v>
      </c>
      <c r="N112" s="102">
        <f>(G112)/L112</f>
        <v>52094.511627671913</v>
      </c>
      <c r="O112" s="111">
        <v>30000</v>
      </c>
      <c r="P112" s="69">
        <f>(85548/10000)*8.7</f>
        <v>74.426760000000002</v>
      </c>
      <c r="Q112" s="69">
        <f>(73278/10000)*8.7</f>
        <v>63.751859999999994</v>
      </c>
      <c r="R112" s="224">
        <f>P112-Q112</f>
        <v>10.674900000000008</v>
      </c>
      <c r="S112" s="227">
        <f>R112/8.7*10000/G112</f>
        <v>0.17528070626553541</v>
      </c>
      <c r="T112" s="103">
        <f>R112/8.5*10000/G112</f>
        <v>0.17940495817766564</v>
      </c>
      <c r="U112" s="224">
        <f>S112-T112</f>
        <v>-4.1242519121302279E-3</v>
      </c>
      <c r="V112" s="250"/>
      <c r="X112" s="105">
        <v>2.64</v>
      </c>
      <c r="Y112" s="33">
        <f t="shared" si="46"/>
        <v>184805.28</v>
      </c>
      <c r="AA112" s="33">
        <v>9896.4999999393676</v>
      </c>
      <c r="AB112" s="245" t="s">
        <v>70</v>
      </c>
    </row>
    <row r="113" spans="1:28" x14ac:dyDescent="0.3">
      <c r="A113" s="146">
        <v>43417.055555555555</v>
      </c>
      <c r="B113" s="146">
        <v>43419.208333333336</v>
      </c>
      <c r="C113" s="23"/>
      <c r="D113" s="23"/>
      <c r="E113" s="44" t="s">
        <v>165</v>
      </c>
      <c r="F113" s="208"/>
      <c r="G113" s="139">
        <f>69500-G114</f>
        <v>62483</v>
      </c>
      <c r="H113" s="172" t="s">
        <v>33</v>
      </c>
      <c r="I113" s="172">
        <v>69500</v>
      </c>
      <c r="J113" s="98">
        <f>(G113+G114)-I113</f>
        <v>0</v>
      </c>
      <c r="K113" s="112">
        <f>'[86]Chang Sheng'!$F$55</f>
        <v>2.1527777777810115</v>
      </c>
      <c r="L113" s="112">
        <f>'[87]Chang Sheng'!$F$55-'[87]Chang Sheng'!$F$51</f>
        <v>1.4236111111046434</v>
      </c>
      <c r="M113" s="102">
        <f>(G113)/K113</f>
        <v>29024.361290278983</v>
      </c>
      <c r="N113" s="102">
        <f>(G113+G114)/L113</f>
        <v>48819.512195343748</v>
      </c>
      <c r="O113" s="111">
        <v>30000</v>
      </c>
      <c r="P113" s="69">
        <f>(193992/10000)*8.7</f>
        <v>168.77303999999998</v>
      </c>
      <c r="Q113" s="69">
        <f>(182454/10000)*8.7</f>
        <v>158.73497999999998</v>
      </c>
      <c r="R113" s="224">
        <f>P113-Q113</f>
        <v>10.038060000000002</v>
      </c>
      <c r="S113" s="227">
        <f>R113/8.7*10000/(G113+G114)</f>
        <v>0.16601438848920869</v>
      </c>
      <c r="T113" s="103">
        <f>R113/8.5*10000/(G113+G114)</f>
        <v>0.16992060939483711</v>
      </c>
      <c r="U113" s="108"/>
      <c r="V113" s="250"/>
      <c r="X113" s="105">
        <v>2.64</v>
      </c>
      <c r="Y113" s="33">
        <f t="shared" si="46"/>
        <v>164955.12</v>
      </c>
      <c r="AA113" s="251">
        <v>8930.5555556202344</v>
      </c>
      <c r="AB113" s="245" t="s">
        <v>70</v>
      </c>
    </row>
    <row r="114" spans="1:28" x14ac:dyDescent="0.3">
      <c r="A114" s="146"/>
      <c r="B114" s="146"/>
      <c r="C114" s="23"/>
      <c r="D114" s="23"/>
      <c r="E114" s="44" t="s">
        <v>166</v>
      </c>
      <c r="F114" s="208"/>
      <c r="G114" s="139">
        <v>7017</v>
      </c>
      <c r="H114" s="172"/>
      <c r="I114" s="172"/>
      <c r="J114" s="98"/>
      <c r="K114" s="112"/>
      <c r="L114" s="112"/>
      <c r="M114" s="102"/>
      <c r="N114" s="102"/>
      <c r="O114" s="111"/>
      <c r="P114" s="69"/>
      <c r="Q114" s="69"/>
      <c r="R114" s="224"/>
      <c r="S114" s="227"/>
      <c r="T114" s="103"/>
      <c r="U114" s="108"/>
      <c r="V114" s="250"/>
      <c r="X114" s="105">
        <v>6.5</v>
      </c>
      <c r="Y114" s="33">
        <f t="shared" si="46"/>
        <v>45610.5</v>
      </c>
      <c r="AA114"/>
      <c r="AB114" s="245" t="s">
        <v>70</v>
      </c>
    </row>
    <row r="115" spans="1:28" x14ac:dyDescent="0.3">
      <c r="A115" s="146">
        <v>43419.854166666664</v>
      </c>
      <c r="B115" s="146">
        <v>43422.489583333336</v>
      </c>
      <c r="C115" s="23"/>
      <c r="D115" s="23"/>
      <c r="E115" s="44" t="s">
        <v>167</v>
      </c>
      <c r="F115" s="208"/>
      <c r="G115" s="139">
        <f>65000-G116</f>
        <v>56848</v>
      </c>
      <c r="H115" s="172" t="s">
        <v>33</v>
      </c>
      <c r="I115" s="172">
        <v>65000</v>
      </c>
      <c r="J115" s="98">
        <f>(G115+G116)-I115</f>
        <v>0</v>
      </c>
      <c r="K115" s="112">
        <f>'[86]Genco Beauty'!$F$52</f>
        <v>2.6354166666715173</v>
      </c>
      <c r="L115" s="112">
        <f>'[87]Genco Beauty'!$F$53-'[87]Genco Beauty'!$F$49</f>
        <v>1.1996527777579711</v>
      </c>
      <c r="M115" s="102">
        <f>(G115+G116)/K115</f>
        <v>24664.031620507965</v>
      </c>
      <c r="N115" s="102">
        <f>(G115+G116)/L115</f>
        <v>54182.344429259261</v>
      </c>
      <c r="O115" s="111">
        <v>30000</v>
      </c>
      <c r="P115" s="69">
        <f>(181275/10000)*8.7</f>
        <v>157.70925</v>
      </c>
      <c r="Q115" s="69">
        <f>(169734/10000)*8.7</f>
        <v>147.66857999999999</v>
      </c>
      <c r="R115" s="224">
        <f>P115-Q115</f>
        <v>10.040670000000006</v>
      </c>
      <c r="S115" s="227">
        <f>R115/8.7*10000/(G115+G116)</f>
        <v>0.17755384615384626</v>
      </c>
      <c r="T115" s="103">
        <f>R115/8.5*10000/(G115+G116)</f>
        <v>0.18173158371040732</v>
      </c>
      <c r="U115" s="108"/>
      <c r="V115" s="250"/>
      <c r="X115" s="105">
        <v>2.64</v>
      </c>
      <c r="Y115" s="33">
        <f t="shared" si="46"/>
        <v>150078.72</v>
      </c>
      <c r="AA115" s="251">
        <v>9670.1388890869548</v>
      </c>
      <c r="AB115" s="245" t="s">
        <v>70</v>
      </c>
    </row>
    <row r="116" spans="1:28" x14ac:dyDescent="0.3">
      <c r="A116" s="146"/>
      <c r="B116" s="146"/>
      <c r="C116" s="23"/>
      <c r="D116" s="23"/>
      <c r="E116" s="44" t="s">
        <v>168</v>
      </c>
      <c r="F116" s="208"/>
      <c r="G116" s="139">
        <v>8152</v>
      </c>
      <c r="H116" s="172"/>
      <c r="I116" s="172"/>
      <c r="J116" s="98"/>
      <c r="K116" s="112"/>
      <c r="L116" s="112"/>
      <c r="M116" s="102"/>
      <c r="N116" s="102"/>
      <c r="O116" s="111"/>
      <c r="P116" s="69"/>
      <c r="Q116" s="69"/>
      <c r="R116" s="224"/>
      <c r="S116" s="227"/>
      <c r="T116" s="103"/>
      <c r="U116" s="108"/>
      <c r="V116" s="250"/>
      <c r="X116" s="105">
        <v>6.5</v>
      </c>
      <c r="Y116" s="33">
        <f t="shared" si="46"/>
        <v>52988</v>
      </c>
      <c r="AA116"/>
      <c r="AB116" s="245" t="s">
        <v>70</v>
      </c>
    </row>
    <row r="117" spans="1:28" x14ac:dyDescent="0.3">
      <c r="A117" s="146">
        <v>43423.048611111109</v>
      </c>
      <c r="B117" s="146">
        <v>43425.305555555555</v>
      </c>
      <c r="C117" s="23"/>
      <c r="D117" s="23"/>
      <c r="E117" s="44" t="s">
        <v>169</v>
      </c>
      <c r="F117" s="208"/>
      <c r="G117" s="139">
        <v>77744</v>
      </c>
      <c r="H117" s="172" t="s">
        <v>33</v>
      </c>
      <c r="I117" s="139">
        <v>77744</v>
      </c>
      <c r="J117" s="98">
        <f>(G117)-I117</f>
        <v>0</v>
      </c>
      <c r="K117" s="112">
        <f>'[86]Voge Challenger'!$F$56</f>
        <v>2.2569444444452529</v>
      </c>
      <c r="L117" s="112">
        <f>'[87]Voge Challenger'!$F$56-'[87]Voge Challenger'!$F$52</f>
        <v>1.5156249999587694</v>
      </c>
      <c r="M117" s="102">
        <f>G117/K117</f>
        <v>34446.57230767997</v>
      </c>
      <c r="N117" s="102">
        <f>G117/L117</f>
        <v>51295.010310673766</v>
      </c>
      <c r="O117" s="111">
        <v>30000</v>
      </c>
      <c r="P117" s="69">
        <f>(168783/10000)*8.7</f>
        <v>146.84120999999999</v>
      </c>
      <c r="Q117" s="69">
        <f>(156864/10000)*8.7</f>
        <v>136.47167999999999</v>
      </c>
      <c r="R117" s="224">
        <f>P117-Q117</f>
        <v>10.369529999999997</v>
      </c>
      <c r="S117" s="227">
        <f>R117/8.7*10000/(G117)</f>
        <v>0.15331086643342248</v>
      </c>
      <c r="T117" s="103">
        <f>R117/8.5*10000/(G117)</f>
        <v>0.15691818093773832</v>
      </c>
      <c r="U117" s="108"/>
      <c r="V117" s="250"/>
      <c r="X117" s="105">
        <v>2.64</v>
      </c>
      <c r="Y117" s="33">
        <f>G117*X117</f>
        <v>205244.16</v>
      </c>
      <c r="AA117" s="251">
        <v>10758.416667078975</v>
      </c>
      <c r="AB117" s="245" t="s">
        <v>70</v>
      </c>
    </row>
    <row r="118" spans="1:28" s="237" customFormat="1" x14ac:dyDescent="0.3">
      <c r="A118" s="228">
        <v>43428.694444444445</v>
      </c>
      <c r="B118" s="228">
        <v>43431.958333333336</v>
      </c>
      <c r="C118" s="70"/>
      <c r="D118" s="70"/>
      <c r="E118" s="193" t="s">
        <v>170</v>
      </c>
      <c r="F118" s="252"/>
      <c r="G118" s="195">
        <v>1920</v>
      </c>
      <c r="H118" s="196" t="s">
        <v>49</v>
      </c>
      <c r="I118" s="195">
        <v>156830</v>
      </c>
      <c r="J118" s="249">
        <f>(G118)-I118</f>
        <v>-154910</v>
      </c>
      <c r="K118" s="112">
        <f>'[86]Cape Ioanna'!$F$58</f>
        <v>3.2638888888905058</v>
      </c>
      <c r="L118" s="112">
        <f>'[87]Cape Ioanna'!$F$58-'[87]Cape Ioanna'!$F$54</f>
        <v>1.7899305555656611</v>
      </c>
      <c r="M118" s="231">
        <f>(G118+G119)/K118</f>
        <v>28422.229787219963</v>
      </c>
      <c r="N118" s="231">
        <f>(G118+G119)/L118</f>
        <v>51827.15033918363</v>
      </c>
      <c r="O118" s="230">
        <v>30000</v>
      </c>
      <c r="P118" s="75">
        <f>(151606/10000)*8.7</f>
        <v>131.89722</v>
      </c>
      <c r="Q118" s="75">
        <f>(135114/10000)*8.7</f>
        <v>117.54917999999999</v>
      </c>
      <c r="R118" s="232">
        <f>P118-Q118</f>
        <v>14.348040000000012</v>
      </c>
      <c r="S118" s="233">
        <f>R118/8.7*10000/(G118+G119)</f>
        <v>0.17777873597292157</v>
      </c>
      <c r="T118" s="234">
        <f>R118/8.5*10000/(G118+G119)</f>
        <v>0.18196176505463735</v>
      </c>
      <c r="U118" s="235"/>
      <c r="V118" s="253"/>
      <c r="X118" s="238">
        <v>2.64</v>
      </c>
      <c r="Y118" s="58">
        <f>G118*X118</f>
        <v>5068.8</v>
      </c>
      <c r="Z118" s="239"/>
      <c r="AA118" s="251">
        <v>13023.027777676722</v>
      </c>
      <c r="AB118" s="241" t="s">
        <v>70</v>
      </c>
    </row>
    <row r="119" spans="1:28" x14ac:dyDescent="0.3">
      <c r="A119" s="146"/>
      <c r="B119" s="146"/>
      <c r="C119" s="23"/>
      <c r="D119" s="23"/>
      <c r="E119" s="44" t="s">
        <v>170</v>
      </c>
      <c r="F119" s="208"/>
      <c r="G119" s="139">
        <v>90847</v>
      </c>
      <c r="H119" s="172"/>
      <c r="I119" s="139"/>
      <c r="J119" s="98"/>
      <c r="K119" s="112"/>
      <c r="L119" s="112"/>
      <c r="M119" s="102"/>
      <c r="N119" s="102"/>
      <c r="O119" s="111"/>
      <c r="P119" s="69"/>
      <c r="Q119" s="69"/>
      <c r="R119" s="224"/>
      <c r="S119" s="227"/>
      <c r="T119" s="103"/>
      <c r="U119" s="108"/>
      <c r="V119" s="250"/>
      <c r="X119" s="105">
        <v>2.64</v>
      </c>
      <c r="Y119" s="33">
        <f>G119*X119</f>
        <v>239836.08000000002</v>
      </c>
      <c r="AA119" s="251"/>
      <c r="AB119" s="245" t="s">
        <v>70</v>
      </c>
    </row>
    <row r="120" spans="1:28" s="220" customFormat="1" x14ac:dyDescent="0.3">
      <c r="A120" s="13"/>
      <c r="B120" s="13"/>
      <c r="C120" s="13"/>
      <c r="D120" s="13"/>
      <c r="E120" s="39" t="s">
        <v>118</v>
      </c>
      <c r="F120" s="217"/>
      <c r="G120" s="213">
        <v>-44477</v>
      </c>
      <c r="H120" s="214"/>
      <c r="I120" s="214"/>
      <c r="J120" s="135"/>
      <c r="K120" s="118"/>
      <c r="L120" s="118"/>
      <c r="M120" s="116"/>
      <c r="N120" s="116"/>
      <c r="O120" s="117"/>
      <c r="P120" s="136"/>
      <c r="Q120" s="136"/>
      <c r="R120" s="136"/>
      <c r="S120" s="136"/>
      <c r="T120" s="136"/>
      <c r="U120" s="136"/>
      <c r="V120" s="254"/>
      <c r="X120" s="255">
        <v>2.64</v>
      </c>
      <c r="Y120" s="19">
        <f>G120*X120</f>
        <v>-117419.28</v>
      </c>
      <c r="Z120" s="222"/>
      <c r="AA120" s="256"/>
      <c r="AB120" s="121"/>
    </row>
    <row r="121" spans="1:28" x14ac:dyDescent="0.3">
      <c r="E121" s="122" t="s">
        <v>89</v>
      </c>
      <c r="F121" s="123"/>
      <c r="G121" s="170">
        <f>SUM(G109:G119)</f>
        <v>512722</v>
      </c>
      <c r="H121" s="124"/>
      <c r="I121" s="124"/>
      <c r="J121" s="124"/>
      <c r="K121" s="163">
        <f>SUM(K109:K118)</f>
        <v>18.375000000014552</v>
      </c>
      <c r="L121" s="164">
        <f>SUM(L109:L118)</f>
        <v>9.8784722221547181</v>
      </c>
      <c r="M121" s="124"/>
      <c r="N121" s="124"/>
      <c r="O121" s="124"/>
      <c r="P121" s="124"/>
      <c r="Q121" s="124"/>
      <c r="R121" s="126">
        <f>SUM(R109:R120)</f>
        <v>77.616180000000014</v>
      </c>
      <c r="S121" s="127">
        <f>R121/8.7*10000/G121</f>
        <v>0.17400072553937615</v>
      </c>
      <c r="T121" s="126"/>
      <c r="U121" s="126"/>
      <c r="V121" s="129">
        <v>421875</v>
      </c>
      <c r="W121" s="22">
        <f>G121-V121</f>
        <v>90847</v>
      </c>
      <c r="X121" s="22"/>
      <c r="Y121" s="131">
        <f>SUM(Y109:Y120)</f>
        <v>1326865.22</v>
      </c>
      <c r="Z121" s="131"/>
      <c r="AA121" s="132">
        <f>SUM(AA109:AA120)</f>
        <v>72122.611111786158</v>
      </c>
      <c r="AB121" s="132">
        <f>SUM(AB109:AB113)</f>
        <v>0</v>
      </c>
    </row>
    <row r="122" spans="1:28" x14ac:dyDescent="0.3">
      <c r="A122" s="146">
        <v>43434.715277777781</v>
      </c>
      <c r="B122" s="146">
        <v>43436.006944444445</v>
      </c>
      <c r="C122" s="23"/>
      <c r="D122" s="23"/>
      <c r="E122" s="35" t="s">
        <v>171</v>
      </c>
      <c r="F122" s="36"/>
      <c r="G122" s="139">
        <f>38711-G123</f>
        <v>33255</v>
      </c>
      <c r="H122" s="139" t="s">
        <v>49</v>
      </c>
      <c r="I122" s="139">
        <v>72400</v>
      </c>
      <c r="J122" s="98">
        <f>(G122+G123)-I122</f>
        <v>-33689</v>
      </c>
      <c r="K122" s="101">
        <f>'[88]Great Dragon 9'!$F$37</f>
        <v>1.2916666666642413</v>
      </c>
      <c r="L122" s="101">
        <f>'[88]Great Dragon 9'!$F$37-'[88]Great Dragon 9'!$F$33</f>
        <v>0.71701388887231587</v>
      </c>
      <c r="M122" s="102">
        <f>(G122+G123)/K122</f>
        <v>29969.806451669177</v>
      </c>
      <c r="N122" s="102">
        <f>(G122+G123)/L122</f>
        <v>53989.191284540881</v>
      </c>
      <c r="O122" s="100">
        <v>30000</v>
      </c>
      <c r="P122" s="69">
        <f>(130370/10000)*8.7</f>
        <v>113.42189999999999</v>
      </c>
      <c r="Q122" s="69">
        <f>(123515/10000)*8.7</f>
        <v>107.45804999999999</v>
      </c>
      <c r="R122" s="224">
        <f>P122-Q122</f>
        <v>5.9638500000000079</v>
      </c>
      <c r="S122" s="227">
        <f>R122/8.7*10000/(G122+G123)</f>
        <v>0.17708144971713494</v>
      </c>
      <c r="T122" s="103">
        <f>R122/8.5*10000/(G122+G123)</f>
        <v>0.18124807206342045</v>
      </c>
      <c r="U122" s="108"/>
      <c r="X122" s="105">
        <v>2.64</v>
      </c>
      <c r="Y122" s="33">
        <f t="shared" ref="Y122:Y134" si="47">G122*X122</f>
        <v>87793.2</v>
      </c>
      <c r="AA122" s="166">
        <v>5733.5277779435082</v>
      </c>
      <c r="AB122" s="107"/>
    </row>
    <row r="123" spans="1:28" x14ac:dyDescent="0.3">
      <c r="A123" s="23"/>
      <c r="B123" s="23"/>
      <c r="C123" s="23"/>
      <c r="D123" s="23"/>
      <c r="E123" s="35" t="s">
        <v>172</v>
      </c>
      <c r="F123" s="36"/>
      <c r="G123" s="139">
        <v>5456</v>
      </c>
      <c r="H123" s="139"/>
      <c r="I123" s="139"/>
      <c r="J123" s="98"/>
      <c r="K123" s="101"/>
      <c r="L123" s="101"/>
      <c r="M123" s="102"/>
      <c r="N123" s="102"/>
      <c r="O123" s="111"/>
      <c r="P123" s="108"/>
      <c r="Q123" s="108"/>
      <c r="R123" s="108"/>
      <c r="S123" s="108"/>
      <c r="T123" s="108"/>
      <c r="U123" s="108"/>
      <c r="X123" s="105">
        <v>6.5</v>
      </c>
      <c r="Y123" s="33">
        <f t="shared" si="47"/>
        <v>35464</v>
      </c>
      <c r="AA123" s="166"/>
      <c r="AB123" s="107"/>
    </row>
    <row r="124" spans="1:28" x14ac:dyDescent="0.3">
      <c r="A124" s="146">
        <v>43437.996527777781</v>
      </c>
      <c r="B124" s="146">
        <v>43439.256944444445</v>
      </c>
      <c r="C124" s="23"/>
      <c r="D124" s="23"/>
      <c r="E124" s="35" t="s">
        <v>173</v>
      </c>
      <c r="F124" s="36"/>
      <c r="G124" s="139">
        <f>43470-G125</f>
        <v>36315</v>
      </c>
      <c r="H124" s="139" t="s">
        <v>33</v>
      </c>
      <c r="I124" s="139">
        <v>62005</v>
      </c>
      <c r="J124" s="98">
        <f>(G124+G125)-I124</f>
        <v>-18535</v>
      </c>
      <c r="K124" s="101">
        <f>'[88]Genco Knight'!$F$39</f>
        <v>1.2604166666642413</v>
      </c>
      <c r="L124" s="101">
        <f>'[88]Genco Knight'!$F$39-'[88]Genco Knight'!$F$35</f>
        <v>0.86458333333212067</v>
      </c>
      <c r="M124" s="102">
        <f>(G124+G125)/K124</f>
        <v>34488.595041388675</v>
      </c>
      <c r="N124" s="102">
        <f>(G124+G125)/L124</f>
        <v>50278.554216937991</v>
      </c>
      <c r="O124" s="111">
        <v>30000</v>
      </c>
      <c r="P124" s="69">
        <f>(120125/10000)*8.7</f>
        <v>104.50874999999999</v>
      </c>
      <c r="Q124" s="69">
        <f>(112925/10000)*8.7</f>
        <v>98.244749999999996</v>
      </c>
      <c r="R124" s="224">
        <f>P124-Q124</f>
        <v>6.2639999999999958</v>
      </c>
      <c r="S124" s="227">
        <f>R124/8.7*10000/(G124+G125)</f>
        <v>0.16563146997929595</v>
      </c>
      <c r="T124" s="103">
        <f>R124/8.5*10000/(G124+G125)</f>
        <v>0.16952868103763233</v>
      </c>
      <c r="U124" s="108"/>
      <c r="X124" s="105">
        <v>2.64</v>
      </c>
      <c r="Y124" s="33">
        <f t="shared" si="47"/>
        <v>95871.6</v>
      </c>
      <c r="AA124" s="166">
        <v>5844.1666666787942</v>
      </c>
      <c r="AB124" s="107"/>
    </row>
    <row r="125" spans="1:28" x14ac:dyDescent="0.3">
      <c r="A125" s="146"/>
      <c r="B125" s="146"/>
      <c r="C125" s="23"/>
      <c r="D125" s="23"/>
      <c r="E125" s="35" t="s">
        <v>174</v>
      </c>
      <c r="F125" s="36"/>
      <c r="G125" s="139">
        <v>7155</v>
      </c>
      <c r="H125" s="139"/>
      <c r="I125" s="139"/>
      <c r="J125" s="98"/>
      <c r="K125" s="101"/>
      <c r="L125" s="101"/>
      <c r="M125" s="102"/>
      <c r="N125" s="102"/>
      <c r="O125" s="111"/>
      <c r="P125" s="69"/>
      <c r="Q125" s="69"/>
      <c r="R125" s="224"/>
      <c r="S125" s="227"/>
      <c r="T125" s="103"/>
      <c r="U125" s="108"/>
      <c r="X125" s="105">
        <v>6.5</v>
      </c>
      <c r="Y125" s="33">
        <f t="shared" si="47"/>
        <v>46507.5</v>
      </c>
      <c r="AA125" s="166"/>
      <c r="AB125" s="107"/>
    </row>
    <row r="126" spans="1:28" x14ac:dyDescent="0.3">
      <c r="A126" s="146">
        <v>43440.822916666664</v>
      </c>
      <c r="B126" s="146">
        <v>43442.097222222219</v>
      </c>
      <c r="C126" s="23"/>
      <c r="D126" s="23"/>
      <c r="E126" s="35" t="s">
        <v>175</v>
      </c>
      <c r="F126" s="36"/>
      <c r="G126" s="139">
        <f>35151-G127</f>
        <v>29083</v>
      </c>
      <c r="H126" s="139" t="s">
        <v>33</v>
      </c>
      <c r="I126" s="139">
        <v>68400</v>
      </c>
      <c r="J126" s="98">
        <f>(G126+G127)-I126</f>
        <v>-33249</v>
      </c>
      <c r="K126" s="101">
        <f>[88]Evermerit!$F$43</f>
        <v>1.2743055555547471</v>
      </c>
      <c r="L126" s="101">
        <f>[88]Evermerit!$F$43-[88]Evermerit!$F$39</f>
        <v>0.70138888887595385</v>
      </c>
      <c r="M126" s="102">
        <f>(G126+G127)/K126</f>
        <v>27584.435967319951</v>
      </c>
      <c r="N126" s="102">
        <f>(G126+G127)/L126</f>
        <v>50116.277228647021</v>
      </c>
      <c r="O126" s="111">
        <v>30000</v>
      </c>
      <c r="P126" s="69">
        <f>(110175/10000)*8.7</f>
        <v>95.852249999999998</v>
      </c>
      <c r="Q126" s="69">
        <f>(103266/10000)*8.7</f>
        <v>89.841419999999985</v>
      </c>
      <c r="R126" s="224">
        <f>P126-Q126</f>
        <v>6.0108300000000128</v>
      </c>
      <c r="S126" s="227">
        <f>R126/8.7*10000/(G126+G127)</f>
        <v>0.19655201843475337</v>
      </c>
      <c r="T126" s="103">
        <f>R126/8.5*10000/(G126+G127)</f>
        <v>0.20117677180968871</v>
      </c>
      <c r="U126" s="108"/>
      <c r="X126" s="105">
        <v>2.64</v>
      </c>
      <c r="Y126" s="33">
        <f t="shared" si="47"/>
        <v>76779.12000000001</v>
      </c>
      <c r="AA126" s="166">
        <v>4703.1111112404615</v>
      </c>
      <c r="AB126" s="107"/>
    </row>
    <row r="127" spans="1:28" x14ac:dyDescent="0.3">
      <c r="A127" s="146"/>
      <c r="B127" s="146"/>
      <c r="C127" s="23"/>
      <c r="D127" s="23"/>
      <c r="E127" s="35" t="s">
        <v>176</v>
      </c>
      <c r="F127" s="36"/>
      <c r="G127" s="139">
        <v>6068</v>
      </c>
      <c r="H127" s="139"/>
      <c r="I127" s="139"/>
      <c r="J127" s="98"/>
      <c r="K127" s="101"/>
      <c r="L127" s="101"/>
      <c r="M127" s="102"/>
      <c r="N127" s="102"/>
      <c r="O127" s="111"/>
      <c r="P127" s="69"/>
      <c r="Q127" s="69"/>
      <c r="R127" s="224"/>
      <c r="S127" s="227"/>
      <c r="T127" s="103"/>
      <c r="U127" s="108"/>
      <c r="X127" s="105">
        <v>6.5</v>
      </c>
      <c r="Y127" s="33">
        <f t="shared" si="47"/>
        <v>39442</v>
      </c>
      <c r="AA127" s="166"/>
      <c r="AB127" s="107"/>
    </row>
    <row r="128" spans="1:28" x14ac:dyDescent="0.3">
      <c r="A128" s="146">
        <v>43443.763888888891</v>
      </c>
      <c r="B128" s="146">
        <v>43446.305555555555</v>
      </c>
      <c r="C128" s="23"/>
      <c r="D128" s="23"/>
      <c r="E128" s="35" t="s">
        <v>177</v>
      </c>
      <c r="F128" s="36"/>
      <c r="G128" s="139">
        <f>85871-G129</f>
        <v>77551</v>
      </c>
      <c r="H128" s="139" t="s">
        <v>49</v>
      </c>
      <c r="I128" s="139">
        <v>163050</v>
      </c>
      <c r="J128" s="98">
        <f>(G128+G129)-I128</f>
        <v>-77179</v>
      </c>
      <c r="K128" s="101">
        <f>'[88]Cape Istanbul'!$F$54</f>
        <v>2.5416666666642413</v>
      </c>
      <c r="L128" s="101">
        <f>'[88]Cape Istanbul'!$F$54-'[88]Cape Istanbul'!$F$50</f>
        <v>1.5659722222262644</v>
      </c>
      <c r="M128" s="102">
        <f>(G128+G129)/K128</f>
        <v>33785.311475442075</v>
      </c>
      <c r="N128" s="102">
        <f>(G128+G129)/L128</f>
        <v>54835.583148417216</v>
      </c>
      <c r="O128" s="111">
        <v>30000</v>
      </c>
      <c r="P128" s="69">
        <f>(100246/10000)*8.7</f>
        <v>87.214019999999991</v>
      </c>
      <c r="Q128" s="69">
        <f>(86471/10000)*8.7</f>
        <v>75.229769999999988</v>
      </c>
      <c r="R128" s="224">
        <f>P128-Q128</f>
        <v>11.984250000000003</v>
      </c>
      <c r="S128" s="227">
        <f>R128/8.7*10000/(G128+G129)</f>
        <v>0.16041504116640082</v>
      </c>
      <c r="T128" s="103">
        <f>R128/8.5*10000/(G128+G129)</f>
        <v>0.1641895127232573</v>
      </c>
      <c r="U128" s="108"/>
      <c r="X128" s="105">
        <v>2.64</v>
      </c>
      <c r="Y128" s="33">
        <f t="shared" si="47"/>
        <v>204734.64</v>
      </c>
      <c r="AA128" s="166">
        <v>11515.277777737354</v>
      </c>
      <c r="AB128" s="107"/>
    </row>
    <row r="129" spans="1:28" x14ac:dyDescent="0.3">
      <c r="A129" s="146"/>
      <c r="B129" s="146"/>
      <c r="C129" s="23"/>
      <c r="D129" s="23"/>
      <c r="E129" s="35" t="s">
        <v>178</v>
      </c>
      <c r="F129" s="36"/>
      <c r="G129" s="139">
        <v>8320</v>
      </c>
      <c r="H129" s="139"/>
      <c r="I129" s="139"/>
      <c r="J129" s="98"/>
      <c r="K129" s="101"/>
      <c r="L129" s="101"/>
      <c r="M129" s="102"/>
      <c r="N129" s="102"/>
      <c r="O129" s="111"/>
      <c r="P129" s="69"/>
      <c r="Q129" s="69"/>
      <c r="R129" s="224"/>
      <c r="S129" s="227"/>
      <c r="T129" s="103"/>
      <c r="U129" s="108"/>
      <c r="X129" s="105">
        <v>6.5</v>
      </c>
      <c r="Y129" s="33">
        <f t="shared" si="47"/>
        <v>54080</v>
      </c>
      <c r="AA129" s="166"/>
      <c r="AB129" s="107"/>
    </row>
    <row r="130" spans="1:28" x14ac:dyDescent="0.3">
      <c r="A130" s="146">
        <v>43447.583333333336</v>
      </c>
      <c r="B130" s="146">
        <v>43449.0625</v>
      </c>
      <c r="C130" s="23"/>
      <c r="D130" s="23"/>
      <c r="E130" s="35" t="s">
        <v>179</v>
      </c>
      <c r="F130" s="36"/>
      <c r="G130" s="139">
        <v>49035</v>
      </c>
      <c r="H130" s="139" t="s">
        <v>49</v>
      </c>
      <c r="I130" s="139">
        <v>75326</v>
      </c>
      <c r="J130" s="98">
        <f>G130-I130</f>
        <v>-26291</v>
      </c>
      <c r="K130" s="101">
        <f>'[88]Xing Le Hai'!$F$41</f>
        <v>1.4791666666642413</v>
      </c>
      <c r="L130" s="101">
        <f>'[88]Xing Le Hai'!$F$41-'[88]Xing Le Hai'!$F$37</f>
        <v>0.94444444443070097</v>
      </c>
      <c r="M130" s="102">
        <f>G130/K130</f>
        <v>33150.422535265621</v>
      </c>
      <c r="N130" s="102">
        <f>G130/L130</f>
        <v>51919.411765461409</v>
      </c>
      <c r="O130" s="111">
        <v>30000</v>
      </c>
      <c r="P130" s="69">
        <f>(84161/10000)*8.7</f>
        <v>73.220069999999993</v>
      </c>
      <c r="Q130" s="69">
        <f>(75196/10000)*8.7</f>
        <v>65.420519999999996</v>
      </c>
      <c r="R130" s="224">
        <f>P130-Q130</f>
        <v>7.7995499999999964</v>
      </c>
      <c r="S130" s="227">
        <f>R130/8.7*10000/G130</f>
        <v>0.18282859182216776</v>
      </c>
      <c r="T130" s="103">
        <f>R130/8.5*10000/G130</f>
        <v>0.18713044104151288</v>
      </c>
      <c r="U130" s="108"/>
      <c r="X130" s="105">
        <v>2.64</v>
      </c>
      <c r="Y130" s="33">
        <f t="shared" si="47"/>
        <v>129452.40000000001</v>
      </c>
      <c r="AA130" s="166">
        <v>6900.5555556929912</v>
      </c>
      <c r="AB130" s="107"/>
    </row>
    <row r="131" spans="1:28" x14ac:dyDescent="0.3">
      <c r="A131" s="146">
        <v>43454.934027777781</v>
      </c>
      <c r="B131" s="146">
        <v>43456.895833333336</v>
      </c>
      <c r="C131" s="23"/>
      <c r="D131" s="23"/>
      <c r="E131" s="35" t="s">
        <v>38</v>
      </c>
      <c r="F131" s="36"/>
      <c r="G131" s="139">
        <v>63355</v>
      </c>
      <c r="H131" s="139" t="s">
        <v>40</v>
      </c>
      <c r="I131" s="139">
        <v>86157</v>
      </c>
      <c r="J131" s="98">
        <f>G131-I131</f>
        <v>-22802</v>
      </c>
      <c r="K131" s="101">
        <f>'[88]Taipower Prosperity I'!$F$48</f>
        <v>1.9618055555547471</v>
      </c>
      <c r="L131" s="101">
        <f>'[88]Taipower Prosperity I'!$F$48-'[88]Taipower Prosperity I'!$F$44</f>
        <v>1.2274305555511091</v>
      </c>
      <c r="M131" s="102">
        <f>G131/K131</f>
        <v>32294.230088508884</v>
      </c>
      <c r="N131" s="102">
        <f>G131/L131</f>
        <v>51615.954738517954</v>
      </c>
      <c r="O131" s="111">
        <v>30000</v>
      </c>
      <c r="P131" s="69">
        <f>(191520/10000)*8.7</f>
        <v>166.6224</v>
      </c>
      <c r="Q131" s="69">
        <f>(181390/10000)*8.7</f>
        <v>157.80929999999998</v>
      </c>
      <c r="R131" s="224">
        <f>P131-Q131</f>
        <v>8.8131000000000199</v>
      </c>
      <c r="S131" s="227">
        <f>R131/8.7*10000/G131</f>
        <v>0.159892668297688</v>
      </c>
      <c r="T131" s="103">
        <f>R131/8.5*10000/G131</f>
        <v>0.16365484872822181</v>
      </c>
      <c r="U131" s="108"/>
      <c r="X131" s="105">
        <v>2.64</v>
      </c>
      <c r="Y131" s="33">
        <f t="shared" si="47"/>
        <v>167257.20000000001</v>
      </c>
      <c r="AA131" s="166">
        <v>8844.0277778222408</v>
      </c>
      <c r="AB131" s="107"/>
    </row>
    <row r="132" spans="1:28" x14ac:dyDescent="0.3">
      <c r="A132" s="146">
        <v>43457.270833333336</v>
      </c>
      <c r="B132" s="146">
        <v>43460.930555555555</v>
      </c>
      <c r="C132" s="23"/>
      <c r="D132" s="23"/>
      <c r="E132" s="35" t="s">
        <v>35</v>
      </c>
      <c r="F132" s="36"/>
      <c r="G132" s="139">
        <v>66000</v>
      </c>
      <c r="H132" s="139" t="s">
        <v>36</v>
      </c>
      <c r="I132" s="139">
        <v>66000</v>
      </c>
      <c r="J132" s="98">
        <f>G132-I132</f>
        <v>0</v>
      </c>
      <c r="K132" s="101">
        <f>'[88]Andhika Nareswari'!$F$62</f>
        <v>3.6597222222189885</v>
      </c>
      <c r="L132" s="101">
        <f>'[88]Andhika Nareswari'!$F$62-'[88]Andhika Nareswari'!$F$58</f>
        <v>1.5590277777846495</v>
      </c>
      <c r="M132" s="102">
        <f>G132/K132</f>
        <v>18034.155597738896</v>
      </c>
      <c r="N132" s="102">
        <f>G132/L132</f>
        <v>42334.075723644142</v>
      </c>
      <c r="O132" s="111">
        <v>30000</v>
      </c>
      <c r="P132" s="69">
        <f>(180790/10000)*8.7</f>
        <v>157.28729999999999</v>
      </c>
      <c r="Q132" s="69">
        <f>(166165/10000)*8.7</f>
        <v>144.56354999999996</v>
      </c>
      <c r="R132" s="224">
        <f>P132-Q132</f>
        <v>12.723750000000024</v>
      </c>
      <c r="S132" s="227">
        <f>R132/8.7*10000/G132</f>
        <v>0.2215909090909095</v>
      </c>
      <c r="T132" s="103">
        <f>R132/8.5*10000/G132</f>
        <v>0.22680481283422502</v>
      </c>
      <c r="U132" s="108"/>
      <c r="X132" s="105">
        <v>2.64</v>
      </c>
      <c r="Y132" s="33">
        <f t="shared" si="47"/>
        <v>174240</v>
      </c>
      <c r="AA132" s="166">
        <v>6409.7222221535067</v>
      </c>
      <c r="AB132" s="107"/>
    </row>
    <row r="133" spans="1:28" s="237" customFormat="1" x14ac:dyDescent="0.3">
      <c r="A133" s="228">
        <v>43462.3125</v>
      </c>
      <c r="B133" s="228">
        <v>43463.458333333336</v>
      </c>
      <c r="C133" s="70"/>
      <c r="D133" s="70"/>
      <c r="E133" s="71" t="s">
        <v>180</v>
      </c>
      <c r="F133" s="229"/>
      <c r="G133" s="195">
        <f>27682-G134</f>
        <v>19371</v>
      </c>
      <c r="H133" s="195"/>
      <c r="I133" s="195">
        <v>74875</v>
      </c>
      <c r="J133" s="249">
        <f>(G133+G134)-I133</f>
        <v>-47193</v>
      </c>
      <c r="K133" s="101">
        <f>'[88]Odysseas L'!$F$34</f>
        <v>1.1458333333357587</v>
      </c>
      <c r="L133" s="101">
        <f>'[88]Odysseas L'!$F$34-'[88]Odysseas L'!$F$30</f>
        <v>0.85937500000727596</v>
      </c>
      <c r="M133" s="231">
        <f>(G133+G134)/K133</f>
        <v>24158.836363585229</v>
      </c>
      <c r="N133" s="231">
        <f>(G133+G134)/L133</f>
        <v>32211.781817909094</v>
      </c>
      <c r="O133" s="230">
        <v>30000</v>
      </c>
      <c r="P133" s="75">
        <f>(163925/10000)*8.7</f>
        <v>142.61474999999999</v>
      </c>
      <c r="Q133" s="75">
        <f>(157715/10000)*8.7</f>
        <v>137.21204999999998</v>
      </c>
      <c r="R133" s="232">
        <f>P133-Q133</f>
        <v>5.40270000000001</v>
      </c>
      <c r="S133" s="233">
        <f>R133/8.7*10000/(G133+G134)</f>
        <v>0.22433350191460197</v>
      </c>
      <c r="T133" s="234">
        <f>R133/8.5*10000/(G133+G134)</f>
        <v>0.22961193725376908</v>
      </c>
      <c r="U133" s="235"/>
      <c r="V133" s="236"/>
      <c r="X133" s="238">
        <v>2.64</v>
      </c>
      <c r="Y133" s="58">
        <f t="shared" si="47"/>
        <v>51139.44</v>
      </c>
      <c r="Z133" s="239"/>
      <c r="AA133" s="240">
        <v>633.58333326057334</v>
      </c>
      <c r="AB133" s="257"/>
    </row>
    <row r="134" spans="1:28" s="237" customFormat="1" x14ac:dyDescent="0.3">
      <c r="A134" s="228"/>
      <c r="B134" s="228"/>
      <c r="C134" s="70"/>
      <c r="D134" s="70"/>
      <c r="E134" s="71" t="s">
        <v>181</v>
      </c>
      <c r="F134" s="229"/>
      <c r="G134" s="195">
        <v>8311</v>
      </c>
      <c r="H134" s="195"/>
      <c r="I134" s="195"/>
      <c r="J134" s="249"/>
      <c r="K134" s="101"/>
      <c r="L134" s="101"/>
      <c r="M134" s="231"/>
      <c r="N134" s="231"/>
      <c r="O134" s="230"/>
      <c r="P134" s="75"/>
      <c r="Q134" s="75"/>
      <c r="R134" s="232"/>
      <c r="S134" s="233"/>
      <c r="T134" s="234"/>
      <c r="U134" s="235"/>
      <c r="V134" s="236"/>
      <c r="X134" s="238">
        <v>6.5</v>
      </c>
      <c r="Y134" s="58">
        <f t="shared" si="47"/>
        <v>54021.5</v>
      </c>
      <c r="Z134" s="239"/>
      <c r="AA134" s="240"/>
      <c r="AB134" s="257"/>
    </row>
    <row r="135" spans="1:28" x14ac:dyDescent="0.3">
      <c r="E135" s="122" t="s">
        <v>95</v>
      </c>
      <c r="F135" s="123"/>
      <c r="G135" s="170">
        <f>SUM(G122:G134)</f>
        <v>409275</v>
      </c>
      <c r="H135" s="124"/>
      <c r="I135" s="124"/>
      <c r="J135" s="124"/>
      <c r="K135" s="163">
        <f>SUM(K122:K133)</f>
        <v>14.614583333321207</v>
      </c>
      <c r="L135" s="164">
        <f>SUM(L122:L133)</f>
        <v>8.4392361110803904</v>
      </c>
      <c r="M135" s="124"/>
      <c r="N135" s="124"/>
      <c r="O135" s="124"/>
      <c r="P135" s="124"/>
      <c r="Q135" s="124"/>
      <c r="R135" s="126">
        <f>SUM(R122:R134)</f>
        <v>64.96203000000007</v>
      </c>
      <c r="S135" s="127">
        <f>R135/8.7*10000/G135</f>
        <v>0.18244212326675241</v>
      </c>
      <c r="T135" s="124"/>
      <c r="U135" s="124"/>
      <c r="V135" s="129">
        <v>421875</v>
      </c>
      <c r="W135" s="22">
        <f>G135-V135</f>
        <v>-12600</v>
      </c>
      <c r="X135" s="22"/>
      <c r="Y135" s="131">
        <f>SUM(Y122:Y134)</f>
        <v>1216782.6000000001</v>
      </c>
      <c r="Z135" s="131"/>
      <c r="AA135" s="132">
        <f>SUM(AA122:AA133)</f>
        <v>50583.972222529432</v>
      </c>
      <c r="AB135" s="132">
        <f>SUM(AB112:AB124)</f>
        <v>0</v>
      </c>
    </row>
    <row r="136" spans="1:28" x14ac:dyDescent="0.3">
      <c r="A136" s="23"/>
      <c r="B136" s="23"/>
      <c r="C136" s="23"/>
      <c r="D136" s="23"/>
      <c r="E136" s="35"/>
      <c r="F136" s="36"/>
      <c r="G136" s="139"/>
      <c r="H136" s="139"/>
      <c r="I136" s="139"/>
      <c r="J136" s="195"/>
      <c r="K136" s="101"/>
      <c r="L136" s="101"/>
      <c r="M136" s="102"/>
      <c r="N136" s="102"/>
      <c r="O136" s="102"/>
      <c r="P136" s="108"/>
      <c r="Q136" s="108"/>
      <c r="R136" s="108"/>
      <c r="S136" s="108"/>
      <c r="T136" s="108"/>
      <c r="U136" s="108"/>
      <c r="X136" s="258"/>
      <c r="Y136" s="33"/>
      <c r="AA136" s="166"/>
      <c r="AB136" s="107"/>
    </row>
    <row r="137" spans="1:28" x14ac:dyDescent="0.3">
      <c r="A137" s="23"/>
      <c r="B137" s="23"/>
      <c r="C137" s="23"/>
      <c r="D137" s="23"/>
      <c r="E137" s="35"/>
      <c r="F137" s="36"/>
      <c r="G137" s="139"/>
      <c r="H137" s="139"/>
      <c r="I137" s="139"/>
      <c r="J137" s="195"/>
      <c r="K137" s="101"/>
      <c r="L137" s="101"/>
      <c r="M137" s="102"/>
      <c r="N137" s="102"/>
      <c r="O137" s="102"/>
      <c r="P137" s="108"/>
      <c r="Q137" s="108"/>
      <c r="R137" s="108"/>
      <c r="S137" s="108"/>
      <c r="T137" s="108"/>
      <c r="U137" s="108"/>
      <c r="X137" s="258"/>
      <c r="Y137" s="33"/>
      <c r="AA137" s="166"/>
      <c r="AB137" s="107"/>
    </row>
    <row r="138" spans="1:28" x14ac:dyDescent="0.3">
      <c r="E138" s="35" t="s">
        <v>96</v>
      </c>
      <c r="F138" s="36"/>
      <c r="G138" s="139">
        <f>SUM(G18,G25,,G36,G43,G55,G67,G73,G80,G90,G108,G121,G135)</f>
        <v>5090302</v>
      </c>
      <c r="R138" s="89">
        <f>(R121/8.7*10000)/G121</f>
        <v>0.17400072553937615</v>
      </c>
      <c r="S138" s="89"/>
      <c r="T138" s="89"/>
      <c r="U138" s="89"/>
    </row>
    <row r="139" spans="1:28" x14ac:dyDescent="0.3">
      <c r="S139" s="259">
        <f>AVERAGE(S18,S25,S36,S43,S55,S67,S73,S80,S90,S108,S121,S135)</f>
        <v>0.18234943493759137</v>
      </c>
    </row>
    <row r="141" spans="1:28" x14ac:dyDescent="0.3">
      <c r="A141" s="90" t="s">
        <v>98</v>
      </c>
    </row>
    <row r="142" spans="1:28" ht="41.4" x14ac:dyDescent="0.3">
      <c r="A142" s="4" t="s">
        <v>0</v>
      </c>
      <c r="B142" s="4" t="s">
        <v>1</v>
      </c>
      <c r="C142" s="4" t="s">
        <v>2</v>
      </c>
      <c r="D142" s="4" t="s">
        <v>3</v>
      </c>
      <c r="E142" s="5" t="s">
        <v>4</v>
      </c>
      <c r="F142" s="5" t="s">
        <v>5</v>
      </c>
      <c r="G142" s="426" t="s">
        <v>6</v>
      </c>
      <c r="H142" s="426" t="s">
        <v>7</v>
      </c>
      <c r="I142" s="426" t="s">
        <v>8</v>
      </c>
      <c r="J142" s="426" t="s">
        <v>9</v>
      </c>
      <c r="K142" s="426" t="s">
        <v>10</v>
      </c>
      <c r="L142" s="426" t="s">
        <v>11</v>
      </c>
      <c r="M142" s="426" t="s">
        <v>12</v>
      </c>
      <c r="N142" s="426" t="s">
        <v>13</v>
      </c>
      <c r="O142" s="426" t="s">
        <v>14</v>
      </c>
      <c r="P142" s="426" t="s">
        <v>15</v>
      </c>
      <c r="Q142" s="426" t="s">
        <v>16</v>
      </c>
      <c r="R142" s="466" t="s">
        <v>17</v>
      </c>
      <c r="S142" s="426" t="s">
        <v>18</v>
      </c>
      <c r="T142" s="426" t="s">
        <v>19</v>
      </c>
      <c r="U142" s="426" t="s">
        <v>20</v>
      </c>
      <c r="V142" s="426" t="s">
        <v>21</v>
      </c>
      <c r="W142" s="427" t="s">
        <v>22</v>
      </c>
      <c r="X142" s="427" t="s">
        <v>23</v>
      </c>
      <c r="Y142" s="428" t="s">
        <v>24</v>
      </c>
      <c r="Z142" s="428" t="s">
        <v>26</v>
      </c>
      <c r="AA142" s="429" t="s">
        <v>27</v>
      </c>
      <c r="AB142" s="430" t="s">
        <v>28</v>
      </c>
    </row>
    <row r="143" spans="1:28" x14ac:dyDescent="0.3">
      <c r="A143" s="146">
        <v>43464.097222222219</v>
      </c>
      <c r="B143" s="146">
        <v>43466.309027777781</v>
      </c>
      <c r="C143" s="23"/>
      <c r="D143" s="14"/>
      <c r="E143" s="97" t="s">
        <v>103</v>
      </c>
      <c r="F143" s="25" t="s">
        <v>32</v>
      </c>
      <c r="G143" s="467">
        <v>67005</v>
      </c>
      <c r="H143" s="468" t="s">
        <v>36</v>
      </c>
      <c r="I143" s="467">
        <v>67000</v>
      </c>
      <c r="J143" s="454">
        <f>I143-G143</f>
        <v>-5</v>
      </c>
      <c r="K143" s="27">
        <f>'[89]DEWI PARWATI'!$F$65</f>
        <v>2.2118055555620231</v>
      </c>
      <c r="L143" s="27">
        <f>'[89]DEWI PARWATI'!$F$65-'[89]DEWI PARWATI'!$F$61</f>
        <v>1.3888888888638271</v>
      </c>
      <c r="M143" s="434">
        <f>G143/K143</f>
        <v>30294.254317022878</v>
      </c>
      <c r="N143" s="434">
        <f>G143/L143</f>
        <v>48243.60000087053</v>
      </c>
      <c r="O143" s="467">
        <v>30000</v>
      </c>
      <c r="P143" s="69">
        <f>(156625/10000)*8.7</f>
        <v>136.26374999999999</v>
      </c>
      <c r="Q143" s="69">
        <f>(144471/10000)*8.7</f>
        <v>125.68977</v>
      </c>
      <c r="R143" s="455">
        <f>P143-Q143</f>
        <v>10.573979999999992</v>
      </c>
      <c r="S143" s="435">
        <f>R143/8.7*10000/(G143)</f>
        <v>0.18138944854861563</v>
      </c>
      <c r="T143" s="435">
        <f>R143/8.5*10000/(G143)</f>
        <v>0.18565743557328895</v>
      </c>
      <c r="U143" s="103"/>
      <c r="V143" s="26"/>
      <c r="W143" s="437"/>
      <c r="X143" s="436">
        <v>2.64</v>
      </c>
      <c r="Y143" s="33">
        <f t="shared" ref="Y143:Y148" si="48">G143*X143</f>
        <v>176893.2</v>
      </c>
      <c r="Z143" s="33"/>
      <c r="AA143" s="438"/>
      <c r="AB143" s="469"/>
    </row>
    <row r="144" spans="1:28" x14ac:dyDescent="0.3">
      <c r="A144" s="146">
        <v>43469.159722222219</v>
      </c>
      <c r="B144" s="146">
        <v>43472.263888888891</v>
      </c>
      <c r="C144" s="23"/>
      <c r="D144" s="14"/>
      <c r="E144" s="24" t="s">
        <v>326</v>
      </c>
      <c r="F144" s="25" t="s">
        <v>32</v>
      </c>
      <c r="G144" s="434">
        <v>68381</v>
      </c>
      <c r="H144" s="434" t="s">
        <v>33</v>
      </c>
      <c r="I144" s="434">
        <v>68300</v>
      </c>
      <c r="J144" s="454">
        <f>I144-G144</f>
        <v>-81</v>
      </c>
      <c r="K144" s="27">
        <f>'[89]RUI NING 22'!$F$60</f>
        <v>3.1041666666715173</v>
      </c>
      <c r="L144" s="27">
        <f>'[89]RUI NING 22'!$F$60-'[89]RUI NING 22'!$F$56</f>
        <v>1.3038194444404023</v>
      </c>
      <c r="M144" s="434">
        <f>G144/K144</f>
        <v>22028.778523455509</v>
      </c>
      <c r="N144" s="434">
        <f>G144/L144</f>
        <v>52446.679094703206</v>
      </c>
      <c r="O144" s="467">
        <v>30000</v>
      </c>
      <c r="P144" s="69">
        <f>(140091/10000)*8.7</f>
        <v>121.87916999999999</v>
      </c>
      <c r="Q144" s="69">
        <f>(125540/10000)*8.7</f>
        <v>109.21979999999999</v>
      </c>
      <c r="R144" s="455">
        <f>P144-Q144</f>
        <v>12.659369999999996</v>
      </c>
      <c r="S144" s="435">
        <f>R144/8.7*10000/(G144)</f>
        <v>0.21279302730290572</v>
      </c>
      <c r="T144" s="435">
        <f>R144/8.5*10000/(G144)</f>
        <v>0.21779992206297408</v>
      </c>
      <c r="U144" s="103"/>
      <c r="V144" s="26"/>
      <c r="W144" s="24"/>
      <c r="X144" s="436">
        <v>2.64</v>
      </c>
      <c r="Y144" s="33">
        <f t="shared" si="48"/>
        <v>180525.84</v>
      </c>
      <c r="Z144" s="33"/>
      <c r="AA144" s="438"/>
      <c r="AB144" s="469"/>
    </row>
    <row r="145" spans="1:28" x14ac:dyDescent="0.3">
      <c r="A145" s="470">
        <v>43472.760416666664</v>
      </c>
      <c r="B145" s="470">
        <v>43479.78125</v>
      </c>
      <c r="C145" s="471"/>
      <c r="D145" s="472"/>
      <c r="E145" s="473" t="s">
        <v>346</v>
      </c>
      <c r="F145" s="474" t="s">
        <v>39</v>
      </c>
      <c r="G145" s="462">
        <f>79155-G146</f>
        <v>70806</v>
      </c>
      <c r="H145" s="462" t="s">
        <v>199</v>
      </c>
      <c r="I145" s="462">
        <v>79150</v>
      </c>
      <c r="J145" s="475">
        <f>I145-(G145+G146)</f>
        <v>-5</v>
      </c>
      <c r="K145" s="476">
        <f>[89]AENEAS!$F$62</f>
        <v>7.0208333333357587</v>
      </c>
      <c r="L145" s="476">
        <f>[89]AENEAS!$F$62-[89]AENEAS!$F$58</f>
        <v>5.1753472222250521</v>
      </c>
      <c r="M145" s="462">
        <f>(G145+G146)/K145</f>
        <v>11274.30267061925</v>
      </c>
      <c r="N145" s="462">
        <f>(G145+G146)/L145</f>
        <v>15294.6259644331</v>
      </c>
      <c r="O145" s="477">
        <v>30000</v>
      </c>
      <c r="P145" s="69">
        <f>(124710/10000)*8.7</f>
        <v>108.49769999999999</v>
      </c>
      <c r="Q145" s="69">
        <f>(101662/10000)*8.7</f>
        <v>88.445939999999993</v>
      </c>
      <c r="R145" s="455">
        <f>P145-Q145</f>
        <v>20.051760000000002</v>
      </c>
      <c r="S145" s="435">
        <f>R145/8.7*10000/(G145+G146)</f>
        <v>0.29117554165877074</v>
      </c>
      <c r="T145" s="435">
        <f>R145/8.5*10000/(G145+G146)</f>
        <v>0.29802673087427128</v>
      </c>
      <c r="U145" s="103"/>
      <c r="V145" s="26"/>
      <c r="W145" s="24"/>
      <c r="X145" s="436">
        <v>2.64</v>
      </c>
      <c r="Y145" s="33">
        <f t="shared" si="48"/>
        <v>186927.84</v>
      </c>
      <c r="Z145" s="33"/>
      <c r="AA145" s="438"/>
      <c r="AB145" s="469"/>
    </row>
    <row r="146" spans="1:28" x14ac:dyDescent="0.3">
      <c r="A146" s="470"/>
      <c r="B146" s="470"/>
      <c r="C146" s="471"/>
      <c r="D146" s="472"/>
      <c r="E146" s="473" t="s">
        <v>347</v>
      </c>
      <c r="F146" s="474"/>
      <c r="G146" s="462">
        <v>8349</v>
      </c>
      <c r="H146" s="462"/>
      <c r="I146" s="462"/>
      <c r="J146" s="475"/>
      <c r="K146" s="476"/>
      <c r="L146" s="476"/>
      <c r="M146" s="462"/>
      <c r="N146" s="462"/>
      <c r="O146" s="477"/>
      <c r="P146" s="69"/>
      <c r="Q146" s="69"/>
      <c r="R146" s="455"/>
      <c r="S146" s="435"/>
      <c r="T146" s="435"/>
      <c r="U146" s="103"/>
      <c r="V146" s="26"/>
      <c r="W146" s="24"/>
      <c r="X146" s="436">
        <v>6.5</v>
      </c>
      <c r="Y146" s="33">
        <f t="shared" si="48"/>
        <v>54268.5</v>
      </c>
      <c r="Z146" s="33"/>
      <c r="AA146" s="438"/>
      <c r="AB146" s="469"/>
    </row>
    <row r="147" spans="1:28" x14ac:dyDescent="0.3">
      <c r="A147" s="146">
        <v>43480.104166666664</v>
      </c>
      <c r="B147" s="146">
        <v>43482.083333333336</v>
      </c>
      <c r="C147" s="23"/>
      <c r="D147" s="14"/>
      <c r="E147" s="24" t="s">
        <v>164</v>
      </c>
      <c r="F147" s="25" t="s">
        <v>32</v>
      </c>
      <c r="G147" s="434">
        <v>53400</v>
      </c>
      <c r="H147" s="434" t="s">
        <v>33</v>
      </c>
      <c r="I147" s="434">
        <v>53400</v>
      </c>
      <c r="J147" s="454">
        <f>I147-G147</f>
        <v>0</v>
      </c>
      <c r="K147" s="27">
        <f>'[89]HUI ZHI'!$F$52</f>
        <v>1.9791666666715173</v>
      </c>
      <c r="L147" s="27">
        <f>'[89]HUI ZHI'!$F$52-'[89]HUI ZHI'!$F$48</f>
        <v>1.0399305555608103</v>
      </c>
      <c r="M147" s="434">
        <f>G147/K147</f>
        <v>26981.052631512823</v>
      </c>
      <c r="N147" s="434">
        <f>G147/L147</f>
        <v>51349.582637470085</v>
      </c>
      <c r="O147" s="467">
        <v>30000</v>
      </c>
      <c r="P147" s="69">
        <f>(101192/10000)*8.7</f>
        <v>88.03703999999999</v>
      </c>
      <c r="Q147" s="69">
        <f>(91030/10000)*8.7</f>
        <v>79.196099999999987</v>
      </c>
      <c r="R147" s="455">
        <f>P147-Q147</f>
        <v>8.8409400000000034</v>
      </c>
      <c r="S147" s="435">
        <f>R147/8.7*10000/(G147)</f>
        <v>0.19029962546816487</v>
      </c>
      <c r="T147" s="435">
        <f>R147/8.5*10000/(G147)</f>
        <v>0.19477726371447462</v>
      </c>
      <c r="U147" s="103"/>
      <c r="V147" s="18"/>
      <c r="W147" s="15"/>
      <c r="X147" s="436">
        <v>2.64</v>
      </c>
      <c r="Y147" s="33">
        <f t="shared" si="48"/>
        <v>140976</v>
      </c>
      <c r="Z147" s="33"/>
      <c r="AA147" s="438"/>
      <c r="AB147" s="469"/>
    </row>
    <row r="148" spans="1:28" x14ac:dyDescent="0.3">
      <c r="A148" s="146">
        <v>43482.78125</v>
      </c>
      <c r="B148" s="146">
        <v>43484.486111111109</v>
      </c>
      <c r="C148" s="23"/>
      <c r="D148" s="14"/>
      <c r="E148" s="24" t="s">
        <v>348</v>
      </c>
      <c r="F148" s="25" t="s">
        <v>39</v>
      </c>
      <c r="G148" s="434">
        <v>48273</v>
      </c>
      <c r="H148" s="434" t="s">
        <v>33</v>
      </c>
      <c r="I148" s="434">
        <v>75235</v>
      </c>
      <c r="J148" s="454">
        <f>I148-G148</f>
        <v>26962</v>
      </c>
      <c r="K148" s="27">
        <f>'[89]GUANG XIN'!$F$47</f>
        <v>1.7048611111094942</v>
      </c>
      <c r="L148" s="27">
        <f>'[89]GUANG XIN'!$F$47-'[89]GUANG XIN'!$F$43</f>
        <v>0.97222222221777577</v>
      </c>
      <c r="M148" s="434">
        <f>G148/K148</f>
        <v>28314.916496971862</v>
      </c>
      <c r="N148" s="434">
        <f>G148/L148</f>
        <v>49652.228571655658</v>
      </c>
      <c r="O148" s="467">
        <v>30000</v>
      </c>
      <c r="P148" s="69">
        <f>(89840/10000)*8.7</f>
        <v>78.160799999999995</v>
      </c>
      <c r="Q148" s="69">
        <f>(80726/10000)*8.7</f>
        <v>70.231619999999992</v>
      </c>
      <c r="R148" s="455">
        <f>P148-Q148</f>
        <v>7.9291800000000023</v>
      </c>
      <c r="S148" s="435">
        <f>R148/8.7*10000/(G148)</f>
        <v>0.18880119321359773</v>
      </c>
      <c r="T148" s="435">
        <f>R148/8.5*10000/(G148)</f>
        <v>0.19324357423038827</v>
      </c>
      <c r="U148" s="103"/>
      <c r="V148" s="26"/>
      <c r="W148" s="24"/>
      <c r="X148" s="436">
        <v>2.64</v>
      </c>
      <c r="Y148" s="33">
        <f t="shared" si="48"/>
        <v>127440.72</v>
      </c>
      <c r="Z148" s="33"/>
      <c r="AA148" s="438"/>
      <c r="AB148" s="469"/>
    </row>
    <row r="149" spans="1:28" x14ac:dyDescent="0.3">
      <c r="A149" s="470">
        <v>43485.25</v>
      </c>
      <c r="B149" s="470">
        <v>43491.333333333336</v>
      </c>
      <c r="C149" s="471"/>
      <c r="D149" s="472"/>
      <c r="E149" s="478" t="s">
        <v>349</v>
      </c>
      <c r="F149" s="479" t="s">
        <v>32</v>
      </c>
      <c r="G149" s="462">
        <v>71840</v>
      </c>
      <c r="H149" s="480" t="s">
        <v>49</v>
      </c>
      <c r="I149" s="480">
        <v>71840</v>
      </c>
      <c r="J149" s="475">
        <f>I149-G149</f>
        <v>0</v>
      </c>
      <c r="K149" s="481">
        <f>'[89]Flag Zannnis'!$F$58</f>
        <v>6.0833333333357587</v>
      </c>
      <c r="L149" s="481">
        <f>'[89]Flag Zannnis'!$F$58-'[89]Flag Zannnis'!$F$54</f>
        <v>5.168402777801627</v>
      </c>
      <c r="M149" s="462">
        <f>G149/K149</f>
        <v>11809.315068488442</v>
      </c>
      <c r="N149" s="462">
        <f>G149/L149</f>
        <v>13899.845481964749</v>
      </c>
      <c r="O149" s="480">
        <v>30000</v>
      </c>
      <c r="P149" s="69">
        <f>(205049/10000)*8.7</f>
        <v>178.39262999999997</v>
      </c>
      <c r="Q149" s="69">
        <f>(186239/10000)*8.7</f>
        <v>162.02792999999997</v>
      </c>
      <c r="R149" s="455">
        <f>P149-Q149</f>
        <v>16.364699999999999</v>
      </c>
      <c r="S149" s="435">
        <f>R149/8.7*10000/(G149)</f>
        <v>0.26183184855233854</v>
      </c>
      <c r="T149" s="435">
        <f>R149/8.5*10000/(G149)</f>
        <v>0.2679925979300406</v>
      </c>
      <c r="U149" s="103"/>
      <c r="V149" s="26"/>
      <c r="W149" s="24"/>
      <c r="X149" s="436">
        <v>2.64</v>
      </c>
      <c r="Y149" s="33">
        <f>G149*X149</f>
        <v>189657.60000000001</v>
      </c>
      <c r="Z149" s="33"/>
      <c r="AA149" s="452"/>
      <c r="AB149" s="469"/>
    </row>
    <row r="150" spans="1:28" x14ac:dyDescent="0.3">
      <c r="A150" s="146">
        <v>43495.100694444445</v>
      </c>
      <c r="B150" s="146">
        <v>43496.520833333336</v>
      </c>
      <c r="C150" s="23"/>
      <c r="D150" s="14"/>
      <c r="E150" s="109" t="s">
        <v>263</v>
      </c>
      <c r="F150" s="110" t="s">
        <v>39</v>
      </c>
      <c r="G150" s="434">
        <v>33821</v>
      </c>
      <c r="H150" s="449" t="s">
        <v>33</v>
      </c>
      <c r="I150" s="449">
        <v>82165</v>
      </c>
      <c r="J150" s="454">
        <f>I150-(G150+G151+G152)</f>
        <v>33944</v>
      </c>
      <c r="K150" s="448">
        <f>'[89]Leading Glory'!$F$44</f>
        <v>1.4201388888905058</v>
      </c>
      <c r="L150" s="448">
        <f>'[89]Leading Glory'!$F$44-'[89]Leading Glory'!$F$40</f>
        <v>0.91666666666302865</v>
      </c>
      <c r="M150" s="434">
        <f>(G150+G151+G152)/K150</f>
        <v>33955.129584313421</v>
      </c>
      <c r="N150" s="434">
        <f>(G150+G151+G152)/L150</f>
        <v>52604.727272936048</v>
      </c>
      <c r="O150" s="449">
        <v>30000</v>
      </c>
      <c r="P150" s="69">
        <f>(179776/10000)*8.7</f>
        <v>156.40511999999998</v>
      </c>
      <c r="Q150" s="69">
        <f>(171066/10000)*8.7</f>
        <v>148.82741999999999</v>
      </c>
      <c r="R150" s="455">
        <f>P150-Q150</f>
        <v>7.577699999999993</v>
      </c>
      <c r="S150" s="435">
        <f>R150/8.7*10000/(G150+G151+G152)</f>
        <v>0.18062669791169808</v>
      </c>
      <c r="T150" s="435">
        <f>R150/8.5*10000/(G150+G151+G152)</f>
        <v>0.18487673786256154</v>
      </c>
      <c r="U150" s="103"/>
      <c r="V150" s="26"/>
      <c r="W150" s="24"/>
      <c r="X150" s="436">
        <v>2.64</v>
      </c>
      <c r="Y150" s="33">
        <f>G150*X150</f>
        <v>89287.44</v>
      </c>
      <c r="Z150" s="33"/>
      <c r="AA150" s="452"/>
      <c r="AB150" s="469"/>
    </row>
    <row r="151" spans="1:28" x14ac:dyDescent="0.3">
      <c r="A151" s="146"/>
      <c r="B151" s="146"/>
      <c r="C151" s="23"/>
      <c r="D151" s="14"/>
      <c r="E151" s="109" t="s">
        <v>263</v>
      </c>
      <c r="F151" s="110"/>
      <c r="G151" s="434">
        <v>7073</v>
      </c>
      <c r="H151" s="449"/>
      <c r="I151" s="449"/>
      <c r="J151" s="454"/>
      <c r="K151" s="448"/>
      <c r="L151" s="448"/>
      <c r="M151" s="434"/>
      <c r="N151" s="434"/>
      <c r="O151" s="449"/>
      <c r="P151" s="455"/>
      <c r="Q151" s="455"/>
      <c r="R151" s="455"/>
      <c r="S151" s="103"/>
      <c r="T151" s="103"/>
      <c r="U151" s="103"/>
      <c r="V151" s="26"/>
      <c r="W151" s="24"/>
      <c r="X151" s="436">
        <v>2.64</v>
      </c>
      <c r="Y151" s="33">
        <f>G151*X151</f>
        <v>18672.72</v>
      </c>
      <c r="Z151" s="33"/>
      <c r="AA151" s="452"/>
      <c r="AB151" s="469"/>
    </row>
    <row r="152" spans="1:28" x14ac:dyDescent="0.3">
      <c r="A152" s="146"/>
      <c r="B152" s="146"/>
      <c r="C152" s="23"/>
      <c r="D152" s="14"/>
      <c r="E152" s="109" t="s">
        <v>350</v>
      </c>
      <c r="F152" s="110"/>
      <c r="G152" s="434">
        <v>7327</v>
      </c>
      <c r="H152" s="449"/>
      <c r="I152" s="449"/>
      <c r="J152" s="454"/>
      <c r="K152" s="448"/>
      <c r="L152" s="448"/>
      <c r="M152" s="434"/>
      <c r="N152" s="434"/>
      <c r="O152" s="449"/>
      <c r="P152" s="455"/>
      <c r="Q152" s="455"/>
      <c r="R152" s="455"/>
      <c r="S152" s="103"/>
      <c r="T152" s="103"/>
      <c r="U152" s="103"/>
      <c r="V152" s="26"/>
      <c r="W152" s="24"/>
      <c r="X152" s="436">
        <v>6.5</v>
      </c>
      <c r="Y152" s="33">
        <f>G152*X152</f>
        <v>47625.5</v>
      </c>
      <c r="Z152" s="33"/>
      <c r="AA152" s="452"/>
      <c r="AB152" s="469"/>
    </row>
    <row r="153" spans="1:28" x14ac:dyDescent="0.3">
      <c r="A153" s="20"/>
      <c r="B153" s="20"/>
      <c r="C153" s="24">
        <v>1000000002</v>
      </c>
      <c r="D153" s="24"/>
      <c r="E153" s="122" t="s">
        <v>30</v>
      </c>
      <c r="F153" s="123"/>
      <c r="G153" s="482">
        <f>SUM(G143:G152)</f>
        <v>436275</v>
      </c>
      <c r="H153" s="482"/>
      <c r="I153" s="482"/>
      <c r="J153" s="482"/>
      <c r="K153" s="483">
        <f>SUM(K143:K152)</f>
        <v>23.524305555576575</v>
      </c>
      <c r="L153" s="483">
        <f>SUM(L143:L152)</f>
        <v>15.965277777772522</v>
      </c>
      <c r="M153" s="482">
        <f>AVERAGE(G153/K153)</f>
        <v>18545.712177105201</v>
      </c>
      <c r="N153" s="482">
        <f>AVERAGE(N143:N150)</f>
        <v>40498.755574861912</v>
      </c>
      <c r="O153" s="482"/>
      <c r="P153" s="482"/>
      <c r="Q153" s="482"/>
      <c r="R153" s="484">
        <f>SUM(R143:R152)</f>
        <v>83.997629999999987</v>
      </c>
      <c r="S153" s="441">
        <f>R153/8.7*10000/G153</f>
        <v>0.22130307718755371</v>
      </c>
      <c r="T153" s="441">
        <f>R153/8.5*10000/G153</f>
        <v>0.22651020841549613</v>
      </c>
      <c r="U153" s="128">
        <f>(T153-S153)/T153</f>
        <v>2.2988505747126343E-2</v>
      </c>
      <c r="V153" s="485">
        <v>375000</v>
      </c>
      <c r="W153" s="485">
        <f>G153-V153</f>
        <v>61275</v>
      </c>
      <c r="X153" s="130"/>
      <c r="Y153" s="432">
        <f>SUM(Y143:Y152)</f>
        <v>1212275.3599999999</v>
      </c>
      <c r="Z153" s="432"/>
      <c r="AA153" s="432">
        <f>SUM(AA143:AA152)</f>
        <v>0</v>
      </c>
      <c r="AB153" s="446">
        <f>SUM(AB143:AB152)</f>
        <v>0</v>
      </c>
    </row>
    <row r="154" spans="1:28" x14ac:dyDescent="0.3">
      <c r="A154" s="146">
        <v>43496.947916666664</v>
      </c>
      <c r="B154" s="146">
        <v>43498.770833333336</v>
      </c>
      <c r="C154" s="23"/>
      <c r="D154" s="14"/>
      <c r="E154" s="24" t="s">
        <v>351</v>
      </c>
      <c r="F154" s="25" t="s">
        <v>91</v>
      </c>
      <c r="G154" s="434">
        <v>56838</v>
      </c>
      <c r="H154" s="434" t="s">
        <v>49</v>
      </c>
      <c r="I154" s="434">
        <v>75200</v>
      </c>
      <c r="J154" s="454">
        <f>G154-I154</f>
        <v>-18362</v>
      </c>
      <c r="K154" s="27">
        <f t="shared" ref="K154:K166" si="49">B154-A154</f>
        <v>1.8229166666715173</v>
      </c>
      <c r="L154" s="27">
        <f>'[90]Aquamarie '!$F$79</f>
        <v>1.180555555572937</v>
      </c>
      <c r="M154" s="434">
        <f>G154/K154</f>
        <v>31179.702857059889</v>
      </c>
      <c r="N154" s="434">
        <f>G154/L154</f>
        <v>48145.129411055859</v>
      </c>
      <c r="O154" s="467">
        <v>30000</v>
      </c>
      <c r="P154" s="69">
        <f>(170346/10000)*8.7</f>
        <v>148.20102</v>
      </c>
      <c r="Q154" s="69">
        <f>(159476/10000)*8.7</f>
        <v>138.74411999999998</v>
      </c>
      <c r="R154" s="455">
        <f>P154-Q154</f>
        <v>9.4569000000000187</v>
      </c>
      <c r="S154" s="435">
        <f>R154/8.7*10000/(G154)</f>
        <v>0.19124529364157819</v>
      </c>
      <c r="T154" s="435">
        <f>R154/8.5*10000/(G154)</f>
        <v>0.19574518290373297</v>
      </c>
      <c r="U154" s="103"/>
      <c r="V154" s="133"/>
      <c r="W154" s="437"/>
      <c r="X154" s="436">
        <v>2.64</v>
      </c>
      <c r="Y154" s="33">
        <f t="shared" ref="Y154:Y166" si="50">G154*X154</f>
        <v>150052.32</v>
      </c>
      <c r="Z154" s="33"/>
      <c r="AA154" s="438"/>
      <c r="AB154" s="469"/>
    </row>
    <row r="155" spans="1:28" x14ac:dyDescent="0.3">
      <c r="A155" s="146">
        <v>43499.552083333336</v>
      </c>
      <c r="B155" s="146">
        <v>43500.065972222219</v>
      </c>
      <c r="C155" s="23"/>
      <c r="D155" s="14"/>
      <c r="E155" s="24" t="s">
        <v>352</v>
      </c>
      <c r="F155" s="25" t="s">
        <v>32</v>
      </c>
      <c r="G155" s="434">
        <v>20535</v>
      </c>
      <c r="H155" s="434" t="s">
        <v>49</v>
      </c>
      <c r="I155" s="434">
        <v>73500</v>
      </c>
      <c r="J155" s="454">
        <f>G155-I155</f>
        <v>-52965</v>
      </c>
      <c r="K155" s="27">
        <f t="shared" si="49"/>
        <v>0.51388888888322981</v>
      </c>
      <c r="L155" s="27">
        <f>'[90]Reborn '!$F$41</f>
        <v>0.38715277776645962</v>
      </c>
      <c r="M155" s="434">
        <f>G155/K155</f>
        <v>39960.00000044005</v>
      </c>
      <c r="N155" s="434">
        <f>G155/L155</f>
        <v>53041.076234734479</v>
      </c>
      <c r="O155" s="467">
        <v>30000</v>
      </c>
      <c r="P155" s="69">
        <f>(158066/10000)*8.7</f>
        <v>137.51741999999999</v>
      </c>
      <c r="Q155" s="69">
        <f>(153586/10000)*8.7</f>
        <v>133.61981999999998</v>
      </c>
      <c r="R155" s="455">
        <f>P155-Q155</f>
        <v>3.8976000000000113</v>
      </c>
      <c r="S155" s="435">
        <f>R155/8.7*10000/(G155)</f>
        <v>0.21816411005600261</v>
      </c>
      <c r="T155" s="435">
        <f>R155/8.5*10000/(G155)</f>
        <v>0.22329738323379086</v>
      </c>
      <c r="U155" s="103"/>
      <c r="V155" s="133"/>
      <c r="W155" s="24"/>
      <c r="X155" s="436">
        <v>2.64</v>
      </c>
      <c r="Y155" s="33">
        <f t="shared" si="50"/>
        <v>54212.4</v>
      </c>
      <c r="Z155" s="33"/>
      <c r="AA155" s="438"/>
      <c r="AB155" s="469"/>
    </row>
    <row r="156" spans="1:28" x14ac:dyDescent="0.3">
      <c r="A156" s="146">
        <v>43500.555555555555</v>
      </c>
      <c r="B156" s="146">
        <v>43502.881944444445</v>
      </c>
      <c r="C156" s="23"/>
      <c r="D156" s="14"/>
      <c r="E156" s="24" t="s">
        <v>317</v>
      </c>
      <c r="F156" s="25" t="s">
        <v>32</v>
      </c>
      <c r="G156" s="434">
        <v>67042</v>
      </c>
      <c r="H156" s="434" t="s">
        <v>36</v>
      </c>
      <c r="I156" s="434">
        <v>67000</v>
      </c>
      <c r="J156" s="454">
        <f>G156-I156</f>
        <v>42</v>
      </c>
      <c r="K156" s="27">
        <f t="shared" si="49"/>
        <v>2.3263888888905058</v>
      </c>
      <c r="L156" s="27">
        <f>'[90]Kartini Samudra '!$F$130</f>
        <v>1.3281250000060634</v>
      </c>
      <c r="M156" s="434">
        <f>G156/K156</f>
        <v>28818.053731323256</v>
      </c>
      <c r="N156" s="434">
        <f>G156/L156</f>
        <v>50478.682352710726</v>
      </c>
      <c r="O156" s="467">
        <v>30000</v>
      </c>
      <c r="P156" s="69">
        <f>(152746/10000)*8.7</f>
        <v>132.88901999999999</v>
      </c>
      <c r="Q156" s="69">
        <f>(140296/10000)*8.7</f>
        <v>122.05752</v>
      </c>
      <c r="R156" s="455">
        <f>P156-Q156</f>
        <v>10.831499999999991</v>
      </c>
      <c r="S156" s="435">
        <f>R156/8.7*10000/(G156)</f>
        <v>0.18570448375645102</v>
      </c>
      <c r="T156" s="435">
        <f>R156/8.5*10000/(G156)</f>
        <v>0.19007400102130867</v>
      </c>
      <c r="U156" s="103"/>
      <c r="V156" s="133"/>
      <c r="W156" s="24"/>
      <c r="X156" s="436">
        <v>2.64</v>
      </c>
      <c r="Y156" s="33">
        <f t="shared" si="50"/>
        <v>176990.88</v>
      </c>
      <c r="Z156" s="33"/>
      <c r="AA156" s="438"/>
      <c r="AB156" s="469"/>
    </row>
    <row r="157" spans="1:28" x14ac:dyDescent="0.3">
      <c r="A157" s="146">
        <v>43503.625</v>
      </c>
      <c r="B157" s="146">
        <v>43504.993055555555</v>
      </c>
      <c r="C157" s="23"/>
      <c r="D157" s="14"/>
      <c r="E157" s="35" t="s">
        <v>353</v>
      </c>
      <c r="F157" s="36" t="s">
        <v>32</v>
      </c>
      <c r="G157" s="434">
        <f>38026-G158</f>
        <v>35134</v>
      </c>
      <c r="H157" s="434" t="s">
        <v>33</v>
      </c>
      <c r="I157" s="434">
        <v>68230</v>
      </c>
      <c r="J157" s="454">
        <f>(G157+G158)-I157</f>
        <v>-30204</v>
      </c>
      <c r="K157" s="27">
        <f t="shared" si="49"/>
        <v>1.3680555555547471</v>
      </c>
      <c r="L157" s="27">
        <f>'[90]Shandong Hai Yao '!$F$72</f>
        <v>0.7065972222286897</v>
      </c>
      <c r="M157" s="434">
        <f>(G157+G158)/K157</f>
        <v>27795.654822351451</v>
      </c>
      <c r="N157" s="434">
        <f>(G157+G158)/L157</f>
        <v>53815.665847173274</v>
      </c>
      <c r="O157" s="467">
        <v>30000</v>
      </c>
      <c r="P157" s="69">
        <f>(138576/10000)*8.7</f>
        <v>120.56111999999999</v>
      </c>
      <c r="Q157" s="69">
        <f>(131638/10000)*8.7</f>
        <v>114.52506</v>
      </c>
      <c r="R157" s="455">
        <f>P157-Q157</f>
        <v>6.036059999999992</v>
      </c>
      <c r="S157" s="435">
        <f>R157/8.7*10000/(G157+G158)</f>
        <v>0.18245411034555281</v>
      </c>
      <c r="T157" s="435">
        <f>R157/8.5*10000/(G157+G158)</f>
        <v>0.18674714823603639</v>
      </c>
      <c r="U157" s="103"/>
      <c r="V157" s="133"/>
      <c r="W157" s="24"/>
      <c r="X157" s="436">
        <v>2.64</v>
      </c>
      <c r="Y157" s="33">
        <f t="shared" si="50"/>
        <v>92753.760000000009</v>
      </c>
      <c r="Z157" s="33"/>
      <c r="AA157" s="438"/>
      <c r="AB157" s="469"/>
    </row>
    <row r="158" spans="1:28" x14ac:dyDescent="0.3">
      <c r="A158" s="146"/>
      <c r="B158" s="146"/>
      <c r="C158" s="23"/>
      <c r="D158" s="14"/>
      <c r="E158" s="35" t="s">
        <v>354</v>
      </c>
      <c r="F158" s="36"/>
      <c r="G158" s="434">
        <v>2892</v>
      </c>
      <c r="H158" s="434"/>
      <c r="I158" s="434"/>
      <c r="J158" s="454"/>
      <c r="K158" s="27"/>
      <c r="L158" s="27"/>
      <c r="M158" s="434"/>
      <c r="N158" s="434"/>
      <c r="O158" s="467"/>
      <c r="P158" s="69"/>
      <c r="Q158" s="69"/>
      <c r="R158" s="455"/>
      <c r="S158" s="435"/>
      <c r="T158" s="435"/>
      <c r="U158" s="103"/>
      <c r="V158" s="133"/>
      <c r="W158" s="24"/>
      <c r="X158" s="436">
        <v>6.5</v>
      </c>
      <c r="Y158" s="33">
        <f t="shared" si="50"/>
        <v>18798</v>
      </c>
      <c r="Z158" s="33"/>
      <c r="AA158" s="438"/>
      <c r="AB158" s="469"/>
    </row>
    <row r="159" spans="1:28" x14ac:dyDescent="0.3">
      <c r="A159" s="146">
        <v>43505.260416666664</v>
      </c>
      <c r="B159" s="146">
        <v>43509.381944444445</v>
      </c>
      <c r="C159" s="23"/>
      <c r="D159" s="23"/>
      <c r="E159" s="35" t="s">
        <v>355</v>
      </c>
      <c r="F159" s="36" t="s">
        <v>32</v>
      </c>
      <c r="G159" s="434">
        <v>77700</v>
      </c>
      <c r="H159" s="434" t="s">
        <v>49</v>
      </c>
      <c r="I159" s="434">
        <v>77700</v>
      </c>
      <c r="J159" s="454">
        <f>G159-I159</f>
        <v>0</v>
      </c>
      <c r="K159" s="27">
        <f t="shared" si="49"/>
        <v>4.1215277777810115</v>
      </c>
      <c r="L159" s="27">
        <f>'[90]Adam 1 '!$F$125</f>
        <v>1.5052083333272701</v>
      </c>
      <c r="M159" s="434">
        <f>G159/K159</f>
        <v>18852.232518940556</v>
      </c>
      <c r="N159" s="434">
        <f>G159/L159</f>
        <v>51620.761245882677</v>
      </c>
      <c r="O159" s="467">
        <v>30000</v>
      </c>
      <c r="P159" s="69">
        <f>(131048/10000)*8.7</f>
        <v>114.01175999999998</v>
      </c>
      <c r="Q159" s="69">
        <f>(114438/10000)*8.7</f>
        <v>99.561059999999983</v>
      </c>
      <c r="R159" s="455">
        <f>P159-Q159</f>
        <v>14.450699999999998</v>
      </c>
      <c r="S159" s="435">
        <f>R159/8.7*10000/(G159)</f>
        <v>0.21377091377091373</v>
      </c>
      <c r="T159" s="435">
        <f>R159/8.5*10000/(G159)</f>
        <v>0.218800817624347</v>
      </c>
      <c r="U159" s="486"/>
      <c r="V159" s="133"/>
      <c r="W159" s="24"/>
      <c r="X159" s="436">
        <v>2.64</v>
      </c>
      <c r="Y159" s="33">
        <f t="shared" si="50"/>
        <v>205128</v>
      </c>
      <c r="Z159" s="33"/>
      <c r="AA159" s="438"/>
      <c r="AB159" s="469"/>
    </row>
    <row r="160" spans="1:28" x14ac:dyDescent="0.3">
      <c r="A160" s="146">
        <v>43510.715277777781</v>
      </c>
      <c r="B160" s="146">
        <v>43513.291666666664</v>
      </c>
      <c r="C160" s="23"/>
      <c r="D160" s="23"/>
      <c r="E160" s="35" t="s">
        <v>356</v>
      </c>
      <c r="F160" s="36" t="s">
        <v>91</v>
      </c>
      <c r="G160" s="434">
        <v>83809</v>
      </c>
      <c r="H160" s="434" t="s">
        <v>49</v>
      </c>
      <c r="I160" s="434">
        <v>166650</v>
      </c>
      <c r="J160" s="454">
        <f>G160-I160</f>
        <v>-82841</v>
      </c>
      <c r="K160" s="27">
        <f t="shared" si="49"/>
        <v>2.5763888888832298</v>
      </c>
      <c r="L160" s="27">
        <f>'[90]NSU Lodestar'!$F$107</f>
        <v>1.6232638888892932</v>
      </c>
      <c r="M160" s="434">
        <f>G160/K160</f>
        <v>32529.638814087626</v>
      </c>
      <c r="N160" s="434">
        <f>G160/L160</f>
        <v>51629.929411751844</v>
      </c>
      <c r="O160" s="467">
        <v>30000</v>
      </c>
      <c r="P160" s="69">
        <f>(110529/10000)*8.7</f>
        <v>96.160229999999984</v>
      </c>
      <c r="Q160" s="69">
        <f>(95889/10000)*8.7</f>
        <v>83.423429999999996</v>
      </c>
      <c r="R160" s="455">
        <f>P160-Q160</f>
        <v>12.736799999999988</v>
      </c>
      <c r="S160" s="435">
        <f>R160/8.7*10000/(G160)</f>
        <v>0.17468290995000524</v>
      </c>
      <c r="T160" s="435">
        <f>R160/8.5*10000/(G160)</f>
        <v>0.17879309606647589</v>
      </c>
      <c r="U160" s="486"/>
      <c r="V160" s="133"/>
      <c r="W160" s="24"/>
      <c r="X160" s="436">
        <v>2.64</v>
      </c>
      <c r="Y160" s="33">
        <f t="shared" si="50"/>
        <v>221255.76</v>
      </c>
      <c r="Z160" s="33"/>
      <c r="AA160" s="438"/>
      <c r="AB160" s="469"/>
    </row>
    <row r="161" spans="1:28" x14ac:dyDescent="0.3">
      <c r="A161" s="146">
        <v>43514.034722222219</v>
      </c>
      <c r="B161" s="146">
        <v>43517.041666666664</v>
      </c>
      <c r="C161" s="23"/>
      <c r="D161" s="23"/>
      <c r="E161" s="35" t="s">
        <v>357</v>
      </c>
      <c r="F161" s="36" t="s">
        <v>32</v>
      </c>
      <c r="G161" s="434">
        <v>31050</v>
      </c>
      <c r="H161" s="434" t="s">
        <v>49</v>
      </c>
      <c r="I161" s="434">
        <v>76330</v>
      </c>
      <c r="J161" s="454">
        <f>(G161+G162)-I161</f>
        <v>0</v>
      </c>
      <c r="K161" s="27">
        <f t="shared" si="49"/>
        <v>3.0069444444452529</v>
      </c>
      <c r="L161" s="27">
        <f>'[90]Clipper Viking'!$F$130</f>
        <v>1.4670138888565514</v>
      </c>
      <c r="M161" s="434">
        <f>(G161+G162)/K161</f>
        <v>25384.572748261075</v>
      </c>
      <c r="N161" s="434">
        <f>(G161+G162)/L161</f>
        <v>52030.863906472361</v>
      </c>
      <c r="O161" s="467">
        <v>30000</v>
      </c>
      <c r="P161" s="69">
        <f>(94839/10000)*8.7</f>
        <v>82.509929999999997</v>
      </c>
      <c r="Q161" s="69">
        <f>(80094/10000)*8.7</f>
        <v>69.681779999999989</v>
      </c>
      <c r="R161" s="455">
        <f>P161-Q161</f>
        <v>12.828150000000008</v>
      </c>
      <c r="S161" s="435">
        <f>R161/8.7*10000/(G161+G162)</f>
        <v>0.193174374426831</v>
      </c>
      <c r="T161" s="435">
        <f>R161/8.5*10000/(G161+G162)</f>
        <v>0.19771965382510936</v>
      </c>
      <c r="U161" s="486"/>
      <c r="V161" s="133"/>
      <c r="W161" s="24"/>
      <c r="X161" s="436">
        <v>2.64</v>
      </c>
      <c r="Y161" s="33">
        <f t="shared" si="50"/>
        <v>81972</v>
      </c>
      <c r="Z161" s="33"/>
      <c r="AA161" s="438"/>
      <c r="AB161" s="469"/>
    </row>
    <row r="162" spans="1:28" x14ac:dyDescent="0.3">
      <c r="A162" s="146"/>
      <c r="B162" s="146"/>
      <c r="C162" s="23"/>
      <c r="D162" s="23"/>
      <c r="E162" s="35" t="s">
        <v>357</v>
      </c>
      <c r="F162" s="36"/>
      <c r="G162" s="434">
        <v>45280</v>
      </c>
      <c r="H162" s="434"/>
      <c r="I162" s="434"/>
      <c r="J162" s="454"/>
      <c r="K162" s="27"/>
      <c r="L162" s="27"/>
      <c r="M162" s="434"/>
      <c r="N162" s="434"/>
      <c r="O162" s="467"/>
      <c r="P162" s="69"/>
      <c r="Q162" s="69"/>
      <c r="R162" s="455"/>
      <c r="S162" s="435"/>
      <c r="T162" s="435"/>
      <c r="U162" s="486"/>
      <c r="V162" s="133"/>
      <c r="W162" s="24"/>
      <c r="X162" s="436">
        <v>2.64</v>
      </c>
      <c r="Y162" s="33">
        <f t="shared" si="50"/>
        <v>119539.20000000001</v>
      </c>
      <c r="Z162" s="33"/>
      <c r="AA162" s="438"/>
      <c r="AB162" s="469"/>
    </row>
    <row r="163" spans="1:28" x14ac:dyDescent="0.3">
      <c r="A163" s="146">
        <v>43518.777777777781</v>
      </c>
      <c r="B163" s="146">
        <v>43520.427083333336</v>
      </c>
      <c r="C163" s="23"/>
      <c r="D163" s="23"/>
      <c r="E163" s="35" t="s">
        <v>358</v>
      </c>
      <c r="F163" s="36" t="s">
        <v>32</v>
      </c>
      <c r="G163" s="434">
        <f>44531-G164</f>
        <v>36424</v>
      </c>
      <c r="H163" s="434" t="s">
        <v>49</v>
      </c>
      <c r="I163" s="434">
        <v>73380</v>
      </c>
      <c r="J163" s="454">
        <f>(G163+G164)-I163</f>
        <v>-28849</v>
      </c>
      <c r="K163" s="27">
        <f t="shared" si="49"/>
        <v>1.6493055555547471</v>
      </c>
      <c r="L163" s="27">
        <f>'[90]AP Libertas'!$F$82</f>
        <v>1.0190972222323278</v>
      </c>
      <c r="M163" s="434">
        <f>(G163+G164)/K163</f>
        <v>26999.848421065864</v>
      </c>
      <c r="N163" s="434">
        <f>(G163+G164)/L163</f>
        <v>43696.517887130583</v>
      </c>
      <c r="O163" s="467">
        <v>30000</v>
      </c>
      <c r="P163" s="69">
        <f>(76634/10000)*8.7</f>
        <v>66.671579999999992</v>
      </c>
      <c r="Q163" s="69">
        <f>(67364/10000)*8.7</f>
        <v>58.60667999999999</v>
      </c>
      <c r="R163" s="455">
        <f>P163-Q163</f>
        <v>8.0649000000000015</v>
      </c>
      <c r="S163" s="435">
        <f>R163/8.7*10000/(G163+G164)</f>
        <v>0.20816958972401253</v>
      </c>
      <c r="T163" s="435">
        <f>R163/8.5*10000/(G163+G164)</f>
        <v>0.21306769771751871</v>
      </c>
      <c r="U163" s="486"/>
      <c r="V163" s="133"/>
      <c r="W163" s="24"/>
      <c r="X163" s="436">
        <v>2.64</v>
      </c>
      <c r="Y163" s="33">
        <f t="shared" si="50"/>
        <v>96159.360000000001</v>
      </c>
      <c r="Z163" s="33"/>
      <c r="AA163" s="438"/>
      <c r="AB163" s="469"/>
    </row>
    <row r="164" spans="1:28" x14ac:dyDescent="0.3">
      <c r="A164" s="146"/>
      <c r="B164" s="146"/>
      <c r="C164" s="23"/>
      <c r="D164" s="23"/>
      <c r="E164" s="35" t="s">
        <v>359</v>
      </c>
      <c r="F164" s="36"/>
      <c r="G164" s="434">
        <v>8107</v>
      </c>
      <c r="H164" s="434" t="s">
        <v>49</v>
      </c>
      <c r="I164" s="434"/>
      <c r="J164" s="454"/>
      <c r="K164" s="27"/>
      <c r="L164" s="27"/>
      <c r="M164" s="434"/>
      <c r="N164" s="434"/>
      <c r="O164" s="467"/>
      <c r="P164" s="69"/>
      <c r="Q164" s="69"/>
      <c r="R164" s="455"/>
      <c r="S164" s="435"/>
      <c r="T164" s="435"/>
      <c r="U164" s="486"/>
      <c r="V164" s="133"/>
      <c r="W164" s="24"/>
      <c r="X164" s="436">
        <v>6.5</v>
      </c>
      <c r="Y164" s="33">
        <f t="shared" si="50"/>
        <v>52695.5</v>
      </c>
      <c r="Z164" s="33"/>
      <c r="AA164" s="438"/>
      <c r="AB164" s="469"/>
    </row>
    <row r="165" spans="1:28" x14ac:dyDescent="0.3">
      <c r="A165" s="146">
        <v>43521.513888888891</v>
      </c>
      <c r="B165" s="146">
        <v>43523.881944444445</v>
      </c>
      <c r="C165" s="23"/>
      <c r="D165" s="23"/>
      <c r="E165" s="35" t="s">
        <v>360</v>
      </c>
      <c r="F165" s="36" t="s">
        <v>39</v>
      </c>
      <c r="G165" s="434">
        <v>74780</v>
      </c>
      <c r="H165" s="434" t="s">
        <v>49</v>
      </c>
      <c r="I165" s="434">
        <v>74780</v>
      </c>
      <c r="J165" s="454">
        <f>(G165+G166)-I165</f>
        <v>22706</v>
      </c>
      <c r="K165" s="27">
        <f t="shared" si="49"/>
        <v>2.3680555555547471</v>
      </c>
      <c r="L165" s="27">
        <f>'[90]Cape Kennerdy'!$F$100</f>
        <v>1.434027777772523</v>
      </c>
      <c r="M165" s="434">
        <f>G165/K165</f>
        <v>31578.651026403742</v>
      </c>
      <c r="N165" s="434">
        <f>G165/L165</f>
        <v>52146.828087358153</v>
      </c>
      <c r="O165" s="467">
        <v>30000</v>
      </c>
      <c r="P165" s="69">
        <f>(183234/10000)*8.7</f>
        <v>159.41358</v>
      </c>
      <c r="Q165" s="69">
        <f>(170377/10000)*8.7</f>
        <v>148.22799000000001</v>
      </c>
      <c r="R165" s="455">
        <f>P165-Q165</f>
        <v>11.185589999999991</v>
      </c>
      <c r="S165" s="435">
        <f>R165/8.7*10000/(G165)</f>
        <v>0.17193099759293914</v>
      </c>
      <c r="T165" s="435">
        <f>R165/8.5*10000/(G165)</f>
        <v>0.17597643283042005</v>
      </c>
      <c r="U165" s="486"/>
      <c r="V165" s="133"/>
      <c r="W165" s="24"/>
      <c r="X165" s="436">
        <v>2.64</v>
      </c>
      <c r="Y165" s="33">
        <f t="shared" si="50"/>
        <v>197419.2</v>
      </c>
      <c r="Z165" s="33"/>
      <c r="AA165" s="438"/>
      <c r="AB165" s="469"/>
    </row>
    <row r="166" spans="1:28" x14ac:dyDescent="0.3">
      <c r="A166" s="146">
        <v>43524.142361111109</v>
      </c>
      <c r="B166" s="146">
        <v>43524.993055555555</v>
      </c>
      <c r="C166" s="23"/>
      <c r="D166" s="23"/>
      <c r="E166" s="35" t="s">
        <v>50</v>
      </c>
      <c r="F166" s="36" t="s">
        <v>32</v>
      </c>
      <c r="G166" s="434">
        <v>22706</v>
      </c>
      <c r="H166" s="434" t="s">
        <v>33</v>
      </c>
      <c r="I166" s="434">
        <v>74005</v>
      </c>
      <c r="J166" s="454">
        <f>(G166)-I166</f>
        <v>-51299</v>
      </c>
      <c r="K166" s="27">
        <f t="shared" si="49"/>
        <v>0.85069444444525288</v>
      </c>
      <c r="L166" s="27">
        <f>'[90]Tuo Fu 11'!$F$47</f>
        <v>0.44965277776645962</v>
      </c>
      <c r="M166" s="434">
        <f>G166/K166</f>
        <v>26691.134693852186</v>
      </c>
      <c r="N166" s="434">
        <f>G166/L166</f>
        <v>50496.741314012361</v>
      </c>
      <c r="O166" s="467">
        <v>30000</v>
      </c>
      <c r="P166" s="69">
        <f>(170017/10000)*8.7</f>
        <v>147.91478999999998</v>
      </c>
      <c r="Q166" s="69">
        <f>(165371/10000)*8.7</f>
        <v>143.87276999999997</v>
      </c>
      <c r="R166" s="455">
        <f>P166-Q166</f>
        <v>4.0420200000000079</v>
      </c>
      <c r="S166" s="435">
        <f>R166/8.7*10000/(G166)</f>
        <v>0.20461552012683917</v>
      </c>
      <c r="T166" s="435">
        <f>R166/8.5*10000/(G166)</f>
        <v>0.20943000295335296</v>
      </c>
      <c r="U166" s="486"/>
      <c r="V166" s="133"/>
      <c r="W166" s="24"/>
      <c r="X166" s="436">
        <v>2.64</v>
      </c>
      <c r="Y166" s="33">
        <f t="shared" si="50"/>
        <v>59943.840000000004</v>
      </c>
      <c r="Z166" s="33"/>
      <c r="AA166" s="438"/>
      <c r="AB166" s="469"/>
    </row>
    <row r="167" spans="1:28" x14ac:dyDescent="0.3">
      <c r="A167" s="24"/>
      <c r="B167" s="24"/>
      <c r="C167" s="24">
        <v>1000000008</v>
      </c>
      <c r="D167" s="24"/>
      <c r="E167" s="122" t="s">
        <v>37</v>
      </c>
      <c r="F167" s="123"/>
      <c r="G167" s="482">
        <f>SUM(G154:G166)</f>
        <v>562297</v>
      </c>
      <c r="H167" s="482"/>
      <c r="I167" s="482"/>
      <c r="J167" s="482"/>
      <c r="K167" s="483">
        <f>SUM(K154:K166)</f>
        <v>20.604166666664241</v>
      </c>
      <c r="L167" s="483">
        <f>SUM(L154:L166)</f>
        <v>11.100694444418574</v>
      </c>
      <c r="M167" s="482">
        <f>G167/K167</f>
        <v>27290.45096056944</v>
      </c>
      <c r="N167" s="482">
        <f>AVERAGE(N154:N166)</f>
        <v>50710.219569828238</v>
      </c>
      <c r="O167" s="482"/>
      <c r="P167" s="482"/>
      <c r="Q167" s="482"/>
      <c r="R167" s="484">
        <f>SUM(R154:R166)</f>
        <v>93.530220000000014</v>
      </c>
      <c r="S167" s="441">
        <f>R167/8.7*10000/G167</f>
        <v>0.19119077640464027</v>
      </c>
      <c r="T167" s="441">
        <f>R167/8.5*10000/G167</f>
        <v>0.19568938290827886</v>
      </c>
      <c r="U167" s="128">
        <f>(T167-S167)/T167</f>
        <v>2.2988505747126419E-2</v>
      </c>
      <c r="V167" s="485">
        <v>375000</v>
      </c>
      <c r="W167" s="485">
        <f>G167-V167</f>
        <v>187297</v>
      </c>
      <c r="X167" s="130"/>
      <c r="Y167" s="432">
        <f>SUM(Y154:Y166)</f>
        <v>1526920.2200000002</v>
      </c>
      <c r="Z167" s="432"/>
      <c r="AA167" s="432">
        <f>SUM(AA154:AA157)</f>
        <v>0</v>
      </c>
      <c r="AB167" s="446">
        <f>SUM(AB154:AB157)</f>
        <v>0</v>
      </c>
    </row>
    <row r="168" spans="1:28" x14ac:dyDescent="0.3">
      <c r="A168" s="146">
        <v>43527.291666666664</v>
      </c>
      <c r="B168" s="146">
        <v>43533.395833333336</v>
      </c>
      <c r="C168" s="23"/>
      <c r="D168" s="25"/>
      <c r="E168" s="35" t="s">
        <v>361</v>
      </c>
      <c r="F168" s="36" t="s">
        <v>91</v>
      </c>
      <c r="G168" s="433">
        <f>163120-G169-G170</f>
        <v>153757</v>
      </c>
      <c r="H168" s="433" t="s">
        <v>49</v>
      </c>
      <c r="I168" s="433">
        <v>161380</v>
      </c>
      <c r="J168" s="454">
        <f>(G168+G169+G170)-I168</f>
        <v>1740</v>
      </c>
      <c r="K168" s="27">
        <f>B168-A168</f>
        <v>6.1041666666715173</v>
      </c>
      <c r="L168" s="27">
        <f>'[91]Cape Elise'!$F$233</f>
        <v>3.593750000031529</v>
      </c>
      <c r="M168" s="434">
        <f>(G168+G169+G170)/K168</f>
        <v>26722.730375405386</v>
      </c>
      <c r="N168" s="434">
        <f>(G168+G169+G170)/L168</f>
        <v>45389.913043080043</v>
      </c>
      <c r="O168" s="467">
        <v>30000</v>
      </c>
      <c r="P168" s="69">
        <f>(160821/10000)*8.7</f>
        <v>139.91426999999999</v>
      </c>
      <c r="Q168" s="69">
        <f>(127850/10000)*8.7</f>
        <v>111.22949999999999</v>
      </c>
      <c r="R168" s="455">
        <f>P168-Q168</f>
        <v>28.68477</v>
      </c>
      <c r="S168" s="435">
        <f>R168/8.7*10000/(G168+G169+G170)</f>
        <v>0.20212726826875921</v>
      </c>
      <c r="T168" s="435">
        <f>R168/8.5*10000/(G168+G169+G170)</f>
        <v>0.20688320399273</v>
      </c>
      <c r="U168" s="103"/>
      <c r="V168" s="487"/>
      <c r="W168" s="141"/>
      <c r="X168" s="436">
        <v>2.64</v>
      </c>
      <c r="Y168" s="33">
        <f t="shared" ref="Y168:Y176" si="51">G168*X168</f>
        <v>405918.48000000004</v>
      </c>
      <c r="Z168" s="33"/>
      <c r="AA168" s="469"/>
      <c r="AB168" s="469"/>
    </row>
    <row r="169" spans="1:28" x14ac:dyDescent="0.3">
      <c r="A169" s="146"/>
      <c r="B169" s="146"/>
      <c r="C169" s="23"/>
      <c r="D169" s="25"/>
      <c r="E169" s="35" t="s">
        <v>362</v>
      </c>
      <c r="F169" s="36"/>
      <c r="G169" s="433">
        <v>1326</v>
      </c>
      <c r="H169" s="433"/>
      <c r="I169" s="433"/>
      <c r="J169" s="454"/>
      <c r="K169" s="27"/>
      <c r="L169" s="27"/>
      <c r="M169" s="434"/>
      <c r="N169" s="434"/>
      <c r="O169" s="467"/>
      <c r="P169" s="69"/>
      <c r="Q169" s="69"/>
      <c r="R169" s="455"/>
      <c r="S169" s="435"/>
      <c r="T169" s="435"/>
      <c r="U169" s="103"/>
      <c r="V169" s="487"/>
      <c r="W169" s="141"/>
      <c r="X169" s="436">
        <v>6.5</v>
      </c>
      <c r="Y169" s="33">
        <f t="shared" si="51"/>
        <v>8619</v>
      </c>
      <c r="Z169" s="33"/>
      <c r="AA169" s="469"/>
      <c r="AB169" s="469"/>
    </row>
    <row r="170" spans="1:28" x14ac:dyDescent="0.3">
      <c r="A170" s="146"/>
      <c r="B170" s="146"/>
      <c r="C170" s="23"/>
      <c r="D170" s="25"/>
      <c r="E170" s="35" t="s">
        <v>362</v>
      </c>
      <c r="F170" s="36"/>
      <c r="G170" s="433">
        <v>8037</v>
      </c>
      <c r="H170" s="433"/>
      <c r="I170" s="433"/>
      <c r="J170" s="454"/>
      <c r="K170" s="27"/>
      <c r="L170" s="27"/>
      <c r="M170" s="434"/>
      <c r="N170" s="434"/>
      <c r="O170" s="467"/>
      <c r="P170" s="69"/>
      <c r="Q170" s="69"/>
      <c r="R170" s="455"/>
      <c r="S170" s="435"/>
      <c r="T170" s="435"/>
      <c r="U170" s="103"/>
      <c r="V170" s="487"/>
      <c r="W170" s="141"/>
      <c r="X170" s="436">
        <v>6.5</v>
      </c>
      <c r="Y170" s="33">
        <f t="shared" si="51"/>
        <v>52240.5</v>
      </c>
      <c r="Z170" s="33"/>
      <c r="AA170" s="469"/>
      <c r="AB170" s="469"/>
    </row>
    <row r="171" spans="1:28" x14ac:dyDescent="0.3">
      <c r="A171" s="146">
        <v>43534.09375</v>
      </c>
      <c r="B171" s="146">
        <v>43537.104166666664</v>
      </c>
      <c r="C171" s="23"/>
      <c r="D171" s="25"/>
      <c r="E171" s="35" t="s">
        <v>363</v>
      </c>
      <c r="F171" s="36" t="s">
        <v>32</v>
      </c>
      <c r="G171" s="433">
        <f>74820-G172</f>
        <v>68867</v>
      </c>
      <c r="H171" s="433" t="s">
        <v>364</v>
      </c>
      <c r="I171" s="433">
        <v>74820</v>
      </c>
      <c r="J171" s="454">
        <f>(G171+G172)-I171</f>
        <v>0</v>
      </c>
      <c r="K171" s="27">
        <f>B171-A171</f>
        <v>3.0104166666642413</v>
      </c>
      <c r="L171" s="27">
        <f>'[91]Great Hope'!$F$113</f>
        <v>1.362847222203224</v>
      </c>
      <c r="M171" s="434">
        <f>(G171+G172)/K171</f>
        <v>24853.702422165352</v>
      </c>
      <c r="N171" s="434">
        <f>(G171+G172)/L171</f>
        <v>54899.770701402253</v>
      </c>
      <c r="O171" s="467">
        <v>30000</v>
      </c>
      <c r="P171" s="69">
        <f>(126420/10000)*8.7</f>
        <v>109.98539999999998</v>
      </c>
      <c r="Q171" s="69">
        <f>(111437/10000)*8.7</f>
        <v>96.950190000000006</v>
      </c>
      <c r="R171" s="455">
        <f>P171-Q171</f>
        <v>13.035209999999978</v>
      </c>
      <c r="S171" s="435">
        <f>R171/8.7*10000/(G171+G172)</f>
        <v>0.2002539427960435</v>
      </c>
      <c r="T171" s="435">
        <f>R171/8.5*10000/(G171+G172)</f>
        <v>0.20496580027359745</v>
      </c>
      <c r="U171" s="103"/>
      <c r="V171" s="444"/>
      <c r="W171" s="437"/>
      <c r="X171" s="436">
        <v>2.64</v>
      </c>
      <c r="Y171" s="33">
        <f t="shared" si="51"/>
        <v>181808.88</v>
      </c>
      <c r="Z171" s="33"/>
      <c r="AA171" s="469"/>
      <c r="AB171" s="469"/>
    </row>
    <row r="172" spans="1:28" x14ac:dyDescent="0.3">
      <c r="A172" s="23"/>
      <c r="B172" s="23"/>
      <c r="C172" s="23"/>
      <c r="D172" s="25"/>
      <c r="E172" s="35" t="s">
        <v>363</v>
      </c>
      <c r="F172" s="36"/>
      <c r="G172" s="433">
        <v>5953</v>
      </c>
      <c r="H172" s="433"/>
      <c r="I172" s="433"/>
      <c r="J172" s="467"/>
      <c r="K172" s="27"/>
      <c r="L172" s="27"/>
      <c r="M172" s="434"/>
      <c r="N172" s="434"/>
      <c r="O172" s="467"/>
      <c r="P172" s="486"/>
      <c r="Q172" s="486"/>
      <c r="R172" s="24"/>
      <c r="S172" s="103"/>
      <c r="T172" s="103"/>
      <c r="U172" s="103"/>
      <c r="V172" s="444"/>
      <c r="W172" s="488"/>
      <c r="X172" s="436">
        <v>6.5</v>
      </c>
      <c r="Y172" s="33">
        <f t="shared" si="51"/>
        <v>38694.5</v>
      </c>
      <c r="Z172" s="33"/>
      <c r="AA172" s="469"/>
      <c r="AB172" s="469"/>
    </row>
    <row r="173" spans="1:28" x14ac:dyDescent="0.3">
      <c r="A173" s="146">
        <v>43537.868055555555</v>
      </c>
      <c r="B173" s="146">
        <v>43540.458333333336</v>
      </c>
      <c r="C173" s="23"/>
      <c r="D173" s="25"/>
      <c r="E173" s="35" t="s">
        <v>365</v>
      </c>
      <c r="F173" s="36" t="s">
        <v>32</v>
      </c>
      <c r="G173" s="433">
        <f>75085-G174</f>
        <v>65999</v>
      </c>
      <c r="H173" s="433" t="s">
        <v>49</v>
      </c>
      <c r="I173" s="433">
        <v>74450</v>
      </c>
      <c r="J173" s="454">
        <f>(G173+G174)-I173</f>
        <v>635</v>
      </c>
      <c r="K173" s="27">
        <f>B173-A173</f>
        <v>2.5902777777810115</v>
      </c>
      <c r="L173" s="27">
        <f>'[91]Lady Marite'!$F$112</f>
        <v>1.434027777768885</v>
      </c>
      <c r="M173" s="434">
        <f>(G173+G174)/K173</f>
        <v>28987.238605861934</v>
      </c>
      <c r="N173" s="434">
        <f>(G173+G174)/L173</f>
        <v>52359.51573882348</v>
      </c>
      <c r="O173" s="467">
        <v>30000</v>
      </c>
      <c r="P173" s="69">
        <f>(109977/10000)*8.7</f>
        <v>95.679989999999989</v>
      </c>
      <c r="Q173" s="69">
        <f>(96325/10000)*8.7</f>
        <v>83.802749999999989</v>
      </c>
      <c r="R173" s="455">
        <f>P173-Q173</f>
        <v>11.87724</v>
      </c>
      <c r="S173" s="435">
        <f>R173/8.7*10000/(G173+G174)</f>
        <v>0.18182060331624161</v>
      </c>
      <c r="T173" s="435">
        <f>R173/8.5*10000/(G173+G174)</f>
        <v>0.18609873515897671</v>
      </c>
      <c r="U173" s="103"/>
      <c r="V173" s="444"/>
      <c r="W173" s="488"/>
      <c r="X173" s="436">
        <v>2.64</v>
      </c>
      <c r="Y173" s="33">
        <f t="shared" si="51"/>
        <v>174237.36000000002</v>
      </c>
      <c r="Z173" s="33"/>
      <c r="AA173" s="489"/>
      <c r="AB173" s="469"/>
    </row>
    <row r="174" spans="1:28" x14ac:dyDescent="0.3">
      <c r="A174" s="146"/>
      <c r="B174" s="146"/>
      <c r="C174" s="23"/>
      <c r="D174" s="25"/>
      <c r="E174" s="35" t="s">
        <v>366</v>
      </c>
      <c r="F174" s="36"/>
      <c r="G174" s="433">
        <v>9086</v>
      </c>
      <c r="H174" s="433"/>
      <c r="I174" s="433"/>
      <c r="J174" s="454"/>
      <c r="K174" s="27"/>
      <c r="L174" s="27"/>
      <c r="M174" s="434"/>
      <c r="N174" s="434"/>
      <c r="O174" s="467"/>
      <c r="P174" s="69"/>
      <c r="Q174" s="69"/>
      <c r="R174" s="455"/>
      <c r="S174" s="435"/>
      <c r="T174" s="435"/>
      <c r="U174" s="103"/>
      <c r="V174" s="444"/>
      <c r="W174" s="488"/>
      <c r="X174" s="436">
        <v>6.5</v>
      </c>
      <c r="Y174" s="33">
        <f t="shared" si="51"/>
        <v>59059</v>
      </c>
      <c r="Z174" s="33"/>
      <c r="AA174" s="489"/>
      <c r="AB174" s="469"/>
    </row>
    <row r="175" spans="1:28" x14ac:dyDescent="0.3">
      <c r="A175" s="146">
        <v>43541.0625</v>
      </c>
      <c r="B175" s="146">
        <v>43544.104166666664</v>
      </c>
      <c r="C175" s="47"/>
      <c r="D175" s="25"/>
      <c r="E175" s="148" t="s">
        <v>367</v>
      </c>
      <c r="F175" s="110" t="s">
        <v>39</v>
      </c>
      <c r="G175" s="434">
        <v>61975</v>
      </c>
      <c r="H175" s="490" t="s">
        <v>33</v>
      </c>
      <c r="I175" s="490">
        <v>82200</v>
      </c>
      <c r="J175" s="454">
        <f>(G175+G176+G177)-I175</f>
        <v>50</v>
      </c>
      <c r="K175" s="27">
        <f>B175-A175</f>
        <v>3.0416666666642413</v>
      </c>
      <c r="L175" s="27">
        <f>'[91]Pacific Energy'!$F$101</f>
        <v>1.6354166666412009</v>
      </c>
      <c r="M175" s="434">
        <f>(G175+G177+G176)/K175</f>
        <v>27041.09589043252</v>
      </c>
      <c r="N175" s="434">
        <f>(G175+G177+G176)/L175</f>
        <v>50292.993631356381</v>
      </c>
      <c r="O175" s="491">
        <v>30000</v>
      </c>
      <c r="P175" s="69">
        <f>(96099/10000)*8.7</f>
        <v>83.606129999999993</v>
      </c>
      <c r="Q175" s="69">
        <f>(79062/10000)*8.7</f>
        <v>68.783940000000001</v>
      </c>
      <c r="R175" s="455">
        <f>P175-Q175</f>
        <v>14.822189999999992</v>
      </c>
      <c r="S175" s="435">
        <f>R175/8.7*10000/(G175+G177+G176)</f>
        <v>0.20713677811550144</v>
      </c>
      <c r="T175" s="435">
        <f>R175/8.5*10000/(G175+G177+G176)</f>
        <v>0.21201058465939554</v>
      </c>
      <c r="U175" s="103"/>
      <c r="V175" s="26"/>
      <c r="W175" s="24"/>
      <c r="X175" s="436">
        <v>2.64</v>
      </c>
      <c r="Y175" s="33">
        <f t="shared" si="51"/>
        <v>163614</v>
      </c>
      <c r="Z175" s="33"/>
      <c r="AA175" s="492"/>
      <c r="AB175" s="469"/>
    </row>
    <row r="176" spans="1:28" x14ac:dyDescent="0.3">
      <c r="A176" s="146"/>
      <c r="B176" s="146"/>
      <c r="C176" s="47"/>
      <c r="D176" s="25"/>
      <c r="E176" s="148" t="s">
        <v>257</v>
      </c>
      <c r="F176" s="110"/>
      <c r="G176" s="434">
        <v>11692</v>
      </c>
      <c r="H176" s="490"/>
      <c r="I176" s="490"/>
      <c r="J176" s="454"/>
      <c r="K176" s="493"/>
      <c r="L176" s="493"/>
      <c r="M176" s="434"/>
      <c r="N176" s="434"/>
      <c r="O176" s="491"/>
      <c r="P176" s="69"/>
      <c r="Q176" s="69"/>
      <c r="R176" s="455"/>
      <c r="S176" s="435"/>
      <c r="T176" s="435"/>
      <c r="U176" s="103"/>
      <c r="V176" s="26"/>
      <c r="W176" s="24"/>
      <c r="X176" s="436">
        <v>2.64</v>
      </c>
      <c r="Y176" s="33">
        <f t="shared" si="51"/>
        <v>30866.880000000001</v>
      </c>
      <c r="Z176" s="33"/>
      <c r="AA176" s="492"/>
      <c r="AB176" s="469"/>
    </row>
    <row r="177" spans="1:28" x14ac:dyDescent="0.3">
      <c r="A177" s="146"/>
      <c r="B177" s="146"/>
      <c r="C177" s="47"/>
      <c r="D177" s="25"/>
      <c r="E177" s="148" t="s">
        <v>368</v>
      </c>
      <c r="F177" s="110"/>
      <c r="G177" s="434">
        <v>8583</v>
      </c>
      <c r="H177" s="490"/>
      <c r="I177" s="490"/>
      <c r="J177" s="454"/>
      <c r="K177" s="493"/>
      <c r="L177" s="493"/>
      <c r="M177" s="434"/>
      <c r="N177" s="434"/>
      <c r="O177" s="491"/>
      <c r="P177" s="69"/>
      <c r="Q177" s="69"/>
      <c r="R177" s="455"/>
      <c r="S177" s="435"/>
      <c r="T177" s="435"/>
      <c r="U177" s="103"/>
      <c r="V177" s="26"/>
      <c r="W177" s="24"/>
      <c r="X177" s="436">
        <v>6.5</v>
      </c>
      <c r="Y177" s="33">
        <f>G177*X177</f>
        <v>55789.5</v>
      </c>
      <c r="Z177" s="33"/>
      <c r="AA177" s="492"/>
      <c r="AB177" s="469"/>
    </row>
    <row r="178" spans="1:28" x14ac:dyDescent="0.3">
      <c r="A178" s="146">
        <v>43544.847222222219</v>
      </c>
      <c r="B178" s="146">
        <v>43547.916666666664</v>
      </c>
      <c r="C178" s="47"/>
      <c r="D178" s="701"/>
      <c r="E178" s="109" t="s">
        <v>369</v>
      </c>
      <c r="F178" s="494" t="s">
        <v>91</v>
      </c>
      <c r="G178" s="434">
        <f>82500-G179-G180</f>
        <v>68977</v>
      </c>
      <c r="H178" s="449" t="s">
        <v>49</v>
      </c>
      <c r="I178" s="449">
        <v>82500</v>
      </c>
      <c r="J178" s="454">
        <f>(G178+G179)-I178</f>
        <v>-6149</v>
      </c>
      <c r="K178" s="27">
        <f>B178-A178</f>
        <v>3.0694444444452529</v>
      </c>
      <c r="L178" s="27">
        <f>[91]Aquacarrier!$F$108</f>
        <v>1.6892361111155576</v>
      </c>
      <c r="M178" s="434">
        <f>(G178+G179+G180)/K178</f>
        <v>26877.828054291564</v>
      </c>
      <c r="N178" s="434">
        <f>(G178+G179+G180)/L178</f>
        <v>48838.643370888916</v>
      </c>
      <c r="O178" s="449">
        <v>30000</v>
      </c>
      <c r="P178" s="69">
        <f>(77882/10000)*8.7</f>
        <v>67.757339999999999</v>
      </c>
      <c r="Q178" s="69">
        <f>(62104/10000)*8.7</f>
        <v>54.030479999999997</v>
      </c>
      <c r="R178" s="455">
        <f>P178-Q178</f>
        <v>13.726860000000002</v>
      </c>
      <c r="S178" s="435">
        <f>R178/8.7*10000/(G178+G180+G179)</f>
        <v>0.19124848484848489</v>
      </c>
      <c r="T178" s="435">
        <f>R178/8.5*10000/(G178+G180+G179)</f>
        <v>0.195748449197861</v>
      </c>
      <c r="U178" s="154"/>
      <c r="V178" s="26"/>
      <c r="W178" s="24"/>
      <c r="X178" s="436">
        <v>2.64</v>
      </c>
      <c r="Y178" s="33">
        <f>G178*X178</f>
        <v>182099.28</v>
      </c>
      <c r="Z178" s="33"/>
      <c r="AA178" s="702"/>
      <c r="AB178" s="469"/>
    </row>
    <row r="179" spans="1:28" x14ac:dyDescent="0.3">
      <c r="A179" s="146"/>
      <c r="B179" s="146"/>
      <c r="C179" s="47"/>
      <c r="D179" s="701"/>
      <c r="E179" s="109" t="s">
        <v>370</v>
      </c>
      <c r="F179" s="494"/>
      <c r="G179" s="434">
        <v>7374</v>
      </c>
      <c r="H179" s="449"/>
      <c r="I179" s="449"/>
      <c r="J179" s="449"/>
      <c r="K179" s="448"/>
      <c r="L179" s="448"/>
      <c r="M179" s="449"/>
      <c r="N179" s="449"/>
      <c r="O179" s="449"/>
      <c r="P179" s="455"/>
      <c r="Q179" s="455"/>
      <c r="R179" s="455"/>
      <c r="S179" s="495"/>
      <c r="T179" s="495"/>
      <c r="U179" s="154"/>
      <c r="V179" s="26"/>
      <c r="W179" s="24"/>
      <c r="X179" s="436">
        <v>6.5</v>
      </c>
      <c r="Y179" s="33">
        <f>G179*X179</f>
        <v>47931</v>
      </c>
      <c r="Z179" s="33"/>
      <c r="AA179" s="702"/>
      <c r="AB179" s="469"/>
    </row>
    <row r="180" spans="1:28" x14ac:dyDescent="0.3">
      <c r="A180" s="146"/>
      <c r="B180" s="146"/>
      <c r="C180" s="47"/>
      <c r="D180" s="110"/>
      <c r="E180" s="109" t="s">
        <v>370</v>
      </c>
      <c r="F180" s="494"/>
      <c r="G180" s="434">
        <v>6149</v>
      </c>
      <c r="H180" s="449"/>
      <c r="I180" s="449"/>
      <c r="J180" s="449"/>
      <c r="K180" s="448"/>
      <c r="L180" s="448"/>
      <c r="M180" s="449"/>
      <c r="N180" s="449"/>
      <c r="O180" s="449"/>
      <c r="P180" s="455"/>
      <c r="Q180" s="455"/>
      <c r="R180" s="455"/>
      <c r="S180" s="495"/>
      <c r="T180" s="495"/>
      <c r="U180" s="154"/>
      <c r="V180" s="26"/>
      <c r="W180" s="24"/>
      <c r="X180" s="436">
        <v>6.5</v>
      </c>
      <c r="Y180" s="33">
        <f>G180*X180</f>
        <v>39968.5</v>
      </c>
      <c r="Z180" s="33"/>
      <c r="AA180" s="492"/>
      <c r="AB180" s="469"/>
    </row>
    <row r="181" spans="1:28" x14ac:dyDescent="0.3">
      <c r="A181" s="146">
        <v>43548.875</v>
      </c>
      <c r="B181" s="146">
        <v>43551.638888888891</v>
      </c>
      <c r="C181" s="47"/>
      <c r="D181" s="110"/>
      <c r="E181" s="109" t="s">
        <v>296</v>
      </c>
      <c r="F181" s="110" t="s">
        <v>32</v>
      </c>
      <c r="G181" s="434">
        <v>76200</v>
      </c>
      <c r="H181" s="449" t="s">
        <v>33</v>
      </c>
      <c r="I181" s="449">
        <v>75000</v>
      </c>
      <c r="J181" s="454">
        <f>(G181)-I181</f>
        <v>1200</v>
      </c>
      <c r="K181" s="27">
        <f>B181-A181</f>
        <v>2.7638888888905058</v>
      </c>
      <c r="L181" s="27">
        <f>'[91]HC Sunshine'!$F$102</f>
        <v>1.555555555572937</v>
      </c>
      <c r="M181" s="434">
        <f>(G181)/K181</f>
        <v>27569.849246215028</v>
      </c>
      <c r="N181" s="434">
        <f>(G181)/L181</f>
        <v>48985.714285166927</v>
      </c>
      <c r="O181" s="449">
        <v>30000</v>
      </c>
      <c r="P181" s="69">
        <f>(177922/10000)*8.7</f>
        <v>154.79213999999999</v>
      </c>
      <c r="Q181" s="69">
        <f>(162732/10000)*8.7</f>
        <v>141.57683999999998</v>
      </c>
      <c r="R181" s="455">
        <f>P181-Q181</f>
        <v>13.215300000000013</v>
      </c>
      <c r="S181" s="435">
        <f>R181/8.7*10000/(G181)</f>
        <v>0.19934383202099759</v>
      </c>
      <c r="T181" s="435">
        <f>R181/8.5*10000/(G181)</f>
        <v>0.20403427512737402</v>
      </c>
      <c r="U181" s="154"/>
      <c r="V181" s="26"/>
      <c r="W181" s="24"/>
      <c r="X181" s="436">
        <v>2.64</v>
      </c>
      <c r="Y181" s="33">
        <f>G181*X181</f>
        <v>201168</v>
      </c>
      <c r="Z181" s="33"/>
      <c r="AA181" s="492"/>
      <c r="AB181" s="469"/>
    </row>
    <row r="182" spans="1:28" x14ac:dyDescent="0.3">
      <c r="A182" s="20"/>
      <c r="B182" s="20"/>
      <c r="C182" s="20">
        <v>1000000013</v>
      </c>
      <c r="D182" s="20"/>
      <c r="E182" s="122" t="s">
        <v>42</v>
      </c>
      <c r="F182" s="123"/>
      <c r="G182" s="482">
        <f>SUM(G168:G181)</f>
        <v>553975</v>
      </c>
      <c r="H182" s="482"/>
      <c r="I182" s="482"/>
      <c r="J182" s="482"/>
      <c r="K182" s="496">
        <f>SUM(K168:K181)</f>
        <v>20.57986111111677</v>
      </c>
      <c r="L182" s="497">
        <f>SUM(L168:L179)</f>
        <v>9.7152777777603951</v>
      </c>
      <c r="M182" s="431">
        <f>G182/K182</f>
        <v>26918.306057019763</v>
      </c>
      <c r="N182" s="482">
        <f>G182/L182</f>
        <v>57021.015010823969</v>
      </c>
      <c r="O182" s="482"/>
      <c r="P182" s="482"/>
      <c r="Q182" s="482"/>
      <c r="R182" s="484">
        <f>SUM(R168:R181)</f>
        <v>95.361569999999986</v>
      </c>
      <c r="S182" s="441">
        <f>R182/8.7*10000/G182</f>
        <v>0.1978627194367977</v>
      </c>
      <c r="T182" s="441">
        <f>R182/8.5*10000/G182</f>
        <v>0.20251831283531055</v>
      </c>
      <c r="U182" s="128">
        <f>(T182-S182)/T182</f>
        <v>2.2988505747126246E-2</v>
      </c>
      <c r="V182" s="485">
        <v>375000</v>
      </c>
      <c r="W182" s="485">
        <f>G182-V182</f>
        <v>178975</v>
      </c>
      <c r="X182" s="130"/>
      <c r="Y182" s="432">
        <f>SUM(Y168:Y181)</f>
        <v>1642014.8800000001</v>
      </c>
      <c r="Z182" s="432"/>
      <c r="AA182" s="446">
        <f>SUM(AA168:AA179)</f>
        <v>0</v>
      </c>
      <c r="AB182" s="446">
        <f>SUM(AB168:AB179)</f>
        <v>0</v>
      </c>
    </row>
    <row r="183" spans="1:28" x14ac:dyDescent="0.3">
      <c r="A183" s="146">
        <v>43554.409722222219</v>
      </c>
      <c r="B183" s="146">
        <v>43557.444444444445</v>
      </c>
      <c r="C183" s="23"/>
      <c r="D183" s="25"/>
      <c r="E183" s="35" t="s">
        <v>41</v>
      </c>
      <c r="F183" s="36" t="s">
        <v>39</v>
      </c>
      <c r="G183" s="433">
        <f>86400-G184</f>
        <v>77805</v>
      </c>
      <c r="H183" s="433" t="s">
        <v>40</v>
      </c>
      <c r="I183" s="433">
        <v>86200</v>
      </c>
      <c r="J183" s="454">
        <f>(G183+G184)-I183</f>
        <v>200</v>
      </c>
      <c r="K183" s="27">
        <f>B183-A183</f>
        <v>3.0347222222262644</v>
      </c>
      <c r="L183" s="27">
        <f>'[92]Taipower Prosperity II'!$F$85</f>
        <v>1.6961805555547471</v>
      </c>
      <c r="M183" s="434">
        <f>(G183+G184)/K183</f>
        <v>28470.480549161162</v>
      </c>
      <c r="N183" s="434">
        <f>(G183+G184)/L183</f>
        <v>50937.973387946491</v>
      </c>
      <c r="O183" s="467">
        <v>30000</v>
      </c>
      <c r="P183" s="69">
        <f>(158512/10000)*8.7</f>
        <v>137.90544</v>
      </c>
      <c r="Q183" s="69">
        <f>(142183/10000)*8.7</f>
        <v>123.69920999999998</v>
      </c>
      <c r="R183" s="455">
        <f>P183-Q183</f>
        <v>14.206230000000019</v>
      </c>
      <c r="S183" s="435">
        <f>R183/8.7*10000/(G183+G184)</f>
        <v>0.18899305555555582</v>
      </c>
      <c r="T183" s="435">
        <f>R183/8.5*10000/(G183)</f>
        <v>0.21480896812166192</v>
      </c>
      <c r="U183" s="103"/>
      <c r="V183" s="444"/>
      <c r="W183" s="437"/>
      <c r="X183" s="436">
        <v>2.64</v>
      </c>
      <c r="Y183" s="33">
        <f t="shared" ref="Y183:Y196" si="52">G183*X183</f>
        <v>205405.2</v>
      </c>
      <c r="Z183" s="33"/>
      <c r="AA183" s="445"/>
      <c r="AB183" s="469"/>
    </row>
    <row r="184" spans="1:28" x14ac:dyDescent="0.3">
      <c r="A184" s="23"/>
      <c r="B184" s="23"/>
      <c r="C184" s="23"/>
      <c r="D184" s="25"/>
      <c r="E184" s="35" t="s">
        <v>371</v>
      </c>
      <c r="F184" s="36"/>
      <c r="G184" s="433">
        <v>8595</v>
      </c>
      <c r="H184" s="433"/>
      <c r="I184" s="433"/>
      <c r="J184" s="449"/>
      <c r="K184" s="27"/>
      <c r="L184" s="27"/>
      <c r="M184" s="434"/>
      <c r="N184" s="434"/>
      <c r="O184" s="467"/>
      <c r="P184" s="486"/>
      <c r="Q184" s="486"/>
      <c r="R184" s="455"/>
      <c r="S184" s="103"/>
      <c r="T184" s="103"/>
      <c r="U184" s="103"/>
      <c r="V184" s="444"/>
      <c r="W184" s="437"/>
      <c r="X184" s="436">
        <v>6.5</v>
      </c>
      <c r="Y184" s="33">
        <f t="shared" si="52"/>
        <v>55867.5</v>
      </c>
      <c r="Z184" s="33"/>
      <c r="AA184" s="445"/>
      <c r="AB184" s="469"/>
    </row>
    <row r="185" spans="1:28" x14ac:dyDescent="0.3">
      <c r="A185" s="146">
        <v>43560.680555555555</v>
      </c>
      <c r="B185" s="146">
        <v>43562.541666666664</v>
      </c>
      <c r="C185" s="20"/>
      <c r="D185" s="25"/>
      <c r="E185" s="35" t="s">
        <v>372</v>
      </c>
      <c r="F185" s="36" t="s">
        <v>91</v>
      </c>
      <c r="G185" s="433">
        <v>60991</v>
      </c>
      <c r="H185" s="433" t="s">
        <v>33</v>
      </c>
      <c r="I185" s="433">
        <v>103120</v>
      </c>
      <c r="J185" s="454">
        <f>(G185)-I185</f>
        <v>-42129</v>
      </c>
      <c r="K185" s="27">
        <f>B185-A185</f>
        <v>1.8611111111094942</v>
      </c>
      <c r="L185" s="27">
        <f>'[92]China Energy'!$F$73</f>
        <v>1.1059027777737356</v>
      </c>
      <c r="M185" s="434">
        <f>(G185)/K185</f>
        <v>32771.28358211802</v>
      </c>
      <c r="N185" s="434">
        <f>G185/L185</f>
        <v>55150.417582619164</v>
      </c>
      <c r="O185" s="467">
        <v>30000</v>
      </c>
      <c r="P185" s="69">
        <f>(136840/10000)*8.7</f>
        <v>119.05079999999998</v>
      </c>
      <c r="Q185" s="69">
        <f>(126412/10000)*8.7</f>
        <v>109.97843999999999</v>
      </c>
      <c r="R185" s="455">
        <f>P185-Q185</f>
        <v>9.0723599999999891</v>
      </c>
      <c r="S185" s="435">
        <f>R185/8.7*10000/(G185)</f>
        <v>0.17097604564607874</v>
      </c>
      <c r="T185" s="435">
        <f>R185/8.5*10000/(G185)</f>
        <v>0.17499901142598648</v>
      </c>
      <c r="U185" s="103"/>
      <c r="V185" s="444"/>
      <c r="W185" s="437"/>
      <c r="X185" s="436">
        <v>2.64</v>
      </c>
      <c r="Y185" s="33">
        <f t="shared" si="52"/>
        <v>161016.24000000002</v>
      </c>
      <c r="Z185" s="33"/>
      <c r="AA185" s="445"/>
      <c r="AB185" s="469"/>
    </row>
    <row r="186" spans="1:28" x14ac:dyDescent="0.3">
      <c r="A186" s="146">
        <v>43563.645833333336</v>
      </c>
      <c r="B186" s="146">
        <v>43565.020833333336</v>
      </c>
      <c r="C186" s="23"/>
      <c r="D186" s="25"/>
      <c r="E186" s="35" t="s">
        <v>300</v>
      </c>
      <c r="F186" s="36" t="s">
        <v>39</v>
      </c>
      <c r="G186" s="433">
        <v>42307</v>
      </c>
      <c r="H186" s="433" t="s">
        <v>33</v>
      </c>
      <c r="I186" s="433">
        <v>77000</v>
      </c>
      <c r="J186" s="454">
        <f>(G186+G187)-I186</f>
        <v>15460</v>
      </c>
      <c r="K186" s="27">
        <f>B186-A186</f>
        <v>1.375</v>
      </c>
      <c r="L186" s="27">
        <f>'[92]DL Acacia'!$F$50</f>
        <v>0.95312500000727596</v>
      </c>
      <c r="M186" s="434">
        <f>(G186)/K186</f>
        <v>30768.727272727272</v>
      </c>
      <c r="N186" s="434">
        <f>G186/L186</f>
        <v>44387.672130808693</v>
      </c>
      <c r="O186" s="467">
        <v>30000</v>
      </c>
      <c r="P186" s="69">
        <f>(124642/10000)*8.7</f>
        <v>108.43853999999999</v>
      </c>
      <c r="Q186" s="69">
        <f>(116612/10000)*8.7</f>
        <v>101.45243999999998</v>
      </c>
      <c r="R186" s="455">
        <f>P186-Q186</f>
        <v>6.9861000000000075</v>
      </c>
      <c r="S186" s="435">
        <f>R186/8.7*10000/(G186)</f>
        <v>0.18980310586900534</v>
      </c>
      <c r="T186" s="435">
        <f>R186/8.5*10000/(G186)</f>
        <v>0.19426906130121721</v>
      </c>
      <c r="U186" s="103"/>
      <c r="V186" s="444"/>
      <c r="W186" s="437"/>
      <c r="X186" s="436">
        <v>2.64</v>
      </c>
      <c r="Y186" s="33">
        <f t="shared" si="52"/>
        <v>111690.48000000001</v>
      </c>
      <c r="Z186" s="33"/>
      <c r="AA186" s="445"/>
      <c r="AB186" s="469"/>
    </row>
    <row r="187" spans="1:28" x14ac:dyDescent="0.3">
      <c r="A187" s="146">
        <v>43565.861111111109</v>
      </c>
      <c r="B187" s="146">
        <v>43567.875</v>
      </c>
      <c r="C187" s="23"/>
      <c r="D187" s="25"/>
      <c r="E187" s="148" t="s">
        <v>373</v>
      </c>
      <c r="F187" s="110" t="s">
        <v>32</v>
      </c>
      <c r="G187" s="434">
        <f>65000-G188-G189</f>
        <v>50153</v>
      </c>
      <c r="H187" s="498" t="s">
        <v>33</v>
      </c>
      <c r="I187" s="487">
        <v>65000</v>
      </c>
      <c r="J187" s="454">
        <f>(G187+G188+G189)-I187</f>
        <v>0</v>
      </c>
      <c r="K187" s="27">
        <f>B187-A187</f>
        <v>2.0138888888905058</v>
      </c>
      <c r="L187" s="499">
        <f>'[92]Ocean Domina'!$F$75</f>
        <v>1.2534722222323278</v>
      </c>
      <c r="M187" s="434">
        <f>(G187+G188+G189)/K187</f>
        <v>32275.862068939605</v>
      </c>
      <c r="N187" s="434">
        <f>(G187+G188+G189)/L187</f>
        <v>51855.955678252292</v>
      </c>
      <c r="O187" s="491">
        <v>30000</v>
      </c>
      <c r="P187" s="69">
        <f>(114962/10000)*8.7</f>
        <v>100.01693999999999</v>
      </c>
      <c r="Q187" s="69">
        <f>(103720/10000)*8.7</f>
        <v>90.236399999999989</v>
      </c>
      <c r="R187" s="455">
        <f>P187-Q187</f>
        <v>9.780540000000002</v>
      </c>
      <c r="S187" s="435">
        <f>R187/8.7*10000/(G187+G188+G189)</f>
        <v>0.17295384615384621</v>
      </c>
      <c r="T187" s="435">
        <f>R187/8.5*10000/(G187+G188+G189)</f>
        <v>0.17702334841628961</v>
      </c>
      <c r="U187" s="103"/>
      <c r="V187" s="444"/>
      <c r="W187" s="437"/>
      <c r="X187" s="436">
        <v>2.64</v>
      </c>
      <c r="Y187" s="33">
        <f t="shared" si="52"/>
        <v>132403.92000000001</v>
      </c>
      <c r="Z187" s="33"/>
      <c r="AA187" s="445"/>
      <c r="AB187" s="469"/>
    </row>
    <row r="188" spans="1:28" x14ac:dyDescent="0.3">
      <c r="A188" s="146"/>
      <c r="B188" s="146"/>
      <c r="C188" s="23"/>
      <c r="D188" s="25"/>
      <c r="E188" s="148" t="s">
        <v>374</v>
      </c>
      <c r="F188" s="110"/>
      <c r="G188" s="434">
        <v>8149</v>
      </c>
      <c r="H188" s="498"/>
      <c r="I188" s="487"/>
      <c r="J188" s="449"/>
      <c r="K188" s="493"/>
      <c r="L188" s="499"/>
      <c r="M188" s="434"/>
      <c r="N188" s="434"/>
      <c r="O188" s="491"/>
      <c r="P188" s="500"/>
      <c r="Q188" s="500"/>
      <c r="R188" s="455"/>
      <c r="S188" s="435"/>
      <c r="T188" s="435"/>
      <c r="U188" s="103"/>
      <c r="V188" s="444"/>
      <c r="W188" s="437"/>
      <c r="X188" s="436">
        <v>6.5</v>
      </c>
      <c r="Y188" s="33">
        <f t="shared" si="52"/>
        <v>52968.5</v>
      </c>
      <c r="Z188" s="33"/>
      <c r="AA188" s="445"/>
      <c r="AB188" s="469"/>
    </row>
    <row r="189" spans="1:28" x14ac:dyDescent="0.3">
      <c r="A189" s="146"/>
      <c r="B189" s="146"/>
      <c r="C189" s="23"/>
      <c r="D189" s="25"/>
      <c r="E189" s="148" t="s">
        <v>374</v>
      </c>
      <c r="F189" s="110"/>
      <c r="G189" s="434">
        <v>6698</v>
      </c>
      <c r="H189" s="498"/>
      <c r="I189" s="487"/>
      <c r="J189" s="449"/>
      <c r="K189" s="493"/>
      <c r="L189" s="499"/>
      <c r="M189" s="434"/>
      <c r="N189" s="434"/>
      <c r="O189" s="491"/>
      <c r="P189" s="500"/>
      <c r="Q189" s="500"/>
      <c r="R189" s="455"/>
      <c r="S189" s="435"/>
      <c r="T189" s="435"/>
      <c r="U189" s="103"/>
      <c r="V189" s="444"/>
      <c r="W189" s="437"/>
      <c r="X189" s="436">
        <v>6.5</v>
      </c>
      <c r="Y189" s="33">
        <f t="shared" si="52"/>
        <v>43537</v>
      </c>
      <c r="Z189" s="33"/>
      <c r="AA189" s="445"/>
      <c r="AB189" s="469"/>
    </row>
    <row r="190" spans="1:28" x14ac:dyDescent="0.3">
      <c r="A190" s="146">
        <v>43569.708333333336</v>
      </c>
      <c r="B190" s="146">
        <v>43571.145833333336</v>
      </c>
      <c r="C190" s="23"/>
      <c r="D190" s="25"/>
      <c r="E190" s="148" t="s">
        <v>375</v>
      </c>
      <c r="F190" s="110" t="s">
        <v>39</v>
      </c>
      <c r="G190" s="434">
        <f>42400-G191</f>
        <v>34237</v>
      </c>
      <c r="H190" s="498" t="s">
        <v>199</v>
      </c>
      <c r="I190" s="487">
        <v>79250</v>
      </c>
      <c r="J190" s="454">
        <f>(G190+G191)-I190</f>
        <v>-36850</v>
      </c>
      <c r="K190" s="27">
        <f>B190-A190</f>
        <v>1.4375</v>
      </c>
      <c r="L190" s="499">
        <f>'[92]Pan Mutiara'!$F$61</f>
        <v>0.79513888887959183</v>
      </c>
      <c r="M190" s="434">
        <f>(G190+G191)/K190</f>
        <v>29495.652173913044</v>
      </c>
      <c r="N190" s="434">
        <f>(G190+G191)/L190</f>
        <v>53324.017467872392</v>
      </c>
      <c r="O190" s="491">
        <v>30000</v>
      </c>
      <c r="P190" s="69">
        <f>(100405/10000)*8.7</f>
        <v>87.352349999999987</v>
      </c>
      <c r="Q190" s="69">
        <f>(92569/10000)*8.7</f>
        <v>80.535029999999992</v>
      </c>
      <c r="R190" s="455">
        <f>P190-Q190</f>
        <v>6.8173199999999952</v>
      </c>
      <c r="S190" s="435">
        <f>R190/8.7*10000/(G190+G191)</f>
        <v>0.18481132075471687</v>
      </c>
      <c r="T190" s="435">
        <f>R190/8.5*10000/(G190+G191)</f>
        <v>0.18915982241953372</v>
      </c>
      <c r="U190" s="103"/>
      <c r="V190" s="444"/>
      <c r="W190" s="437"/>
      <c r="X190" s="436">
        <v>2.64</v>
      </c>
      <c r="Y190" s="33">
        <f t="shared" si="52"/>
        <v>90385.680000000008</v>
      </c>
      <c r="Z190" s="33"/>
      <c r="AA190" s="445"/>
      <c r="AB190" s="469"/>
    </row>
    <row r="191" spans="1:28" x14ac:dyDescent="0.3">
      <c r="A191" s="146"/>
      <c r="B191" s="146"/>
      <c r="C191" s="23"/>
      <c r="D191" s="25"/>
      <c r="E191" s="148" t="s">
        <v>376</v>
      </c>
      <c r="F191" s="110"/>
      <c r="G191" s="434">
        <v>8163</v>
      </c>
      <c r="H191" s="498"/>
      <c r="I191" s="487"/>
      <c r="J191" s="454"/>
      <c r="K191" s="493"/>
      <c r="L191" s="499"/>
      <c r="M191" s="434"/>
      <c r="N191" s="434"/>
      <c r="O191" s="491"/>
      <c r="P191" s="69"/>
      <c r="Q191" s="69"/>
      <c r="R191" s="455"/>
      <c r="S191" s="435"/>
      <c r="T191" s="435"/>
      <c r="U191" s="103"/>
      <c r="V191" s="444"/>
      <c r="W191" s="437"/>
      <c r="X191" s="436">
        <v>6.5</v>
      </c>
      <c r="Y191" s="33">
        <f t="shared" si="52"/>
        <v>53059.5</v>
      </c>
      <c r="Z191" s="33"/>
      <c r="AA191" s="445"/>
      <c r="AB191" s="469"/>
    </row>
    <row r="192" spans="1:28" x14ac:dyDescent="0.3">
      <c r="A192" s="146">
        <v>43573.055555555555</v>
      </c>
      <c r="B192" s="146">
        <v>43575.541666666664</v>
      </c>
      <c r="C192" s="23"/>
      <c r="D192" s="25"/>
      <c r="E192" s="148" t="s">
        <v>377</v>
      </c>
      <c r="F192" s="110" t="s">
        <v>91</v>
      </c>
      <c r="G192" s="434">
        <f>77005-G193-G194</f>
        <v>60486</v>
      </c>
      <c r="H192" s="498" t="s">
        <v>49</v>
      </c>
      <c r="I192" s="487">
        <v>77000</v>
      </c>
      <c r="J192" s="454">
        <f>(G192+G195)-I192</f>
        <v>-15617</v>
      </c>
      <c r="K192" s="27">
        <f>B192-A192</f>
        <v>2.4861111111094942</v>
      </c>
      <c r="L192" s="499">
        <f>[92]Gingo!$F$72</f>
        <v>1.6970486110937297</v>
      </c>
      <c r="M192" s="434">
        <f>(G192+G193)/K192</f>
        <v>27689.832402252647</v>
      </c>
      <c r="N192" s="434">
        <f>(G192+G193+G194)/L192</f>
        <v>45375.836317600297</v>
      </c>
      <c r="O192" s="491">
        <v>30000</v>
      </c>
      <c r="P192" s="69">
        <f>(89369/10000)*8.7</f>
        <v>77.751029999999986</v>
      </c>
      <c r="Q192" s="69">
        <f>(76024/10000)*8.7</f>
        <v>66.140879999999996</v>
      </c>
      <c r="R192" s="455">
        <f>P192-Q192</f>
        <v>11.61014999999999</v>
      </c>
      <c r="S192" s="435">
        <f>R192/8.7*10000/(G192)</f>
        <v>0.22062956717256868</v>
      </c>
      <c r="T192" s="435">
        <f>R192/8.5*10000/(G192)</f>
        <v>0.22582085110604086</v>
      </c>
      <c r="U192" s="103"/>
      <c r="V192" s="444"/>
      <c r="W192" s="437"/>
      <c r="X192" s="436">
        <v>2.64</v>
      </c>
      <c r="Y192" s="33">
        <f t="shared" si="52"/>
        <v>159683.04</v>
      </c>
      <c r="Z192" s="33"/>
      <c r="AA192" s="445"/>
      <c r="AB192" s="469"/>
    </row>
    <row r="193" spans="1:28" x14ac:dyDescent="0.3">
      <c r="A193" s="146"/>
      <c r="B193" s="146"/>
      <c r="C193" s="23"/>
      <c r="D193" s="25"/>
      <c r="E193" s="148" t="s">
        <v>378</v>
      </c>
      <c r="F193" s="110"/>
      <c r="G193" s="434">
        <v>8354</v>
      </c>
      <c r="H193" s="498"/>
      <c r="I193" s="487"/>
      <c r="J193" s="454"/>
      <c r="K193" s="493"/>
      <c r="L193" s="499"/>
      <c r="M193" s="434"/>
      <c r="N193" s="434"/>
      <c r="O193" s="491"/>
      <c r="P193" s="69"/>
      <c r="Q193" s="69"/>
      <c r="R193" s="455"/>
      <c r="S193" s="435"/>
      <c r="T193" s="435"/>
      <c r="U193" s="103"/>
      <c r="V193" s="444"/>
      <c r="W193" s="437"/>
      <c r="X193" s="436">
        <v>6.5</v>
      </c>
      <c r="Y193" s="33">
        <f t="shared" si="52"/>
        <v>54301</v>
      </c>
      <c r="Z193" s="33"/>
      <c r="AA193" s="445"/>
      <c r="AB193" s="469"/>
    </row>
    <row r="194" spans="1:28" x14ac:dyDescent="0.3">
      <c r="A194" s="146"/>
      <c r="B194" s="146"/>
      <c r="C194" s="23"/>
      <c r="D194" s="25"/>
      <c r="E194" s="148" t="s">
        <v>378</v>
      </c>
      <c r="F194" s="110"/>
      <c r="G194" s="434">
        <v>8165</v>
      </c>
      <c r="H194" s="498"/>
      <c r="I194" s="487"/>
      <c r="J194" s="454"/>
      <c r="K194" s="493"/>
      <c r="L194" s="499"/>
      <c r="M194" s="434"/>
      <c r="N194" s="434"/>
      <c r="O194" s="491"/>
      <c r="P194" s="69"/>
      <c r="Q194" s="69"/>
      <c r="R194" s="455"/>
      <c r="S194" s="435"/>
      <c r="T194" s="435"/>
      <c r="U194" s="103"/>
      <c r="V194" s="444"/>
      <c r="W194" s="437"/>
      <c r="X194" s="436">
        <v>6.5</v>
      </c>
      <c r="Y194" s="33">
        <f t="shared" si="52"/>
        <v>53072.5</v>
      </c>
      <c r="Z194" s="33"/>
      <c r="AA194" s="445"/>
      <c r="AB194" s="469"/>
    </row>
    <row r="195" spans="1:28" x14ac:dyDescent="0.3">
      <c r="A195" s="146">
        <v>43575.840277777781</v>
      </c>
      <c r="B195" s="146">
        <v>43580.03125</v>
      </c>
      <c r="C195" s="23"/>
      <c r="D195" s="25"/>
      <c r="E195" s="148" t="s">
        <v>264</v>
      </c>
      <c r="F195" s="110" t="s">
        <v>39</v>
      </c>
      <c r="G195" s="434">
        <v>897</v>
      </c>
      <c r="H195" s="498" t="s">
        <v>40</v>
      </c>
      <c r="I195" s="487">
        <v>88000</v>
      </c>
      <c r="J195" s="454">
        <f>(G195+G196)-I195</f>
        <v>0</v>
      </c>
      <c r="K195" s="27">
        <f>B195-A195</f>
        <v>4.1909722222189885</v>
      </c>
      <c r="L195" s="499">
        <f>'[92]Cemtex Renaissance'!$F$103</f>
        <v>1.8940972222323278</v>
      </c>
      <c r="M195" s="434">
        <f>(G195+G196)/K195</f>
        <v>20997.514498773449</v>
      </c>
      <c r="N195" s="434">
        <f>(G195+G196)/L195</f>
        <v>46460.128322391902</v>
      </c>
      <c r="O195" s="491">
        <v>30000</v>
      </c>
      <c r="P195" s="69">
        <f>(75424/10000)*8.7</f>
        <v>65.61887999999999</v>
      </c>
      <c r="Q195" s="69">
        <f>(57119/10000)*8.7</f>
        <v>49.693529999999996</v>
      </c>
      <c r="R195" s="455">
        <f>P195-Q195</f>
        <v>15.925349999999995</v>
      </c>
      <c r="S195" s="435">
        <f>R195/8.7*10000/(G195+G196)</f>
        <v>0.20801136363636361</v>
      </c>
      <c r="T195" s="435">
        <f>R195/8.5*10000/(G195+G196)</f>
        <v>0.21290574866310155</v>
      </c>
      <c r="U195" s="103"/>
      <c r="V195" s="444"/>
      <c r="W195" s="437"/>
      <c r="X195" s="436">
        <v>2.64</v>
      </c>
      <c r="Y195" s="33">
        <f t="shared" si="52"/>
        <v>2368.08</v>
      </c>
      <c r="Z195" s="33"/>
      <c r="AA195" s="445"/>
      <c r="AB195" s="469"/>
    </row>
    <row r="196" spans="1:28" x14ac:dyDescent="0.3">
      <c r="A196" s="146"/>
      <c r="B196" s="146"/>
      <c r="C196" s="23"/>
      <c r="D196" s="25"/>
      <c r="E196" s="148" t="s">
        <v>264</v>
      </c>
      <c r="F196" s="110"/>
      <c r="G196" s="434">
        <v>87103</v>
      </c>
      <c r="H196" s="498"/>
      <c r="I196" s="487"/>
      <c r="J196" s="454"/>
      <c r="K196" s="27"/>
      <c r="L196" s="499"/>
      <c r="M196" s="434"/>
      <c r="N196" s="434"/>
      <c r="O196" s="491"/>
      <c r="P196" s="69"/>
      <c r="Q196" s="69"/>
      <c r="R196" s="455"/>
      <c r="S196" s="435"/>
      <c r="T196" s="435"/>
      <c r="U196" s="103"/>
      <c r="V196" s="444"/>
      <c r="W196" s="437"/>
      <c r="X196" s="436">
        <v>2.64</v>
      </c>
      <c r="Y196" s="33">
        <f t="shared" si="52"/>
        <v>229951.92</v>
      </c>
      <c r="Z196" s="33"/>
      <c r="AA196" s="445"/>
      <c r="AB196" s="469"/>
    </row>
    <row r="197" spans="1:28" x14ac:dyDescent="0.3">
      <c r="A197" s="146">
        <v>43580.961805555555</v>
      </c>
      <c r="B197" s="146">
        <v>43584.8125</v>
      </c>
      <c r="C197" s="23"/>
      <c r="D197" s="25"/>
      <c r="E197" s="148" t="s">
        <v>372</v>
      </c>
      <c r="F197" s="110"/>
      <c r="G197" s="434">
        <v>99999</v>
      </c>
      <c r="H197" s="498" t="s">
        <v>33</v>
      </c>
      <c r="I197" s="487">
        <v>99999</v>
      </c>
      <c r="J197" s="454">
        <f>(G197)-I197</f>
        <v>0</v>
      </c>
      <c r="K197" s="27">
        <f>B197-A197</f>
        <v>3.8506944444452529</v>
      </c>
      <c r="L197" s="499">
        <f>'[92]China Energy2'!$F$108</f>
        <v>1.9079861111301095</v>
      </c>
      <c r="M197" s="434">
        <f>(G197)/K197</f>
        <v>25969.08205590077</v>
      </c>
      <c r="N197" s="434">
        <f>G197/L197</f>
        <v>52410.758871179678</v>
      </c>
      <c r="O197" s="491">
        <v>30000</v>
      </c>
      <c r="P197" s="69">
        <f>(167274/10000)*8.7</f>
        <v>145.52837999999997</v>
      </c>
      <c r="Q197" s="69">
        <f>(147400/10000)*8.7</f>
        <v>128.238</v>
      </c>
      <c r="R197" s="455">
        <f>P197-Q197</f>
        <v>17.290379999999971</v>
      </c>
      <c r="S197" s="435">
        <f>R197/8.7*10000/(G197)</f>
        <v>0.19874198741987387</v>
      </c>
      <c r="T197" s="435">
        <f>R197/8.5*10000/(G197)</f>
        <v>0.20341826947681205</v>
      </c>
      <c r="U197" s="103"/>
      <c r="V197" s="444"/>
      <c r="W197" s="437"/>
      <c r="X197" s="436">
        <v>2.64</v>
      </c>
      <c r="Y197" s="33">
        <f>G197*X197</f>
        <v>263997.36</v>
      </c>
      <c r="Z197" s="33"/>
      <c r="AA197" s="445"/>
      <c r="AB197" s="469"/>
    </row>
    <row r="198" spans="1:28" x14ac:dyDescent="0.3">
      <c r="A198" s="23"/>
      <c r="B198" s="23"/>
      <c r="C198" s="20">
        <v>1000000017</v>
      </c>
      <c r="D198" s="23"/>
      <c r="E198" s="122" t="s">
        <v>43</v>
      </c>
      <c r="F198" s="123"/>
      <c r="G198" s="501">
        <f>SUM(G183:G197)</f>
        <v>562102</v>
      </c>
      <c r="H198" s="482"/>
      <c r="I198" s="482"/>
      <c r="J198" s="482"/>
      <c r="K198" s="482"/>
      <c r="L198" s="482"/>
      <c r="M198" s="482"/>
      <c r="N198" s="482"/>
      <c r="O198" s="482"/>
      <c r="P198" s="482"/>
      <c r="Q198" s="482"/>
      <c r="R198" s="484">
        <f>SUM(R183:R197)</f>
        <v>91.688429999999968</v>
      </c>
      <c r="S198" s="441">
        <f>R198/8.7*10000/G198</f>
        <v>0.18749088243770698</v>
      </c>
      <c r="T198" s="441">
        <f>R198/8.5*10000/G198</f>
        <v>0.19190243261271187</v>
      </c>
      <c r="U198" s="128">
        <f>(T198-S198)/T198</f>
        <v>2.2988505747126516E-2</v>
      </c>
      <c r="V198" s="485">
        <v>375000</v>
      </c>
      <c r="W198" s="22">
        <f>G198-V198</f>
        <v>187102</v>
      </c>
      <c r="X198" s="130"/>
      <c r="Y198" s="432">
        <f>SUM(Y183:Y197)</f>
        <v>1669707.92</v>
      </c>
      <c r="Z198" s="432"/>
      <c r="AA198" s="446">
        <f>SUM(AA183:AA187)</f>
        <v>0</v>
      </c>
      <c r="AB198" s="446">
        <f>SUM(AB183:AB187)</f>
        <v>0</v>
      </c>
    </row>
    <row r="199" spans="1:28" x14ac:dyDescent="0.3">
      <c r="A199" s="146">
        <v>43585.631944444445</v>
      </c>
      <c r="B199" s="146">
        <v>43588.701388888891</v>
      </c>
      <c r="C199" s="23"/>
      <c r="D199" s="25"/>
      <c r="E199" s="35" t="s">
        <v>379</v>
      </c>
      <c r="F199" s="36" t="s">
        <v>39</v>
      </c>
      <c r="G199" s="433">
        <v>48640</v>
      </c>
      <c r="H199" s="433" t="s">
        <v>40</v>
      </c>
      <c r="I199" s="433">
        <v>88000</v>
      </c>
      <c r="J199" s="454">
        <f>(G199)-I199</f>
        <v>-39360</v>
      </c>
      <c r="K199" s="27">
        <f>B199-A199</f>
        <v>3.0694444444452529</v>
      </c>
      <c r="L199" s="27">
        <f>'[93]PEACE ARK'!$F$87</f>
        <v>1.7725694444440403</v>
      </c>
      <c r="M199" s="434">
        <f>(G199)/K199</f>
        <v>15846.515837099898</v>
      </c>
      <c r="N199" s="434">
        <f>G199/L199</f>
        <v>27440.39177277805</v>
      </c>
      <c r="O199" s="467">
        <v>30000</v>
      </c>
      <c r="P199" s="69">
        <f>(145960/10000)*8.7</f>
        <v>126.98519999999999</v>
      </c>
      <c r="Q199" s="69">
        <f>(132631/10000)*8.7</f>
        <v>115.38896999999999</v>
      </c>
      <c r="R199" s="455">
        <f>P199-Q199</f>
        <v>11.596230000000006</v>
      </c>
      <c r="S199" s="435">
        <f>R199/8.7*10000/(G199)</f>
        <v>0.27403371710526336</v>
      </c>
      <c r="T199" s="435">
        <f>R199/8.5*10000/(G199)</f>
        <v>0.28048156927244594</v>
      </c>
      <c r="U199" s="103"/>
      <c r="X199" s="436">
        <v>2.64</v>
      </c>
      <c r="Y199" s="33">
        <f>G199*X199</f>
        <v>128409.60000000001</v>
      </c>
      <c r="AA199" s="445"/>
      <c r="AB199" s="469"/>
    </row>
    <row r="200" spans="1:28" x14ac:dyDescent="0.3">
      <c r="A200" s="146">
        <v>43588.979166666664</v>
      </c>
      <c r="B200" s="146">
        <v>43590.027777777781</v>
      </c>
      <c r="C200" s="23"/>
      <c r="D200" s="25"/>
      <c r="E200" s="35" t="s">
        <v>380</v>
      </c>
      <c r="F200" s="45" t="s">
        <v>32</v>
      </c>
      <c r="G200" s="433">
        <v>22158</v>
      </c>
      <c r="H200" s="433" t="s">
        <v>33</v>
      </c>
      <c r="I200" s="433">
        <v>73300</v>
      </c>
      <c r="J200" s="454">
        <f>(G200)-I200</f>
        <v>-51142</v>
      </c>
      <c r="K200" s="27">
        <f>B200-A200</f>
        <v>1.0486111111167702</v>
      </c>
      <c r="L200" s="27">
        <f>[94]EVERSHINE!$F$42</f>
        <v>0.88715277779192547</v>
      </c>
      <c r="M200" s="434">
        <f>(G200)/K200</f>
        <v>21130.807946905828</v>
      </c>
      <c r="N200" s="434">
        <f>G200/L200</f>
        <v>24976.532289229872</v>
      </c>
      <c r="O200" s="467">
        <v>30000</v>
      </c>
      <c r="P200" s="69">
        <f>(132051/10000)*8.7</f>
        <v>114.88436999999999</v>
      </c>
      <c r="Q200" s="69">
        <f>(126950/10000)*8.7</f>
        <v>110.4465</v>
      </c>
      <c r="R200" s="455">
        <f>P200-Q200</f>
        <v>4.4378699999999895</v>
      </c>
      <c r="S200" s="435">
        <f>R200/8.7*10000/(G200)</f>
        <v>0.23021030778951121</v>
      </c>
      <c r="T200" s="435">
        <f>R200/8.5*10000/(G200)</f>
        <v>0.23562702091397023</v>
      </c>
      <c r="U200" s="103"/>
      <c r="V200" s="444"/>
      <c r="W200" s="488"/>
      <c r="X200" s="436">
        <v>2.64</v>
      </c>
      <c r="Y200" s="33">
        <f>G200*X200</f>
        <v>58497.120000000003</v>
      </c>
      <c r="Z200" s="33"/>
      <c r="AA200" s="445"/>
      <c r="AB200" s="469"/>
    </row>
    <row r="201" spans="1:28" x14ac:dyDescent="0.3">
      <c r="A201" s="146">
        <v>43590.770833333336</v>
      </c>
      <c r="B201" s="146">
        <v>43593.298611111109</v>
      </c>
      <c r="C201" s="23"/>
      <c r="D201" s="25"/>
      <c r="E201" s="35" t="s">
        <v>381</v>
      </c>
      <c r="F201" s="45" t="s">
        <v>32</v>
      </c>
      <c r="G201" s="433">
        <v>46649</v>
      </c>
      <c r="H201" s="433" t="s">
        <v>33</v>
      </c>
      <c r="I201" s="433">
        <v>69250</v>
      </c>
      <c r="J201" s="454">
        <f>(G201)-I201</f>
        <v>-22601</v>
      </c>
      <c r="K201" s="27">
        <f>B201-A201</f>
        <v>2.5277777777737356</v>
      </c>
      <c r="L201" s="27">
        <f>'[94]FORTUNE UNION'!$F$93</f>
        <v>1.769097222199586</v>
      </c>
      <c r="M201" s="434">
        <f>(G201)/K201</f>
        <v>18454.549450578961</v>
      </c>
      <c r="N201" s="434">
        <f>G201/L201</f>
        <v>26368.816487089116</v>
      </c>
      <c r="O201" s="467">
        <v>30000</v>
      </c>
      <c r="P201" s="69">
        <f>(125470/10000)*8.7</f>
        <v>109.1589</v>
      </c>
      <c r="Q201" s="69">
        <f>(114531/10000)*8.7</f>
        <v>99.641969999999986</v>
      </c>
      <c r="R201" s="455">
        <f>P201-Q201</f>
        <v>9.5169300000000163</v>
      </c>
      <c r="S201" s="435">
        <f>R201/8.7*10000/(G201)</f>
        <v>0.23449591631117533</v>
      </c>
      <c r="T201" s="435">
        <f>R201/8.5*10000/(G201)</f>
        <v>0.240013467283203</v>
      </c>
      <c r="U201" s="103"/>
      <c r="V201" s="444"/>
      <c r="W201" s="488"/>
      <c r="X201" s="436">
        <v>2.64</v>
      </c>
      <c r="Y201" s="33">
        <f>G201*X201</f>
        <v>123153.36</v>
      </c>
      <c r="Z201" s="33"/>
      <c r="AA201" s="445"/>
      <c r="AB201" s="469"/>
    </row>
    <row r="202" spans="1:28" x14ac:dyDescent="0.3">
      <c r="A202" s="146">
        <v>43593.555555555555</v>
      </c>
      <c r="B202" s="146">
        <v>43595.229166666664</v>
      </c>
      <c r="C202" s="23"/>
      <c r="D202" s="25"/>
      <c r="E202" s="35" t="s">
        <v>257</v>
      </c>
      <c r="F202" s="45" t="s">
        <v>39</v>
      </c>
      <c r="G202" s="433">
        <v>27281</v>
      </c>
      <c r="H202" s="433" t="s">
        <v>33</v>
      </c>
      <c r="I202" s="433">
        <v>81900</v>
      </c>
      <c r="J202" s="449">
        <f>(G202)-I202</f>
        <v>-54619</v>
      </c>
      <c r="K202" s="27">
        <f>B202-A202</f>
        <v>1.6736111111094942</v>
      </c>
      <c r="L202" s="27">
        <f>'[94]PACIFIC ENERGY'!$F$62</f>
        <v>1.0868055555571725</v>
      </c>
      <c r="M202" s="434">
        <f>(G202)/K202</f>
        <v>16300.680497941059</v>
      </c>
      <c r="N202" s="434">
        <f>G202/L202</f>
        <v>25102.00638973901</v>
      </c>
      <c r="O202" s="467">
        <v>30000</v>
      </c>
      <c r="P202" s="69">
        <f>(113801/10000)*8.7</f>
        <v>99.006869999999992</v>
      </c>
      <c r="Q202" s="69">
        <f>(106401/10000)*8.7</f>
        <v>92.56886999999999</v>
      </c>
      <c r="R202" s="455">
        <f>P202-Q202</f>
        <v>6.4380000000000024</v>
      </c>
      <c r="S202" s="435">
        <f>R202/8.7*10000/(G202)</f>
        <v>0.27125105384699988</v>
      </c>
      <c r="T202" s="435">
        <f>R202/8.5*10000/(G202)</f>
        <v>0.27763343158457632</v>
      </c>
      <c r="U202" s="103"/>
      <c r="V202" s="444"/>
      <c r="W202" s="488"/>
      <c r="X202" s="436">
        <v>2.64</v>
      </c>
      <c r="Y202" s="33">
        <f>G202*X202</f>
        <v>72021.84</v>
      </c>
      <c r="Z202" s="33"/>
      <c r="AA202" s="445"/>
      <c r="AB202" s="469"/>
    </row>
    <row r="203" spans="1:28" x14ac:dyDescent="0.3">
      <c r="A203" s="146">
        <v>43597.690972222219</v>
      </c>
      <c r="B203" s="146">
        <v>43599.222222222219</v>
      </c>
      <c r="C203" s="23"/>
      <c r="D203" s="25"/>
      <c r="E203" s="35" t="s">
        <v>263</v>
      </c>
      <c r="F203" s="45" t="s">
        <v>39</v>
      </c>
      <c r="G203" s="433">
        <v>28359</v>
      </c>
      <c r="H203" s="433" t="s">
        <v>33</v>
      </c>
      <c r="I203" s="433">
        <v>82065</v>
      </c>
      <c r="J203" s="434">
        <f>(G203)-I203</f>
        <v>-53706</v>
      </c>
      <c r="K203" s="27">
        <f>B203-A203</f>
        <v>1.53125</v>
      </c>
      <c r="L203" s="27">
        <f>'[94]LEADING GLORY'!$F$56</f>
        <v>1.1701388888723159</v>
      </c>
      <c r="M203" s="434">
        <f>(G203)/K203</f>
        <v>18520.163265306124</v>
      </c>
      <c r="N203" s="434">
        <f>G203/L203</f>
        <v>24235.584570076193</v>
      </c>
      <c r="O203" s="467">
        <v>30000</v>
      </c>
      <c r="P203" s="69">
        <f>(102309/10000)*8.7</f>
        <v>89.008829999999989</v>
      </c>
      <c r="Q203" s="69">
        <f>(95516/10000)*8.7</f>
        <v>83.098919999999993</v>
      </c>
      <c r="R203" s="455">
        <f>P203-Q203</f>
        <v>5.9099099999999964</v>
      </c>
      <c r="S203" s="435">
        <f>R203/8.7*10000/(G203)</f>
        <v>0.23953594978666376</v>
      </c>
      <c r="T203" s="435">
        <f>R203/8.5*10000/(G203)</f>
        <v>0.24517208978164401</v>
      </c>
      <c r="U203" s="103"/>
      <c r="V203" s="444"/>
      <c r="W203" s="488"/>
      <c r="X203" s="436">
        <v>2.64</v>
      </c>
      <c r="Y203" s="33">
        <f>G203*X203</f>
        <v>74867.760000000009</v>
      </c>
      <c r="Z203" s="33"/>
      <c r="AA203" s="445"/>
      <c r="AB203" s="469"/>
    </row>
    <row r="204" spans="1:28" ht="15.6" x14ac:dyDescent="0.3">
      <c r="A204" s="697" t="s">
        <v>382</v>
      </c>
      <c r="B204" s="697"/>
      <c r="C204" s="697"/>
      <c r="D204" s="697"/>
      <c r="E204" s="697"/>
      <c r="F204" s="697"/>
      <c r="G204" s="697"/>
      <c r="H204" s="697"/>
      <c r="I204" s="697"/>
      <c r="J204" s="697"/>
      <c r="K204" s="697"/>
      <c r="L204" s="697"/>
      <c r="M204" s="697"/>
      <c r="N204" s="697"/>
      <c r="O204" s="697"/>
      <c r="P204" s="697"/>
      <c r="Q204" s="697"/>
      <c r="R204" s="697"/>
      <c r="S204" s="697"/>
      <c r="T204" s="697"/>
      <c r="U204" s="161"/>
      <c r="V204" s="18"/>
      <c r="W204" s="15"/>
      <c r="X204" s="436"/>
      <c r="Y204" s="33"/>
      <c r="Z204" s="19"/>
      <c r="AA204" s="502"/>
      <c r="AB204" s="503"/>
    </row>
    <row r="205" spans="1:28" x14ac:dyDescent="0.3">
      <c r="A205" s="210"/>
      <c r="B205" s="210"/>
      <c r="C205" s="13"/>
      <c r="D205" s="16"/>
      <c r="E205" s="39" t="s">
        <v>29</v>
      </c>
      <c r="F205" s="424"/>
      <c r="G205" s="457">
        <f>V206-SUM(G199:G203)</f>
        <v>201913</v>
      </c>
      <c r="H205" s="457"/>
      <c r="I205" s="457"/>
      <c r="J205" s="504"/>
      <c r="K205" s="17"/>
      <c r="L205" s="17"/>
      <c r="M205" s="505"/>
      <c r="N205" s="505"/>
      <c r="O205" s="506"/>
      <c r="P205" s="246"/>
      <c r="Q205" s="246"/>
      <c r="R205" s="507"/>
      <c r="S205" s="508"/>
      <c r="T205" s="508"/>
      <c r="U205" s="215"/>
      <c r="V205" s="509"/>
      <c r="W205" s="510"/>
      <c r="X205" s="436">
        <v>2.64</v>
      </c>
      <c r="Y205" s="33">
        <f>G205*X205</f>
        <v>533050.32000000007</v>
      </c>
      <c r="Z205" s="19"/>
      <c r="AA205" s="511"/>
      <c r="AB205" s="503"/>
    </row>
    <row r="206" spans="1:28" x14ac:dyDescent="0.3">
      <c r="A206" s="50"/>
      <c r="B206" s="50"/>
      <c r="C206" s="20">
        <v>1000000021</v>
      </c>
      <c r="D206" s="50"/>
      <c r="E206" s="122" t="s">
        <v>52</v>
      </c>
      <c r="F206" s="123"/>
      <c r="G206" s="501">
        <f>SUM(G199:G203)</f>
        <v>173087</v>
      </c>
      <c r="H206" s="482"/>
      <c r="I206" s="482"/>
      <c r="J206" s="482"/>
      <c r="K206" s="482"/>
      <c r="L206" s="482"/>
      <c r="M206" s="482"/>
      <c r="N206" s="482"/>
      <c r="O206" s="482"/>
      <c r="P206" s="482"/>
      <c r="Q206" s="482"/>
      <c r="R206" s="484">
        <f>SUM(R199:R203)</f>
        <v>37.89894000000001</v>
      </c>
      <c r="S206" s="441">
        <f>R206/8.7*10000/G206</f>
        <v>0.25167690236701784</v>
      </c>
      <c r="T206" s="441">
        <f>R206/8.5*10000/G206</f>
        <v>0.25759871183447702</v>
      </c>
      <c r="U206" s="128">
        <f>(T206-S206)/T206</f>
        <v>2.2988505747126207E-2</v>
      </c>
      <c r="V206" s="485">
        <v>375000</v>
      </c>
      <c r="W206" s="22">
        <f>G206-V206</f>
        <v>-201913</v>
      </c>
      <c r="X206" s="130"/>
      <c r="Y206" s="432">
        <f>SUM(Y199:Y205)</f>
        <v>990000.00000000012</v>
      </c>
      <c r="Z206" s="432"/>
      <c r="AA206" s="446">
        <f>SUM(AA199:AA203)</f>
        <v>0</v>
      </c>
      <c r="AB206" s="446">
        <f>SUM(AB199:AB203)</f>
        <v>0</v>
      </c>
    </row>
    <row r="207" spans="1:28" x14ac:dyDescent="0.3">
      <c r="A207" s="191"/>
      <c r="B207" s="191"/>
      <c r="C207" s="192"/>
      <c r="D207" s="36"/>
      <c r="E207" s="193"/>
      <c r="F207" s="194"/>
      <c r="G207" s="512"/>
      <c r="H207" s="512"/>
      <c r="I207" s="513"/>
      <c r="J207" s="513"/>
      <c r="K207" s="62"/>
      <c r="L207" s="62"/>
      <c r="M207" s="512"/>
      <c r="N207" s="512"/>
      <c r="O207" s="513"/>
      <c r="P207" s="514"/>
      <c r="Q207" s="514"/>
      <c r="R207" s="514"/>
      <c r="S207" s="198"/>
      <c r="T207" s="198"/>
      <c r="U207" s="515"/>
      <c r="V207" s="200"/>
      <c r="W207" s="201"/>
      <c r="X207" s="516"/>
      <c r="Y207" s="53"/>
      <c r="Z207" s="203"/>
      <c r="AA207" s="517"/>
      <c r="AB207" s="518"/>
    </row>
    <row r="208" spans="1:28" x14ac:dyDescent="0.3">
      <c r="A208" s="50"/>
      <c r="B208" s="50"/>
      <c r="C208" s="20">
        <v>1000000025</v>
      </c>
      <c r="D208" s="50"/>
      <c r="E208" s="122" t="s">
        <v>60</v>
      </c>
      <c r="F208" s="123"/>
      <c r="G208" s="501">
        <f>SUM(G207:G207)</f>
        <v>0</v>
      </c>
      <c r="H208" s="482"/>
      <c r="I208" s="482"/>
      <c r="J208" s="482"/>
      <c r="K208" s="482"/>
      <c r="L208" s="482"/>
      <c r="M208" s="482"/>
      <c r="N208" s="482"/>
      <c r="O208" s="482"/>
      <c r="P208" s="482"/>
      <c r="Q208" s="482"/>
      <c r="R208" s="484">
        <f>SUM(R207:R207)</f>
        <v>0</v>
      </c>
      <c r="S208" s="441" t="e">
        <f>R208/8.7*10000/G208</f>
        <v>#DIV/0!</v>
      </c>
      <c r="T208" s="441" t="e">
        <f>R208/8.5*10000/G208</f>
        <v>#DIV/0!</v>
      </c>
      <c r="U208" s="482"/>
      <c r="V208" s="485">
        <v>375000</v>
      </c>
      <c r="W208" s="22">
        <f>G208-V208</f>
        <v>-375000</v>
      </c>
      <c r="X208" s="130"/>
      <c r="Y208" s="432">
        <f>SUM(Y207:Y207)</f>
        <v>0</v>
      </c>
      <c r="Z208" s="432"/>
      <c r="AA208" s="446">
        <f>SUM(AA207:AA207)</f>
        <v>0</v>
      </c>
      <c r="AB208" s="446">
        <f>SUM(AB207:AB207)</f>
        <v>0</v>
      </c>
    </row>
    <row r="209" spans="1:28" ht="15.6" x14ac:dyDescent="0.3">
      <c r="A209" s="698" t="s">
        <v>383</v>
      </c>
      <c r="B209" s="698"/>
      <c r="C209" s="698"/>
      <c r="D209" s="698"/>
      <c r="E209" s="698"/>
      <c r="F209" s="698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519"/>
      <c r="X209" s="520"/>
      <c r="Y209" s="521"/>
      <c r="Z209" s="521"/>
      <c r="AA209" s="522"/>
      <c r="AB209" s="522"/>
    </row>
    <row r="210" spans="1:28" x14ac:dyDescent="0.3">
      <c r="A210" s="146">
        <v>43670.885416666664</v>
      </c>
      <c r="B210" s="146">
        <v>43674.444444444445</v>
      </c>
      <c r="C210" s="23"/>
      <c r="D210" s="23"/>
      <c r="E210" s="35" t="s">
        <v>205</v>
      </c>
      <c r="F210" s="36" t="s">
        <v>39</v>
      </c>
      <c r="G210" s="433">
        <f>90060-G211</f>
        <v>81968</v>
      </c>
      <c r="H210" s="433"/>
      <c r="I210" s="433">
        <v>90060</v>
      </c>
      <c r="J210" s="454">
        <f>(G210+G211)-I210</f>
        <v>0</v>
      </c>
      <c r="K210" s="27">
        <f>B210-A210</f>
        <v>3.5590277777810115</v>
      </c>
      <c r="L210" s="27">
        <f>'[95]TAIPOWER PROSPERITY V'!$F$132</f>
        <v>1.7881944444549542</v>
      </c>
      <c r="M210" s="434">
        <f>(G210)/K210</f>
        <v>23031.00878046688</v>
      </c>
      <c r="N210" s="434">
        <f>(G210+G211)/L210</f>
        <v>50363.65048514089</v>
      </c>
      <c r="O210" s="467">
        <v>30000</v>
      </c>
      <c r="P210" s="69">
        <f>(68139/10000)*8.7</f>
        <v>59.280929999999998</v>
      </c>
      <c r="Q210" s="69">
        <f>(50775/10000)*8.7</f>
        <v>44.174249999999994</v>
      </c>
      <c r="R210" s="455">
        <f>P210-Q210</f>
        <v>15.106680000000004</v>
      </c>
      <c r="S210" s="435">
        <f>R210/8.7*10000/(G210+G211)</f>
        <v>0.192804796802132</v>
      </c>
      <c r="T210" s="435">
        <f>R210/8.5*10000/(G210)</f>
        <v>0.21682320790896886</v>
      </c>
      <c r="U210" s="486"/>
      <c r="X210" s="436">
        <v>2.64</v>
      </c>
      <c r="Y210" s="33">
        <f>G210*X210</f>
        <v>216395.52000000002</v>
      </c>
      <c r="AA210" s="445"/>
      <c r="AB210" s="489"/>
    </row>
    <row r="211" spans="1:28" x14ac:dyDescent="0.3">
      <c r="A211" s="146"/>
      <c r="B211" s="146"/>
      <c r="C211" s="23"/>
      <c r="D211" s="23"/>
      <c r="E211" s="35" t="s">
        <v>289</v>
      </c>
      <c r="F211" s="36"/>
      <c r="G211" s="433">
        <v>8092</v>
      </c>
      <c r="H211" s="447"/>
      <c r="I211" s="433"/>
      <c r="J211" s="449"/>
      <c r="K211" s="27"/>
      <c r="L211" s="27"/>
      <c r="M211" s="434"/>
      <c r="N211" s="434"/>
      <c r="O211" s="434"/>
      <c r="P211" s="486"/>
      <c r="Q211" s="486"/>
      <c r="R211" s="455"/>
      <c r="S211" s="103"/>
      <c r="T211" s="103"/>
      <c r="U211" s="486"/>
      <c r="X211" s="436">
        <v>6.5</v>
      </c>
      <c r="Y211" s="33">
        <f>G211*X211</f>
        <v>52598</v>
      </c>
      <c r="AA211" s="445"/>
      <c r="AB211" s="489"/>
    </row>
    <row r="212" spans="1:28" x14ac:dyDescent="0.3">
      <c r="A212" s="50"/>
      <c r="B212" s="50"/>
      <c r="C212" s="50"/>
      <c r="D212" s="50"/>
      <c r="E212" s="122" t="s">
        <v>67</v>
      </c>
      <c r="F212" s="123"/>
      <c r="G212" s="501">
        <f>SUM(G210:G211)</f>
        <v>90060</v>
      </c>
      <c r="H212" s="482"/>
      <c r="I212" s="482"/>
      <c r="J212" s="482"/>
      <c r="K212" s="482"/>
      <c r="L212" s="482"/>
      <c r="M212" s="482"/>
      <c r="N212" s="482"/>
      <c r="O212" s="482"/>
      <c r="P212" s="482"/>
      <c r="Q212" s="482"/>
      <c r="R212" s="484">
        <f>SUM(R210:R211)</f>
        <v>15.106680000000004</v>
      </c>
      <c r="S212" s="441">
        <f>R212/8.7*10000/G212</f>
        <v>0.192804796802132</v>
      </c>
      <c r="T212" s="441">
        <f>R212/8.5*10000/G212</f>
        <v>0.1973413802562998</v>
      </c>
      <c r="U212" s="482"/>
      <c r="V212" s="485">
        <v>88709.68</v>
      </c>
      <c r="W212" s="22">
        <f>G212-V212</f>
        <v>1350.320000000007</v>
      </c>
      <c r="X212" s="130"/>
      <c r="Y212" s="432">
        <f>SUM(Y210:Y211)</f>
        <v>268993.52</v>
      </c>
      <c r="Z212" s="432"/>
      <c r="AA212" s="446">
        <f>SUM(AA210:AA211)</f>
        <v>0</v>
      </c>
      <c r="AB212" s="446">
        <f>SUM(AB210:AB211)</f>
        <v>0</v>
      </c>
    </row>
    <row r="213" spans="1:28" x14ac:dyDescent="0.3">
      <c r="A213" s="146">
        <v>43682.416666666664</v>
      </c>
      <c r="B213" s="146">
        <v>43683.381944444445</v>
      </c>
      <c r="C213" s="23"/>
      <c r="D213" s="23"/>
      <c r="E213" s="35" t="s">
        <v>384</v>
      </c>
      <c r="F213" s="45" t="s">
        <v>32</v>
      </c>
      <c r="G213" s="433">
        <v>33929</v>
      </c>
      <c r="H213" s="433"/>
      <c r="I213" s="433">
        <v>68200</v>
      </c>
      <c r="J213" s="454">
        <f>(G213)-I213</f>
        <v>-34271</v>
      </c>
      <c r="K213" s="27">
        <f>B213-A213</f>
        <v>0.96527777778101154</v>
      </c>
      <c r="L213" s="27">
        <f>'[96]ORIENT LOONG'!$F$62</f>
        <v>0.68229166668485652</v>
      </c>
      <c r="M213" s="434">
        <f>(G213)/K213</f>
        <v>35149.46762578153</v>
      </c>
      <c r="N213" s="434">
        <f>(G213)/L213</f>
        <v>49727.999998674255</v>
      </c>
      <c r="O213" s="467">
        <v>30000</v>
      </c>
      <c r="P213" s="69">
        <f>(151010/10000)*8.7</f>
        <v>131.37870000000001</v>
      </c>
      <c r="Q213" s="69">
        <f>(145270/10000)*8.7</f>
        <v>126.38489999999999</v>
      </c>
      <c r="R213" s="455">
        <f>P213-Q213</f>
        <v>4.9938000000000216</v>
      </c>
      <c r="S213" s="435">
        <f>R213/8.7*10000/(G213)</f>
        <v>0.16917681039818519</v>
      </c>
      <c r="T213" s="435">
        <f>R213/8.5*10000/(G213)</f>
        <v>0.17315744123108368</v>
      </c>
      <c r="U213" s="486"/>
      <c r="X213" s="436">
        <v>2.64</v>
      </c>
      <c r="Y213" s="33">
        <f t="shared" ref="Y213:Y230" si="53">G213*X213</f>
        <v>89572.56</v>
      </c>
      <c r="AA213" s="445"/>
      <c r="AB213" s="469"/>
    </row>
    <row r="214" spans="1:28" x14ac:dyDescent="0.3">
      <c r="A214" s="146">
        <v>43685.256944444445</v>
      </c>
      <c r="B214" s="146">
        <v>43686.427083333336</v>
      </c>
      <c r="C214" s="23"/>
      <c r="D214" s="23"/>
      <c r="E214" s="35" t="s">
        <v>256</v>
      </c>
      <c r="F214" s="45" t="s">
        <v>32</v>
      </c>
      <c r="G214" s="433">
        <v>32377</v>
      </c>
      <c r="H214" s="433"/>
      <c r="I214" s="433">
        <v>67000</v>
      </c>
      <c r="J214" s="454">
        <f>(G214)-I214</f>
        <v>-34623</v>
      </c>
      <c r="K214" s="27">
        <f>B214-A214</f>
        <v>1.1701388888905058</v>
      </c>
      <c r="L214" s="27">
        <f>'[96]YUE DIAN 2'!$F$66</f>
        <v>0.74131944443312625</v>
      </c>
      <c r="M214" s="434">
        <f>(G214)/K214</f>
        <v>27669.364985124972</v>
      </c>
      <c r="N214" s="434">
        <f>(G214)/L214</f>
        <v>43674.829040479461</v>
      </c>
      <c r="O214" s="467">
        <v>30000</v>
      </c>
      <c r="P214" s="69">
        <f>(142568/10000)*8.7</f>
        <v>124.03415999999999</v>
      </c>
      <c r="Q214" s="69">
        <f>(135888/10000)*8.7</f>
        <v>118.22256</v>
      </c>
      <c r="R214" s="455">
        <f>P214-Q214</f>
        <v>5.8115999999999843</v>
      </c>
      <c r="S214" s="435">
        <f>R214/8.7*10000/(G214)</f>
        <v>0.20631930073817781</v>
      </c>
      <c r="T214" s="435">
        <f>R214/8.5*10000/(G214)</f>
        <v>0.21117387252025255</v>
      </c>
      <c r="U214" s="486"/>
      <c r="X214" s="436">
        <v>2.64</v>
      </c>
      <c r="Y214" s="33">
        <f t="shared" si="53"/>
        <v>85475.28</v>
      </c>
      <c r="AA214" s="445"/>
      <c r="AB214" s="469"/>
    </row>
    <row r="215" spans="1:28" x14ac:dyDescent="0.3">
      <c r="A215" s="146">
        <v>43687.215277777781</v>
      </c>
      <c r="B215" s="146">
        <v>43690.423611111109</v>
      </c>
      <c r="C215" s="23"/>
      <c r="D215" s="23"/>
      <c r="E215" s="35" t="s">
        <v>385</v>
      </c>
      <c r="F215" s="36" t="s">
        <v>32</v>
      </c>
      <c r="G215" s="433">
        <f>53273-G216-G217</f>
        <v>38144</v>
      </c>
      <c r="H215" s="433"/>
      <c r="I215" s="433">
        <v>67000</v>
      </c>
      <c r="J215" s="454">
        <f>(G215)-I215</f>
        <v>-28856</v>
      </c>
      <c r="K215" s="27">
        <f>B215-A215</f>
        <v>3.2083333333284827</v>
      </c>
      <c r="L215" s="27">
        <f>'[96]ASIAN MAJESTY'!$F$76</f>
        <v>1.0243055555353446</v>
      </c>
      <c r="M215" s="434">
        <f>(G215+G216+G217)/K215</f>
        <v>16604.571428596533</v>
      </c>
      <c r="N215" s="434">
        <f>(G215+G216+G217)/L215</f>
        <v>52008.894916280442</v>
      </c>
      <c r="O215" s="467">
        <v>30000</v>
      </c>
      <c r="P215" s="69">
        <f>(134798/10000)*8.7</f>
        <v>117.27425999999998</v>
      </c>
      <c r="Q215" s="69">
        <f>(123231/10000)*8.7</f>
        <v>107.21096999999999</v>
      </c>
      <c r="R215" s="455">
        <f>P215-Q215</f>
        <v>10.063289999999995</v>
      </c>
      <c r="S215" s="435">
        <f>R215/8.7*10000/(G215+G216+G217)</f>
        <v>0.21712687477709153</v>
      </c>
      <c r="T215" s="435">
        <f>R215/8.5*10000/(G215+G216+G217)</f>
        <v>0.2222357424189054</v>
      </c>
      <c r="U215" s="486"/>
      <c r="X215" s="436">
        <v>2.64</v>
      </c>
      <c r="Y215" s="33">
        <f t="shared" si="53"/>
        <v>100700.16</v>
      </c>
      <c r="AA215" s="445"/>
      <c r="AB215" s="469"/>
    </row>
    <row r="216" spans="1:28" x14ac:dyDescent="0.3">
      <c r="A216" s="146"/>
      <c r="B216" s="146"/>
      <c r="C216" s="23"/>
      <c r="D216" s="23"/>
      <c r="E216" s="35" t="s">
        <v>386</v>
      </c>
      <c r="F216" s="36"/>
      <c r="G216" s="433">
        <v>7128</v>
      </c>
      <c r="H216" s="433"/>
      <c r="I216" s="433"/>
      <c r="J216" s="454"/>
      <c r="K216" s="27"/>
      <c r="L216" s="27"/>
      <c r="M216" s="434"/>
      <c r="N216" s="434"/>
      <c r="O216" s="467"/>
      <c r="P216" s="69"/>
      <c r="Q216" s="69"/>
      <c r="R216" s="455"/>
      <c r="S216" s="435"/>
      <c r="T216" s="435"/>
      <c r="U216" s="486"/>
      <c r="X216" s="436">
        <v>6.5</v>
      </c>
      <c r="Y216" s="33">
        <f t="shared" si="53"/>
        <v>46332</v>
      </c>
      <c r="AA216" s="445"/>
      <c r="AB216" s="469"/>
    </row>
    <row r="217" spans="1:28" x14ac:dyDescent="0.3">
      <c r="A217" s="146"/>
      <c r="B217" s="146"/>
      <c r="C217" s="23"/>
      <c r="D217" s="23"/>
      <c r="E217" s="35" t="s">
        <v>386</v>
      </c>
      <c r="F217" s="36"/>
      <c r="G217" s="433">
        <v>8001</v>
      </c>
      <c r="H217" s="433"/>
      <c r="I217" s="433"/>
      <c r="J217" s="454"/>
      <c r="K217" s="27"/>
      <c r="L217" s="27"/>
      <c r="M217" s="434"/>
      <c r="N217" s="434"/>
      <c r="O217" s="467"/>
      <c r="P217" s="69"/>
      <c r="Q217" s="69"/>
      <c r="R217" s="455"/>
      <c r="S217" s="435"/>
      <c r="T217" s="435"/>
      <c r="U217" s="486"/>
      <c r="X217" s="436">
        <v>6.5</v>
      </c>
      <c r="Y217" s="33">
        <f t="shared" si="53"/>
        <v>52006.5</v>
      </c>
      <c r="AA217" s="445"/>
      <c r="AB217" s="469"/>
    </row>
    <row r="218" spans="1:28" x14ac:dyDescent="0.3">
      <c r="A218" s="146">
        <v>43693.097222222219</v>
      </c>
      <c r="B218" s="146">
        <v>43696.159722222219</v>
      </c>
      <c r="C218" s="23"/>
      <c r="D218" s="23"/>
      <c r="E218" s="35" t="s">
        <v>286</v>
      </c>
      <c r="F218" s="36" t="s">
        <v>32</v>
      </c>
      <c r="G218" s="433">
        <f>64999-G219</f>
        <v>60525</v>
      </c>
      <c r="H218" s="433"/>
      <c r="I218" s="433">
        <v>67000</v>
      </c>
      <c r="J218" s="454">
        <f>(G218+G219)-I218</f>
        <v>-2001</v>
      </c>
      <c r="K218" s="27">
        <f>B218-A218</f>
        <v>3.0625</v>
      </c>
      <c r="L218" s="27">
        <f>[96]MEISTER!$F$90</f>
        <v>1.2291666666703047</v>
      </c>
      <c r="M218" s="434">
        <f>(G218+G219)/K218</f>
        <v>21224.163265306124</v>
      </c>
      <c r="N218" s="434">
        <f>(G218+G219)/L218</f>
        <v>52880.542372724842</v>
      </c>
      <c r="O218" s="467">
        <v>30000</v>
      </c>
      <c r="P218" s="69">
        <f>(119306/10000)*8.7</f>
        <v>103.79621999999999</v>
      </c>
      <c r="Q218" s="69">
        <f>(106302/10000)*8.7</f>
        <v>92.482739999999993</v>
      </c>
      <c r="R218" s="455">
        <f>P218-Q218</f>
        <v>11.313479999999998</v>
      </c>
      <c r="S218" s="435">
        <f>R218/8.7*10000/(G218+G219)</f>
        <v>0.20006461637871351</v>
      </c>
      <c r="T218" s="435">
        <f>R218/8.5*10000/(G218+G219)</f>
        <v>0.20477201911703616</v>
      </c>
      <c r="U218" s="486"/>
      <c r="X218" s="436">
        <v>2.64</v>
      </c>
      <c r="Y218" s="33">
        <f t="shared" si="53"/>
        <v>159786</v>
      </c>
      <c r="AA218" s="445"/>
      <c r="AB218" s="469"/>
    </row>
    <row r="219" spans="1:28" x14ac:dyDescent="0.3">
      <c r="A219" s="146"/>
      <c r="B219" s="146"/>
      <c r="C219" s="23"/>
      <c r="D219" s="23"/>
      <c r="E219" s="35" t="s">
        <v>287</v>
      </c>
      <c r="F219" s="36"/>
      <c r="G219" s="433">
        <v>4474</v>
      </c>
      <c r="H219" s="433"/>
      <c r="I219" s="433"/>
      <c r="J219" s="454"/>
      <c r="K219" s="27"/>
      <c r="L219" s="27"/>
      <c r="M219" s="434"/>
      <c r="N219" s="434"/>
      <c r="O219" s="434"/>
      <c r="P219" s="35"/>
      <c r="Q219" s="35"/>
      <c r="R219" s="224"/>
      <c r="S219" s="103"/>
      <c r="T219" s="103"/>
      <c r="U219" s="486"/>
      <c r="X219" s="436">
        <v>6.5</v>
      </c>
      <c r="Y219" s="33">
        <f t="shared" si="53"/>
        <v>29081</v>
      </c>
      <c r="AA219" s="445"/>
      <c r="AB219" s="469"/>
    </row>
    <row r="220" spans="1:28" x14ac:dyDescent="0.3">
      <c r="A220" s="146">
        <v>43698.888888888891</v>
      </c>
      <c r="B220" s="146">
        <v>43700.722222222219</v>
      </c>
      <c r="C220" s="48"/>
      <c r="D220" s="48"/>
      <c r="E220" s="35" t="s">
        <v>158</v>
      </c>
      <c r="F220" s="36" t="s">
        <v>32</v>
      </c>
      <c r="G220" s="433">
        <v>49359</v>
      </c>
      <c r="H220" s="523"/>
      <c r="I220" s="433">
        <v>73700</v>
      </c>
      <c r="J220" s="454">
        <f>(G220)-I220</f>
        <v>-24341</v>
      </c>
      <c r="K220" s="27">
        <f>B220-A220</f>
        <v>1.8333333333284827</v>
      </c>
      <c r="L220" s="27">
        <f>'[96]WU ZHOU'!$F$81</f>
        <v>0.95833333334909787</v>
      </c>
      <c r="M220" s="434">
        <f>(G220)/K220</f>
        <v>26923.090909162143</v>
      </c>
      <c r="N220" s="434">
        <f>(G220)/L220</f>
        <v>51505.043477413616</v>
      </c>
      <c r="O220" s="467">
        <v>30000</v>
      </c>
      <c r="P220" s="69">
        <v>88.67</v>
      </c>
      <c r="Q220" s="69">
        <v>80.88</v>
      </c>
      <c r="R220" s="455">
        <f>P220-Q220</f>
        <v>7.7900000000000063</v>
      </c>
      <c r="S220" s="435">
        <f>R220/8.7*10000/(G220)</f>
        <v>0.18140608578994219</v>
      </c>
      <c r="T220" s="435">
        <f>R220/8.5*10000/(G220)</f>
        <v>0.18567446427911724</v>
      </c>
      <c r="U220" s="524"/>
      <c r="V220" s="216"/>
      <c r="W220" s="217"/>
      <c r="X220" s="436">
        <v>2.64</v>
      </c>
      <c r="Y220" s="33">
        <f t="shared" si="53"/>
        <v>130307.76000000001</v>
      </c>
      <c r="Z220" s="222"/>
      <c r="AA220" s="525"/>
      <c r="AB220" s="503"/>
    </row>
    <row r="221" spans="1:28" x14ac:dyDescent="0.3">
      <c r="A221" s="210"/>
      <c r="B221" s="210"/>
      <c r="C221" s="48"/>
      <c r="D221" s="48"/>
      <c r="E221" s="39" t="s">
        <v>29</v>
      </c>
      <c r="F221" s="40"/>
      <c r="G221" s="457">
        <f>375000-SUM(G213:G220)</f>
        <v>141063</v>
      </c>
      <c r="H221" s="523"/>
      <c r="I221" s="457"/>
      <c r="J221" s="504"/>
      <c r="K221" s="17"/>
      <c r="L221" s="17"/>
      <c r="M221" s="505"/>
      <c r="N221" s="505"/>
      <c r="O221" s="506"/>
      <c r="P221" s="246"/>
      <c r="Q221" s="246"/>
      <c r="R221" s="507"/>
      <c r="S221" s="508"/>
      <c r="T221" s="508"/>
      <c r="U221" s="524"/>
      <c r="V221" s="216"/>
      <c r="W221" s="217"/>
      <c r="X221" s="436">
        <v>2.64</v>
      </c>
      <c r="Y221" s="33">
        <f t="shared" si="53"/>
        <v>372406.32</v>
      </c>
      <c r="Z221" s="222"/>
      <c r="AA221" s="525"/>
      <c r="AB221" s="503"/>
    </row>
    <row r="222" spans="1:28" x14ac:dyDescent="0.3">
      <c r="A222" s="50"/>
      <c r="B222" s="50"/>
      <c r="C222" s="50"/>
      <c r="D222" s="50"/>
      <c r="E222" s="122" t="s">
        <v>72</v>
      </c>
      <c r="F222" s="123"/>
      <c r="G222" s="501">
        <f>SUM(G213:G220)</f>
        <v>233937</v>
      </c>
      <c r="H222" s="482"/>
      <c r="I222" s="482"/>
      <c r="J222" s="482"/>
      <c r="K222" s="482"/>
      <c r="L222" s="482"/>
      <c r="M222" s="482"/>
      <c r="N222" s="482"/>
      <c r="O222" s="482"/>
      <c r="P222" s="482"/>
      <c r="Q222" s="482"/>
      <c r="R222" s="484">
        <f>SUM(R213:R220)</f>
        <v>39.972170000000006</v>
      </c>
      <c r="S222" s="441">
        <f>R222/8.7*10000/G222</f>
        <v>0.1963991287761481</v>
      </c>
      <c r="T222" s="441">
        <f>R222/8.5*10000/G222</f>
        <v>0.20102028474735154</v>
      </c>
      <c r="U222" s="482"/>
      <c r="V222" s="485">
        <v>375000</v>
      </c>
      <c r="W222" s="22">
        <f>G222-V222</f>
        <v>-141063</v>
      </c>
      <c r="X222" s="130"/>
      <c r="Y222" s="432">
        <f>SUM(Y213:Y221)</f>
        <v>1065667.58</v>
      </c>
      <c r="Z222" s="432"/>
      <c r="AA222" s="446">
        <f>SUM(AA213:AA220)</f>
        <v>0</v>
      </c>
      <c r="AB222" s="446">
        <f>SUM(AB213:AB220)</f>
        <v>0</v>
      </c>
    </row>
    <row r="223" spans="1:28" x14ac:dyDescent="0.3">
      <c r="A223" s="146">
        <v>43712.069444444445</v>
      </c>
      <c r="B223" s="146">
        <v>43713.197916666664</v>
      </c>
      <c r="C223" s="23"/>
      <c r="D223" s="23"/>
      <c r="E223" s="35" t="s">
        <v>387</v>
      </c>
      <c r="F223" s="36" t="s">
        <v>32</v>
      </c>
      <c r="G223" s="433">
        <v>34740</v>
      </c>
      <c r="H223" s="433"/>
      <c r="I223" s="433">
        <v>64999</v>
      </c>
      <c r="J223" s="454">
        <f>(G223)-I223</f>
        <v>-30259</v>
      </c>
      <c r="K223" s="27">
        <f>B223-A223</f>
        <v>1.1284722222189885</v>
      </c>
      <c r="L223" s="27">
        <f>'[97]YUN MI FENG'!$F$58</f>
        <v>0.6996527777688849</v>
      </c>
      <c r="M223" s="434">
        <f>(G223)/K223</f>
        <v>30784.984615472833</v>
      </c>
      <c r="N223" s="434">
        <f>(G223)/L223</f>
        <v>49653.200993186947</v>
      </c>
      <c r="O223" s="467">
        <v>30000</v>
      </c>
      <c r="P223" s="69">
        <f>(189660/10000)*8.7</f>
        <v>165.0042</v>
      </c>
      <c r="Q223" s="69">
        <f>(183530/10000)*8.7</f>
        <v>159.6711</v>
      </c>
      <c r="R223" s="455">
        <f>P223-Q223</f>
        <v>5.3331000000000017</v>
      </c>
      <c r="S223" s="435">
        <f>R223/8.7*10000/(G223)</f>
        <v>0.17645365572826718</v>
      </c>
      <c r="T223" s="435">
        <f>R223/8.5*10000/(G223)</f>
        <v>0.18060550645128526</v>
      </c>
      <c r="U223" s="486"/>
      <c r="X223" s="436">
        <v>2.64</v>
      </c>
      <c r="Y223" s="33">
        <f t="shared" si="53"/>
        <v>91713.600000000006</v>
      </c>
      <c r="AA223" s="445"/>
      <c r="AB223" s="469"/>
    </row>
    <row r="224" spans="1:28" x14ac:dyDescent="0.3">
      <c r="A224" s="146">
        <v>43717.993055555555</v>
      </c>
      <c r="B224" s="146">
        <v>43720.090277777781</v>
      </c>
      <c r="C224" s="23"/>
      <c r="D224" s="23"/>
      <c r="E224" s="35" t="s">
        <v>185</v>
      </c>
      <c r="F224" s="36" t="s">
        <v>32</v>
      </c>
      <c r="G224" s="433">
        <v>72750</v>
      </c>
      <c r="H224" s="433"/>
      <c r="I224" s="433">
        <v>72750</v>
      </c>
      <c r="J224" s="454">
        <f>(G224)-I224</f>
        <v>0</v>
      </c>
      <c r="K224" s="27">
        <f>B224-A224</f>
        <v>2.0972222222262644</v>
      </c>
      <c r="L224" s="27">
        <f>'[97]ALPHA AFOVOS'!$F$111</f>
        <v>1.3611111111119196</v>
      </c>
      <c r="M224" s="434">
        <f>(G224)/K224</f>
        <v>34688.741721787446</v>
      </c>
      <c r="N224" s="434">
        <f>(G224)/L224</f>
        <v>53448.979591804986</v>
      </c>
      <c r="O224" s="467">
        <v>30000</v>
      </c>
      <c r="P224" s="69">
        <f>(175790/10000)*8.7</f>
        <v>152.93729999999999</v>
      </c>
      <c r="Q224" s="69">
        <f>(163600/10000)*8.7</f>
        <v>142.33199999999999</v>
      </c>
      <c r="R224" s="455">
        <f>P224-Q224</f>
        <v>10.6053</v>
      </c>
      <c r="S224" s="435">
        <f>R224/8.7*10000/(G224)</f>
        <v>0.16756013745704468</v>
      </c>
      <c r="T224" s="435">
        <f>R224/8.5*10000/(G224)</f>
        <v>0.17150272892662219</v>
      </c>
      <c r="U224" s="486"/>
      <c r="X224" s="436">
        <v>2.64</v>
      </c>
      <c r="Y224" s="33">
        <f t="shared" si="53"/>
        <v>192060</v>
      </c>
      <c r="AA224" s="445"/>
      <c r="AB224" s="469"/>
    </row>
    <row r="225" spans="1:28" x14ac:dyDescent="0.3">
      <c r="A225" s="23">
        <v>43722.402777777781</v>
      </c>
      <c r="B225" s="146">
        <v>43724.277777777781</v>
      </c>
      <c r="C225" s="23"/>
      <c r="D225" s="23"/>
      <c r="E225" s="35" t="s">
        <v>35</v>
      </c>
      <c r="F225" s="36" t="s">
        <v>32</v>
      </c>
      <c r="G225" s="433">
        <f>65500-G226-G227-G228</f>
        <v>40830</v>
      </c>
      <c r="H225" s="433"/>
      <c r="I225" s="433">
        <v>65500</v>
      </c>
      <c r="J225" s="454">
        <f>(G225+G226+G227+G228)-I225</f>
        <v>0</v>
      </c>
      <c r="K225" s="27">
        <f>B225-A225</f>
        <v>1.875</v>
      </c>
      <c r="L225" s="27">
        <f>'[97]ANDHIKA NARESWARI'!$F$108</f>
        <v>1.2881944444476783</v>
      </c>
      <c r="M225" s="434">
        <f>(G225+G226+G227+G228)/K225</f>
        <v>34933.333333333336</v>
      </c>
      <c r="N225" s="434">
        <f>(G225+G226+G227+G228)/L225</f>
        <v>50846.361185856185</v>
      </c>
      <c r="O225" s="467">
        <v>30000</v>
      </c>
      <c r="P225" s="69">
        <f>(159740/10000)*8.7</f>
        <v>138.97379999999998</v>
      </c>
      <c r="Q225" s="69">
        <f>(149740/10000)*8.7</f>
        <v>130.27379999999999</v>
      </c>
      <c r="R225" s="455">
        <f>P225-Q225</f>
        <v>8.6999999999999886</v>
      </c>
      <c r="S225" s="435">
        <f>R225/8.7*10000/(G225+G226+G227+G228)</f>
        <v>0.15267175572519065</v>
      </c>
      <c r="T225" s="435">
        <f>R225/8.5*10000/(G225+G226+G227+G228)</f>
        <v>0.15626403233048924</v>
      </c>
      <c r="U225" s="486"/>
      <c r="X225" s="436">
        <v>2.64</v>
      </c>
      <c r="Y225" s="33">
        <f t="shared" si="53"/>
        <v>107791.20000000001</v>
      </c>
      <c r="AA225" s="445"/>
      <c r="AB225" s="469"/>
    </row>
    <row r="226" spans="1:28" x14ac:dyDescent="0.3">
      <c r="A226" s="146"/>
      <c r="B226" s="146"/>
      <c r="C226" s="23"/>
      <c r="D226" s="23"/>
      <c r="E226" s="35" t="s">
        <v>388</v>
      </c>
      <c r="F226" s="36"/>
      <c r="G226" s="433">
        <v>8214</v>
      </c>
      <c r="H226" s="433"/>
      <c r="I226" s="433"/>
      <c r="J226" s="449"/>
      <c r="K226" s="27"/>
      <c r="L226" s="27"/>
      <c r="M226" s="434"/>
      <c r="N226" s="434"/>
      <c r="O226" s="434"/>
      <c r="P226" s="69"/>
      <c r="Q226" s="69"/>
      <c r="R226" s="224"/>
      <c r="S226" s="526"/>
      <c r="T226" s="103"/>
      <c r="U226" s="486"/>
      <c r="X226" s="436">
        <v>6.5</v>
      </c>
      <c r="Y226" s="33">
        <f t="shared" si="53"/>
        <v>53391</v>
      </c>
      <c r="AA226" s="445"/>
      <c r="AB226" s="469"/>
    </row>
    <row r="227" spans="1:28" x14ac:dyDescent="0.3">
      <c r="A227" s="146"/>
      <c r="B227" s="146"/>
      <c r="C227" s="23"/>
      <c r="D227" s="23"/>
      <c r="E227" s="35" t="s">
        <v>388</v>
      </c>
      <c r="F227" s="36"/>
      <c r="G227" s="433">
        <v>8079</v>
      </c>
      <c r="H227" s="433"/>
      <c r="I227" s="433"/>
      <c r="J227" s="449"/>
      <c r="K227" s="27"/>
      <c r="L227" s="27"/>
      <c r="M227" s="434"/>
      <c r="N227" s="434"/>
      <c r="O227" s="434"/>
      <c r="P227" s="69"/>
      <c r="Q227" s="69"/>
      <c r="R227" s="224"/>
      <c r="S227" s="526"/>
      <c r="T227" s="103"/>
      <c r="U227" s="486"/>
      <c r="X227" s="436">
        <v>6.5</v>
      </c>
      <c r="Y227" s="33">
        <f t="shared" si="53"/>
        <v>52513.5</v>
      </c>
      <c r="AA227" s="445"/>
      <c r="AB227" s="527"/>
    </row>
    <row r="228" spans="1:28" x14ac:dyDescent="0.3">
      <c r="A228" s="146"/>
      <c r="B228" s="146"/>
      <c r="C228" s="23"/>
      <c r="D228" s="23"/>
      <c r="E228" s="35" t="s">
        <v>388</v>
      </c>
      <c r="F228" s="36"/>
      <c r="G228" s="433">
        <v>8377</v>
      </c>
      <c r="H228" s="433"/>
      <c r="I228" s="433"/>
      <c r="J228" s="467"/>
      <c r="K228" s="27"/>
      <c r="L228" s="27"/>
      <c r="M228" s="434"/>
      <c r="N228" s="434"/>
      <c r="O228" s="434"/>
      <c r="P228" s="69"/>
      <c r="Q228" s="69"/>
      <c r="R228" s="224"/>
      <c r="S228" s="526"/>
      <c r="T228" s="103"/>
      <c r="U228" s="486"/>
      <c r="V228" s="242"/>
      <c r="W228" s="243"/>
      <c r="X228" s="436">
        <v>6.5</v>
      </c>
      <c r="Y228" s="33">
        <f t="shared" si="53"/>
        <v>54450.5</v>
      </c>
      <c r="Z228" s="244"/>
      <c r="AA228" s="445"/>
      <c r="AB228" s="527"/>
    </row>
    <row r="229" spans="1:28" x14ac:dyDescent="0.3">
      <c r="A229" s="146">
        <v>43726.0625</v>
      </c>
      <c r="B229" s="146">
        <v>43727.229166666664</v>
      </c>
      <c r="C229" s="23"/>
      <c r="D229" s="23"/>
      <c r="E229" s="35" t="s">
        <v>313</v>
      </c>
      <c r="F229" s="36" t="s">
        <v>32</v>
      </c>
      <c r="G229" s="433">
        <v>40892</v>
      </c>
      <c r="H229" s="433"/>
      <c r="I229" s="433">
        <v>71500</v>
      </c>
      <c r="J229" s="454">
        <f>(G229)-I229</f>
        <v>-30608</v>
      </c>
      <c r="K229" s="27">
        <f>B229-A229</f>
        <v>1.1666666666642413</v>
      </c>
      <c r="L229" s="27">
        <f>'[97]JIN ZHU HAI'!$F$66</f>
        <v>0.84201388887110318</v>
      </c>
      <c r="M229" s="434">
        <f>(G229)/K229</f>
        <v>35050.285714358579</v>
      </c>
      <c r="N229" s="434">
        <f>(G229)/L229</f>
        <v>48564.519588654686</v>
      </c>
      <c r="O229" s="467">
        <v>30000</v>
      </c>
      <c r="P229" s="69">
        <f>(146550/10000)*8.7</f>
        <v>127.49849999999998</v>
      </c>
      <c r="Q229" s="69">
        <f>(139710/10000)*8.7</f>
        <v>121.54769999999999</v>
      </c>
      <c r="R229" s="455">
        <f>P229-Q229</f>
        <v>5.9507999999999868</v>
      </c>
      <c r="S229" s="435">
        <f>R229/8.7*10000/(G229)</f>
        <v>0.16726988163944009</v>
      </c>
      <c r="T229" s="435">
        <f>R229/8.5*10000/(G229)</f>
        <v>0.1712056435603681</v>
      </c>
      <c r="U229" s="486"/>
      <c r="V229" s="242"/>
      <c r="W229" s="243"/>
      <c r="X229" s="436">
        <v>2.64</v>
      </c>
      <c r="Y229" s="33">
        <f t="shared" si="53"/>
        <v>107954.88</v>
      </c>
      <c r="Z229" s="244"/>
      <c r="AA229" s="445"/>
      <c r="AB229" s="527"/>
    </row>
    <row r="230" spans="1:28" x14ac:dyDescent="0.3">
      <c r="A230" s="146"/>
      <c r="B230" s="146"/>
      <c r="C230" s="23"/>
      <c r="D230" s="23"/>
      <c r="E230" s="39" t="s">
        <v>29</v>
      </c>
      <c r="F230" s="36"/>
      <c r="G230" s="457">
        <f>231944-SUM(G223:G229)</f>
        <v>18062</v>
      </c>
      <c r="H230" s="447"/>
      <c r="I230" s="433"/>
      <c r="J230" s="449"/>
      <c r="K230" s="27"/>
      <c r="L230" s="27"/>
      <c r="M230" s="434"/>
      <c r="N230" s="434"/>
      <c r="O230" s="434"/>
      <c r="P230" s="69"/>
      <c r="Q230" s="69"/>
      <c r="R230" s="224"/>
      <c r="S230" s="526"/>
      <c r="T230" s="103"/>
      <c r="U230" s="486"/>
      <c r="V230" s="242"/>
      <c r="W230" s="243"/>
      <c r="X230" s="436">
        <v>2.64</v>
      </c>
      <c r="Y230" s="33">
        <f t="shared" si="53"/>
        <v>47683.68</v>
      </c>
      <c r="Z230" s="244"/>
      <c r="AA230" s="445"/>
      <c r="AB230" s="527"/>
    </row>
    <row r="231" spans="1:28" x14ac:dyDescent="0.3">
      <c r="A231" s="50"/>
      <c r="B231" s="50"/>
      <c r="C231" s="50"/>
      <c r="D231" s="50"/>
      <c r="E231" s="122" t="s">
        <v>78</v>
      </c>
      <c r="F231" s="123"/>
      <c r="G231" s="501">
        <f>SUM(G223:G229)</f>
        <v>213882</v>
      </c>
      <c r="H231" s="482"/>
      <c r="I231" s="482"/>
      <c r="J231" s="482"/>
      <c r="K231" s="482"/>
      <c r="L231" s="482"/>
      <c r="M231" s="482"/>
      <c r="N231" s="482"/>
      <c r="O231" s="482"/>
      <c r="P231" s="482"/>
      <c r="Q231" s="482"/>
      <c r="R231" s="484">
        <f>SUM(R223:R230)</f>
        <v>30.589199999999977</v>
      </c>
      <c r="S231" s="441">
        <f>R231/8.7*10000/G231</f>
        <v>0.16438971021404317</v>
      </c>
      <c r="T231" s="441">
        <f>R231/8.5*10000/G231</f>
        <v>0.16825770339555005</v>
      </c>
      <c r="U231" s="484"/>
      <c r="V231" s="485">
        <v>231944</v>
      </c>
      <c r="W231" s="22">
        <f>G231-V231</f>
        <v>-18062</v>
      </c>
      <c r="X231" s="22"/>
      <c r="Y231" s="432">
        <f>SUM(Y223:Y230)</f>
        <v>707558.3600000001</v>
      </c>
      <c r="Z231" s="432"/>
      <c r="AA231" s="446">
        <f>SUM(AA223:AA226)</f>
        <v>0</v>
      </c>
      <c r="AB231" s="446">
        <f>SUM(AB223:AB226)</f>
        <v>0</v>
      </c>
    </row>
    <row r="232" spans="1:28" x14ac:dyDescent="0.3">
      <c r="A232" s="146"/>
      <c r="B232" s="146"/>
      <c r="C232" s="23"/>
      <c r="D232" s="23"/>
      <c r="G232"/>
      <c r="H232" s="433"/>
      <c r="I232" s="433"/>
      <c r="J232" s="449"/>
      <c r="K232" s="27"/>
      <c r="L232" s="27"/>
      <c r="M232" s="434"/>
      <c r="N232" s="434"/>
      <c r="O232" s="434"/>
      <c r="P232" s="69"/>
      <c r="Q232" s="69"/>
      <c r="R232" s="224"/>
      <c r="S232" s="526"/>
      <c r="T232" s="103"/>
      <c r="U232" s="486"/>
      <c r="X232" s="436"/>
      <c r="Y232" s="33"/>
      <c r="AA232" s="445"/>
      <c r="AB232" s="527"/>
    </row>
    <row r="233" spans="1:28" ht="15.6" x14ac:dyDescent="0.3">
      <c r="A233" s="146"/>
      <c r="B233" s="146"/>
      <c r="C233" s="23"/>
      <c r="D233" s="23"/>
      <c r="E233" s="697" t="s">
        <v>389</v>
      </c>
      <c r="F233" s="697"/>
      <c r="G233" s="697"/>
      <c r="H233" s="697"/>
      <c r="I233" s="697"/>
      <c r="J233" s="697"/>
      <c r="K233" s="697"/>
      <c r="L233" s="697"/>
      <c r="M233" s="697"/>
      <c r="N233" s="697"/>
      <c r="O233" s="697"/>
      <c r="P233" s="697"/>
      <c r="Q233" s="697"/>
      <c r="R233" s="697"/>
      <c r="S233" s="697"/>
      <c r="T233" s="697"/>
      <c r="U233" s="697"/>
      <c r="V233" s="697"/>
      <c r="W233" s="697"/>
      <c r="X233" s="697"/>
      <c r="Y233" s="33"/>
      <c r="AA233" s="445"/>
      <c r="AB233" s="527"/>
    </row>
    <row r="234" spans="1:28" x14ac:dyDescent="0.3">
      <c r="A234" s="146"/>
      <c r="B234" s="146"/>
      <c r="C234" s="23"/>
      <c r="D234" s="23"/>
      <c r="E234" s="148"/>
      <c r="F234" s="110"/>
      <c r="G234" s="434"/>
      <c r="H234" s="433"/>
      <c r="I234" s="433"/>
      <c r="J234" s="467"/>
      <c r="K234" s="27"/>
      <c r="L234" s="27"/>
      <c r="M234" s="434"/>
      <c r="N234" s="434"/>
      <c r="O234" s="434"/>
      <c r="P234" s="69"/>
      <c r="Q234" s="69"/>
      <c r="R234" s="224"/>
      <c r="S234" s="526"/>
      <c r="T234" s="103"/>
      <c r="U234" s="486"/>
      <c r="X234" s="436"/>
      <c r="Y234" s="33"/>
      <c r="AA234" s="445"/>
      <c r="AB234" s="527"/>
    </row>
    <row r="235" spans="1:28" ht="15.6" x14ac:dyDescent="0.3">
      <c r="A235" s="146"/>
      <c r="B235" s="146"/>
      <c r="C235" s="23"/>
      <c r="D235" s="23"/>
      <c r="E235" s="697" t="s">
        <v>390</v>
      </c>
      <c r="F235" s="697"/>
      <c r="G235" s="697"/>
      <c r="H235" s="697"/>
      <c r="I235" s="697"/>
      <c r="J235" s="697"/>
      <c r="K235" s="697"/>
      <c r="L235" s="697"/>
      <c r="M235" s="697"/>
      <c r="N235" s="697"/>
      <c r="O235" s="697"/>
      <c r="P235" s="697"/>
      <c r="Q235" s="697"/>
      <c r="R235" s="697"/>
      <c r="S235" s="697"/>
      <c r="T235" s="697"/>
      <c r="U235" s="697"/>
      <c r="V235" s="697"/>
      <c r="W235" s="697"/>
      <c r="X235" s="697"/>
      <c r="Y235" s="33"/>
      <c r="AA235" s="445"/>
      <c r="AB235" s="527"/>
    </row>
    <row r="236" spans="1:28" x14ac:dyDescent="0.3">
      <c r="A236" s="50"/>
      <c r="B236" s="50"/>
      <c r="C236" s="50"/>
      <c r="D236" s="50"/>
      <c r="E236" s="122" t="s">
        <v>84</v>
      </c>
      <c r="F236" s="123"/>
      <c r="G236" s="501"/>
      <c r="H236" s="482"/>
      <c r="I236" s="482"/>
      <c r="J236" s="482"/>
      <c r="K236" s="482"/>
      <c r="L236" s="482"/>
      <c r="M236" s="482"/>
      <c r="N236" s="482"/>
      <c r="O236" s="482"/>
      <c r="P236" s="482"/>
      <c r="Q236" s="482"/>
      <c r="R236" s="484">
        <f>SUM(R232:R235)</f>
        <v>0</v>
      </c>
      <c r="S236" s="441" t="e">
        <f>R236/8.7*10000/G236</f>
        <v>#DIV/0!</v>
      </c>
      <c r="T236" s="484"/>
      <c r="U236" s="484"/>
      <c r="V236" s="485">
        <v>375000</v>
      </c>
      <c r="W236" s="22">
        <f>G236-V236</f>
        <v>-375000</v>
      </c>
      <c r="X236" s="22"/>
      <c r="Y236" s="432">
        <f>SUM(Y232:Y235)</f>
        <v>0</v>
      </c>
      <c r="Z236" s="432"/>
      <c r="AA236" s="446">
        <f>SUM(AA232:AA235)</f>
        <v>0</v>
      </c>
      <c r="AB236" s="446">
        <f>SUM(AB232:AB233)</f>
        <v>0</v>
      </c>
    </row>
    <row r="237" spans="1:28" x14ac:dyDescent="0.3">
      <c r="A237" s="146"/>
      <c r="B237" s="146"/>
      <c r="C237" s="23"/>
      <c r="D237" s="23"/>
      <c r="E237" s="44"/>
      <c r="F237" s="208"/>
      <c r="G237" s="433"/>
      <c r="H237" s="447"/>
      <c r="I237" s="433"/>
      <c r="J237" s="467"/>
      <c r="K237" s="448"/>
      <c r="L237" s="448"/>
      <c r="M237" s="434"/>
      <c r="N237" s="434"/>
      <c r="O237" s="449"/>
      <c r="P237" s="69"/>
      <c r="Q237" s="69"/>
      <c r="R237" s="224"/>
      <c r="S237" s="526"/>
      <c r="T237" s="103"/>
      <c r="U237" s="486"/>
      <c r="V237" s="250"/>
      <c r="X237" s="436"/>
      <c r="Y237" s="33"/>
      <c r="AA237" s="251"/>
      <c r="AB237" s="527"/>
    </row>
    <row r="238" spans="1:28" x14ac:dyDescent="0.3">
      <c r="A238" s="13"/>
      <c r="B238" s="13"/>
      <c r="C238" s="13"/>
      <c r="D238" s="13"/>
      <c r="E238" s="39"/>
      <c r="F238" s="217"/>
      <c r="G238" s="457"/>
      <c r="H238" s="523"/>
      <c r="I238" s="523"/>
      <c r="J238" s="506"/>
      <c r="K238" s="528"/>
      <c r="L238" s="528"/>
      <c r="M238" s="505"/>
      <c r="N238" s="505"/>
      <c r="O238" s="529"/>
      <c r="P238" s="530"/>
      <c r="Q238" s="530"/>
      <c r="R238" s="530"/>
      <c r="S238" s="530"/>
      <c r="T238" s="530"/>
      <c r="U238" s="530"/>
      <c r="V238" s="254"/>
      <c r="W238" s="220"/>
      <c r="X238" s="458"/>
      <c r="Y238" s="19"/>
      <c r="Z238" s="222"/>
      <c r="AA238" s="256"/>
      <c r="AB238" s="503"/>
    </row>
    <row r="239" spans="1:28" x14ac:dyDescent="0.3">
      <c r="E239" s="122" t="s">
        <v>89</v>
      </c>
      <c r="F239" s="123"/>
      <c r="G239" s="501">
        <f>SUM(G237:G237)</f>
        <v>0</v>
      </c>
      <c r="H239" s="482"/>
      <c r="I239" s="482"/>
      <c r="J239" s="482"/>
      <c r="K239" s="482"/>
      <c r="L239" s="482"/>
      <c r="M239" s="482"/>
      <c r="N239" s="482"/>
      <c r="O239" s="482"/>
      <c r="P239" s="482"/>
      <c r="Q239" s="482"/>
      <c r="R239" s="484">
        <f>SUM(R237:R238)</f>
        <v>0</v>
      </c>
      <c r="S239" s="441" t="e">
        <f>R239/8.7*10000/G239</f>
        <v>#DIV/0!</v>
      </c>
      <c r="T239" s="484"/>
      <c r="U239" s="484"/>
      <c r="V239" s="485">
        <v>375000</v>
      </c>
      <c r="W239" s="22">
        <f>G239-V239</f>
        <v>-375000</v>
      </c>
      <c r="X239" s="22"/>
      <c r="Y239" s="432">
        <f>SUM(Y237:Y238)</f>
        <v>0</v>
      </c>
      <c r="Z239" s="432"/>
      <c r="AA239" s="446" t="e">
        <f>SUM(#REF!)</f>
        <v>#REF!</v>
      </c>
      <c r="AB239" s="446" t="e">
        <f>SUM(#REF!)</f>
        <v>#REF!</v>
      </c>
    </row>
    <row r="240" spans="1:28" x14ac:dyDescent="0.3">
      <c r="A240" s="146"/>
      <c r="B240" s="146"/>
      <c r="C240" s="23"/>
      <c r="D240" s="23"/>
      <c r="E240" s="35"/>
      <c r="F240" s="36"/>
      <c r="G240" s="433"/>
      <c r="H240" s="433"/>
      <c r="I240" s="433"/>
      <c r="J240" s="467"/>
      <c r="K240" s="27"/>
      <c r="L240" s="27"/>
      <c r="M240" s="434"/>
      <c r="N240" s="434"/>
      <c r="O240" s="454"/>
      <c r="P240" s="69"/>
      <c r="Q240" s="69"/>
      <c r="R240" s="224"/>
      <c r="S240" s="526"/>
      <c r="T240" s="103"/>
      <c r="U240" s="486"/>
      <c r="X240" s="436"/>
      <c r="Y240" s="33"/>
      <c r="AA240" s="445"/>
      <c r="AB240" s="469"/>
    </row>
    <row r="241" spans="1:29" x14ac:dyDescent="0.3">
      <c r="A241" s="146">
        <v>43798.820833333331</v>
      </c>
      <c r="B241" s="146">
        <v>43810.25</v>
      </c>
      <c r="C241" s="23"/>
      <c r="D241" s="23"/>
      <c r="E241" s="35" t="s">
        <v>391</v>
      </c>
      <c r="F241" s="36" t="s">
        <v>91</v>
      </c>
      <c r="G241" s="433">
        <v>48514</v>
      </c>
      <c r="H241" s="433"/>
      <c r="I241" s="433">
        <v>161380</v>
      </c>
      <c r="J241" s="467">
        <f>G241-I241</f>
        <v>-112866</v>
      </c>
      <c r="K241" s="27">
        <f>B241-A241</f>
        <v>11.429166666668607</v>
      </c>
      <c r="L241" s="27">
        <f>'[98]CAPE FLAMENGO'!$F$190</f>
        <v>4.3069444444578648</v>
      </c>
      <c r="M241" s="434">
        <f>(G241)/K241</f>
        <v>4244.7539190659945</v>
      </c>
      <c r="N241" s="434">
        <f>(G241)/L241</f>
        <v>11264.134150239006</v>
      </c>
      <c r="O241" s="449">
        <v>30000</v>
      </c>
      <c r="P241" s="486">
        <f>(257430/10000)*8.7</f>
        <v>223.96409999999997</v>
      </c>
      <c r="Q241" s="486">
        <f>(227220/10000)*8.7</f>
        <v>197.6814</v>
      </c>
      <c r="R241" s="486">
        <f>P241-Q241</f>
        <v>26.282699999999977</v>
      </c>
      <c r="S241" s="435">
        <f>R241/8.7*10000/(G241)</f>
        <v>0.62270684750793537</v>
      </c>
      <c r="T241" s="435">
        <f>R241/8.5*10000/(G241)</f>
        <v>0.63735877333165136</v>
      </c>
      <c r="U241" s="486"/>
      <c r="X241" s="436"/>
      <c r="Y241" s="33"/>
      <c r="AA241" s="445"/>
      <c r="AB241" s="469"/>
    </row>
    <row r="242" spans="1:29" x14ac:dyDescent="0.3">
      <c r="A242" s="146">
        <v>43812.07916666667</v>
      </c>
      <c r="B242" s="146">
        <v>43827.625</v>
      </c>
      <c r="C242" s="23"/>
      <c r="D242" s="23"/>
      <c r="E242" s="35" t="s">
        <v>392</v>
      </c>
      <c r="F242" s="36" t="s">
        <v>91</v>
      </c>
      <c r="G242" s="433">
        <v>111857</v>
      </c>
      <c r="H242" s="433"/>
      <c r="I242" s="433">
        <v>166880</v>
      </c>
      <c r="J242" s="467">
        <f>G242-I242</f>
        <v>-55023</v>
      </c>
      <c r="K242" s="27">
        <f>B242-A242</f>
        <v>15.545833333329938</v>
      </c>
      <c r="L242" s="27">
        <f>'[98]BERGE AORAKI'!$F$477</f>
        <v>6.3083333333403671</v>
      </c>
      <c r="M242" s="434">
        <f>(G242)/K242</f>
        <v>7195.3042079887064</v>
      </c>
      <c r="N242" s="434">
        <f>(G242)/L242</f>
        <v>17731.624834854734</v>
      </c>
      <c r="O242" s="449">
        <v>30000</v>
      </c>
      <c r="P242" s="69">
        <f>(224610/10000)*8.7</f>
        <v>195.41069999999996</v>
      </c>
      <c r="Q242" s="69">
        <f>(157100/10000)*8.7</f>
        <v>136.67699999999999</v>
      </c>
      <c r="R242" s="224">
        <f>P242-Q242</f>
        <v>58.73369999999997</v>
      </c>
      <c r="S242" s="526">
        <f>R242/8.7*10000/(G242)</f>
        <v>0.60353844640925436</v>
      </c>
      <c r="T242" s="103">
        <f>R242/8.5*10000/(G242)</f>
        <v>0.61773935103064859</v>
      </c>
      <c r="U242" s="486"/>
      <c r="X242" s="436"/>
      <c r="Y242" s="33"/>
      <c r="AA242" s="445"/>
      <c r="AB242" s="469"/>
    </row>
    <row r="243" spans="1:29" x14ac:dyDescent="0.3">
      <c r="A243" s="146"/>
      <c r="B243" s="146"/>
      <c r="C243" s="23"/>
      <c r="D243" s="23"/>
      <c r="E243" s="531" t="s">
        <v>393</v>
      </c>
      <c r="F243" s="532" t="s">
        <v>394</v>
      </c>
      <c r="G243" s="533">
        <v>60399</v>
      </c>
      <c r="H243" s="533"/>
      <c r="I243" s="533">
        <v>174520</v>
      </c>
      <c r="J243" s="534">
        <f>G243-I243</f>
        <v>-114121</v>
      </c>
      <c r="K243" s="27"/>
      <c r="L243" s="27"/>
      <c r="M243" s="434"/>
      <c r="N243" s="434"/>
      <c r="O243" s="449"/>
      <c r="P243" s="69"/>
      <c r="Q243" s="69"/>
      <c r="R243" s="224"/>
      <c r="S243" s="526"/>
      <c r="T243" s="103"/>
      <c r="U243" s="486"/>
      <c r="X243" s="436"/>
      <c r="Y243" s="33"/>
      <c r="AA243" s="445"/>
      <c r="AB243" s="469"/>
    </row>
    <row r="244" spans="1:29" x14ac:dyDescent="0.3">
      <c r="A244" s="471"/>
      <c r="B244" s="471"/>
      <c r="C244" s="471"/>
      <c r="D244" s="471"/>
      <c r="E244" s="261"/>
      <c r="F244" s="260"/>
      <c r="G244" s="535"/>
      <c r="H244" s="535"/>
      <c r="I244" s="535"/>
      <c r="J244" s="477"/>
      <c r="K244" s="476"/>
      <c r="L244" s="476"/>
      <c r="M244" s="462"/>
      <c r="N244" s="462"/>
      <c r="O244" s="480"/>
      <c r="P244" s="536"/>
      <c r="Q244" s="536"/>
      <c r="R244" s="536"/>
      <c r="S244" s="536"/>
      <c r="T244" s="536"/>
      <c r="U244" s="536"/>
      <c r="V244" s="286"/>
      <c r="W244" s="283"/>
      <c r="X244" s="537"/>
      <c r="Y244" s="538"/>
      <c r="Z244" s="285"/>
      <c r="AA244" s="539"/>
      <c r="AB244" s="540"/>
    </row>
    <row r="245" spans="1:29" x14ac:dyDescent="0.3">
      <c r="E245" s="122" t="s">
        <v>95</v>
      </c>
      <c r="F245" s="123"/>
      <c r="G245" s="501">
        <f>SUM(G240:G244)-G243</f>
        <v>160371</v>
      </c>
      <c r="H245" s="482"/>
      <c r="I245" s="482"/>
      <c r="J245" s="482"/>
      <c r="K245" s="482"/>
      <c r="L245" s="482"/>
      <c r="M245" s="482"/>
      <c r="N245" s="482"/>
      <c r="O245" s="482"/>
      <c r="P245" s="482"/>
      <c r="Q245" s="482"/>
      <c r="R245" s="484">
        <f>SUM(R240:R244)</f>
        <v>85.016399999999948</v>
      </c>
      <c r="S245" s="482"/>
      <c r="T245" s="482"/>
      <c r="U245" s="482"/>
      <c r="V245" s="485">
        <v>375000</v>
      </c>
      <c r="W245" s="22">
        <f>G245-V245</f>
        <v>-214629</v>
      </c>
      <c r="X245" s="22"/>
      <c r="Y245" s="432">
        <f>SUM(Y241:Y244)</f>
        <v>0</v>
      </c>
      <c r="Z245" s="432"/>
      <c r="AA245" s="446" t="e">
        <f>SUM(AA237:AA242)</f>
        <v>#REF!</v>
      </c>
      <c r="AB245" s="446" t="e">
        <f>SUM(AB237:AB242)</f>
        <v>#REF!</v>
      </c>
    </row>
    <row r="246" spans="1:29" x14ac:dyDescent="0.3">
      <c r="A246" s="23"/>
      <c r="B246" s="23"/>
      <c r="C246" s="23"/>
      <c r="D246" s="23"/>
      <c r="E246" s="35"/>
      <c r="F246" s="36"/>
      <c r="G246" s="433"/>
      <c r="H246" s="433"/>
      <c r="I246" s="433"/>
      <c r="J246" s="512"/>
      <c r="K246" s="27"/>
      <c r="L246" s="27"/>
      <c r="M246" s="434"/>
      <c r="N246" s="434"/>
      <c r="O246" s="434"/>
      <c r="P246" s="486"/>
      <c r="Q246" s="486"/>
      <c r="R246" s="486"/>
      <c r="S246" s="486"/>
      <c r="T246" s="486"/>
      <c r="U246" s="486"/>
      <c r="X246" s="465"/>
      <c r="Y246" s="33"/>
      <c r="AA246" s="445"/>
      <c r="AB246" s="469"/>
    </row>
    <row r="247" spans="1:29" x14ac:dyDescent="0.3">
      <c r="A247" s="23"/>
      <c r="B247" s="23"/>
      <c r="C247" s="23"/>
      <c r="D247" s="23"/>
      <c r="E247" s="35"/>
      <c r="F247" s="36"/>
      <c r="G247" s="433"/>
      <c r="H247" s="433"/>
      <c r="I247" s="433"/>
      <c r="J247" s="512"/>
      <c r="K247" s="27"/>
      <c r="L247" s="27"/>
      <c r="M247" s="434"/>
      <c r="N247" s="434"/>
      <c r="O247" s="434"/>
      <c r="P247" s="486"/>
      <c r="Q247" s="486"/>
      <c r="R247" s="486"/>
      <c r="S247" s="486"/>
      <c r="T247" s="486"/>
      <c r="U247" s="486"/>
      <c r="X247" s="465"/>
      <c r="Y247" s="33"/>
      <c r="AA247" s="445"/>
      <c r="AB247" s="469"/>
    </row>
    <row r="248" spans="1:29" x14ac:dyDescent="0.3">
      <c r="E248" s="35" t="s">
        <v>345</v>
      </c>
      <c r="F248" s="36"/>
      <c r="G248" s="433">
        <f>SUM(G153,G167,,G182,G198,G206,G208,G212,G222,G231,G236,G239,G245)</f>
        <v>2985986</v>
      </c>
      <c r="R248" s="89" t="e">
        <f>(R239/8.7*10000)/G239</f>
        <v>#DIV/0!</v>
      </c>
      <c r="S248" s="89"/>
      <c r="T248" s="89"/>
      <c r="U248" s="89"/>
    </row>
    <row r="250" spans="1:29" x14ac:dyDescent="0.3">
      <c r="A250" s="90" t="s">
        <v>98</v>
      </c>
    </row>
    <row r="251" spans="1:29" ht="41.4" x14ac:dyDescent="0.3">
      <c r="A251" s="4" t="s">
        <v>0</v>
      </c>
      <c r="B251" s="4" t="s">
        <v>1</v>
      </c>
      <c r="C251" s="4" t="s">
        <v>2</v>
      </c>
      <c r="D251" s="4" t="s">
        <v>3</v>
      </c>
      <c r="E251" s="5" t="s">
        <v>4</v>
      </c>
      <c r="F251" s="5" t="s">
        <v>5</v>
      </c>
      <c r="G251" s="426" t="s">
        <v>6</v>
      </c>
      <c r="H251" s="426" t="s">
        <v>7</v>
      </c>
      <c r="I251" s="426" t="s">
        <v>8</v>
      </c>
      <c r="J251" s="426" t="s">
        <v>9</v>
      </c>
      <c r="K251" s="426" t="s">
        <v>10</v>
      </c>
      <c r="L251" s="426" t="s">
        <v>11</v>
      </c>
      <c r="M251" s="426" t="s">
        <v>12</v>
      </c>
      <c r="N251" s="426" t="s">
        <v>13</v>
      </c>
      <c r="O251" s="426" t="s">
        <v>14</v>
      </c>
      <c r="P251" s="426" t="s">
        <v>15</v>
      </c>
      <c r="Q251" s="426" t="s">
        <v>16</v>
      </c>
      <c r="R251" s="466" t="s">
        <v>17</v>
      </c>
      <c r="S251" s="426" t="s">
        <v>18</v>
      </c>
      <c r="T251" s="426" t="s">
        <v>19</v>
      </c>
      <c r="U251" s="426" t="s">
        <v>20</v>
      </c>
      <c r="V251" s="426" t="s">
        <v>21</v>
      </c>
      <c r="W251" s="427" t="s">
        <v>22</v>
      </c>
      <c r="X251" s="427" t="s">
        <v>23</v>
      </c>
      <c r="Y251" s="428" t="s">
        <v>24</v>
      </c>
      <c r="Z251" s="428" t="s">
        <v>26</v>
      </c>
      <c r="AA251" s="429" t="s">
        <v>27</v>
      </c>
      <c r="AB251" s="430" t="s">
        <v>28</v>
      </c>
      <c r="AC251" s="12"/>
    </row>
    <row r="252" spans="1:29" x14ac:dyDescent="0.3">
      <c r="A252" s="146"/>
      <c r="B252" s="146"/>
      <c r="C252" s="23"/>
      <c r="D252" s="14"/>
      <c r="E252" s="35"/>
      <c r="F252" s="25"/>
      <c r="G252" s="433"/>
      <c r="H252" s="433"/>
      <c r="I252" s="433"/>
      <c r="J252" s="26"/>
      <c r="K252" s="27"/>
      <c r="L252" s="27"/>
      <c r="M252" s="434"/>
      <c r="N252" s="434"/>
      <c r="O252" s="434"/>
      <c r="P252" s="69"/>
      <c r="Q252" s="69"/>
      <c r="R252" s="69"/>
      <c r="S252" s="435"/>
      <c r="T252" s="435"/>
      <c r="U252" s="435"/>
      <c r="V252" s="436"/>
      <c r="W252" s="437"/>
      <c r="X252" s="33"/>
      <c r="Y252" s="33"/>
      <c r="Z252" s="33"/>
      <c r="AA252" s="33"/>
      <c r="AB252" s="438"/>
      <c r="AC252" s="33"/>
    </row>
    <row r="253" spans="1:29" x14ac:dyDescent="0.3">
      <c r="A253" s="146">
        <v>43827.966666666667</v>
      </c>
      <c r="B253" s="146">
        <v>43835.662499999999</v>
      </c>
      <c r="C253" s="23"/>
      <c r="D253" s="14"/>
      <c r="E253" s="24" t="s">
        <v>393</v>
      </c>
      <c r="F253" s="25" t="s">
        <v>394</v>
      </c>
      <c r="G253" s="433">
        <v>136364</v>
      </c>
      <c r="H253" s="433"/>
      <c r="I253" s="433">
        <v>174520</v>
      </c>
      <c r="J253" s="467">
        <f>G253-I253</f>
        <v>-38156</v>
      </c>
      <c r="K253" s="27">
        <f>B253-A253</f>
        <v>7.6958333333313931</v>
      </c>
      <c r="L253" s="27">
        <f>'[99]BERGE SHONG SHAN'!$I$224</f>
        <v>4.3624999999956344</v>
      </c>
      <c r="M253" s="434">
        <f>(G253)/K253</f>
        <v>17719.198700600027</v>
      </c>
      <c r="N253" s="434">
        <f>G253/L253</f>
        <v>31258.223495733288</v>
      </c>
      <c r="O253" s="434">
        <v>25000</v>
      </c>
      <c r="P253" s="69">
        <f>(156640/10000)*8.7</f>
        <v>136.27679999999998</v>
      </c>
      <c r="Q253" s="69">
        <f>(126660/10000)*8.7</f>
        <v>110.1942</v>
      </c>
      <c r="R253" s="69">
        <f>P253-Q253</f>
        <v>26.082599999999985</v>
      </c>
      <c r="S253" s="435">
        <f>R253/8.7*10000/(G253)</f>
        <v>0.21985274705934107</v>
      </c>
      <c r="T253" s="435">
        <f>R253/8.5*10000/(G253)</f>
        <v>0.22502575287250201</v>
      </c>
      <c r="U253" s="435" t="e">
        <f>S253/8.5*10000/(H253)</f>
        <v>#DIV/0!</v>
      </c>
      <c r="V253" s="436"/>
      <c r="W253" s="32"/>
      <c r="X253" s="33"/>
      <c r="Y253" s="33"/>
      <c r="Z253" s="33"/>
      <c r="AA253" s="33"/>
      <c r="AB253" s="438"/>
      <c r="AC253" s="33"/>
    </row>
    <row r="254" spans="1:29" x14ac:dyDescent="0.3">
      <c r="A254" s="146">
        <v>43835.904166666667</v>
      </c>
      <c r="B254" s="146">
        <v>43844.375</v>
      </c>
      <c r="C254" s="23"/>
      <c r="D254" s="14"/>
      <c r="E254" s="35" t="s">
        <v>547</v>
      </c>
      <c r="F254" s="36" t="s">
        <v>394</v>
      </c>
      <c r="G254" s="433">
        <v>146944</v>
      </c>
      <c r="H254" s="433"/>
      <c r="I254" s="433">
        <v>167092</v>
      </c>
      <c r="J254" s="467">
        <f>G254-I254</f>
        <v>-20148</v>
      </c>
      <c r="K254" s="27">
        <f>B254-A254</f>
        <v>8.4708333333328483</v>
      </c>
      <c r="L254" s="27">
        <f>'[99]BERGE APO'!$I$182</f>
        <v>4.7638888888868678</v>
      </c>
      <c r="M254" s="434">
        <f>(G254)/K254</f>
        <v>17347.053615347773</v>
      </c>
      <c r="N254" s="434">
        <f>G254/L254</f>
        <v>30845.387755115127</v>
      </c>
      <c r="O254" s="434">
        <v>25000</v>
      </c>
      <c r="P254" s="69">
        <f>(126180/10000)*8.7</f>
        <v>109.77659999999999</v>
      </c>
      <c r="Q254" s="69">
        <f>(83920/10000)*8.7</f>
        <v>73.01039999999999</v>
      </c>
      <c r="R254" s="69">
        <f>P254-Q254</f>
        <v>36.766199999999998</v>
      </c>
      <c r="S254" s="435">
        <f>R254/8.7*10000/(G254)</f>
        <v>0.28759255226480834</v>
      </c>
      <c r="T254" s="435">
        <f>R254/8.5*10000/(G254)</f>
        <v>0.29435943584750968</v>
      </c>
      <c r="U254" s="435"/>
      <c r="V254" s="31"/>
      <c r="W254" s="32"/>
      <c r="X254" s="33"/>
      <c r="Y254" s="33"/>
      <c r="Z254" s="33"/>
      <c r="AA254" s="33"/>
      <c r="AB254" s="438"/>
      <c r="AC254" s="33"/>
    </row>
    <row r="255" spans="1:29" x14ac:dyDescent="0.3">
      <c r="A255" s="146">
        <v>43845.783333333333</v>
      </c>
      <c r="B255" s="146">
        <v>43852.987500000003</v>
      </c>
      <c r="C255" s="23"/>
      <c r="D255" s="14"/>
      <c r="E255" s="35" t="s">
        <v>548</v>
      </c>
      <c r="F255" s="36" t="s">
        <v>394</v>
      </c>
      <c r="G255" s="433">
        <v>146238</v>
      </c>
      <c r="H255" s="433"/>
      <c r="I255" s="433">
        <v>167100</v>
      </c>
      <c r="J255" s="467">
        <f>G255-I255</f>
        <v>-20862</v>
      </c>
      <c r="K255" s="27">
        <f>B255-A255</f>
        <v>7.2041666666700621</v>
      </c>
      <c r="L255" s="27">
        <f>'[99]WANG WAY'!$I$229</f>
        <v>4.8229166666751553</v>
      </c>
      <c r="M255" s="434">
        <f>(G255)/K255</f>
        <v>20299.086176971348</v>
      </c>
      <c r="N255" s="434">
        <f>G255/L255</f>
        <v>30321.485961069742</v>
      </c>
      <c r="O255" s="434">
        <v>25000</v>
      </c>
      <c r="P255" s="69">
        <f>(81440/10000)*8.7</f>
        <v>70.852800000000002</v>
      </c>
      <c r="Q255" s="69">
        <f>(52140/10000)*8.7</f>
        <v>45.361800000000002</v>
      </c>
      <c r="R255" s="69">
        <f>P255-Q255</f>
        <v>25.491</v>
      </c>
      <c r="S255" s="435">
        <f>R255/8.7*10000/(G255)</f>
        <v>0.20035831999890588</v>
      </c>
      <c r="T255" s="435">
        <f>R255/8.5*10000/(G255)</f>
        <v>0.20507263341064486</v>
      </c>
      <c r="U255" s="435"/>
      <c r="V255" s="31"/>
      <c r="W255" s="32"/>
      <c r="X255" s="33"/>
      <c r="Y255" s="33"/>
      <c r="Z255" s="33"/>
      <c r="AA255" s="33"/>
      <c r="AB255" s="438"/>
      <c r="AC255" s="33"/>
    </row>
    <row r="256" spans="1:29" x14ac:dyDescent="0.3">
      <c r="A256" s="146">
        <v>43853.104166666664</v>
      </c>
      <c r="B256" s="146">
        <v>43860.125</v>
      </c>
      <c r="C256" s="23"/>
      <c r="D256" s="14"/>
      <c r="E256" s="35" t="s">
        <v>549</v>
      </c>
      <c r="F256" s="36" t="s">
        <v>394</v>
      </c>
      <c r="G256" s="433">
        <v>96975</v>
      </c>
      <c r="H256" s="433"/>
      <c r="I256" s="433">
        <v>177510</v>
      </c>
      <c r="J256" s="467">
        <f>G256-I256</f>
        <v>-80535</v>
      </c>
      <c r="K256" s="27">
        <f>B256-A256</f>
        <v>7.0208333333357587</v>
      </c>
      <c r="L256" s="27">
        <f>'[99]EHIME QUEEN'!$I$130</f>
        <v>2.9124999999839929</v>
      </c>
      <c r="M256" s="434">
        <f>(G256)/K256</f>
        <v>13812.462908007097</v>
      </c>
      <c r="N256" s="434">
        <f>G256/L256</f>
        <v>33296.13733923879</v>
      </c>
      <c r="O256" s="434">
        <v>25000</v>
      </c>
      <c r="P256" s="69">
        <f>(71740/10000)*8.7</f>
        <v>62.413799999999995</v>
      </c>
      <c r="Q256" s="69">
        <f>(50020/10000)*8.7</f>
        <v>43.517399999999995</v>
      </c>
      <c r="R256" s="69">
        <f>P256-Q256</f>
        <v>18.8964</v>
      </c>
      <c r="S256" s="435">
        <f>R256/8.7*10000/(G256)</f>
        <v>0.2239752513534416</v>
      </c>
      <c r="T256" s="435">
        <f>R256/8.5*10000/(G256)</f>
        <v>0.22924525726764025</v>
      </c>
      <c r="U256" s="435"/>
      <c r="V256" s="31"/>
      <c r="W256" s="32"/>
      <c r="X256" s="33"/>
      <c r="Y256" s="33"/>
      <c r="Z256" s="33"/>
      <c r="AA256" s="33"/>
      <c r="AB256" s="438"/>
      <c r="AC256" s="33"/>
    </row>
    <row r="257" spans="1:29" x14ac:dyDescent="0.3">
      <c r="A257" s="439"/>
      <c r="B257" s="439"/>
      <c r="C257" s="23"/>
      <c r="D257" s="23"/>
      <c r="E257" s="35"/>
      <c r="F257" s="25"/>
      <c r="G257" s="433"/>
      <c r="H257" s="433"/>
      <c r="I257" s="433"/>
      <c r="J257" s="26"/>
      <c r="K257" s="27"/>
      <c r="L257" s="27"/>
      <c r="M257" s="434"/>
      <c r="N257" s="434"/>
      <c r="O257" s="434"/>
      <c r="P257" s="69"/>
      <c r="Q257" s="69"/>
      <c r="R257" s="69"/>
      <c r="S257" s="435"/>
      <c r="T257" s="435"/>
      <c r="U257" s="435"/>
      <c r="V257" s="436"/>
      <c r="W257" s="437"/>
      <c r="X257" s="33"/>
      <c r="Y257" s="33"/>
      <c r="Z257" s="33"/>
      <c r="AA257" s="33"/>
      <c r="AB257" s="438"/>
      <c r="AC257" s="33"/>
    </row>
    <row r="258" spans="1:29" x14ac:dyDescent="0.3">
      <c r="A258" s="20"/>
      <c r="B258" s="20"/>
      <c r="C258" s="20">
        <v>1000000001</v>
      </c>
      <c r="D258" s="20"/>
      <c r="E258" s="21" t="s">
        <v>30</v>
      </c>
      <c r="F258" s="21"/>
      <c r="G258" s="431">
        <f>SUM(G252:G257)</f>
        <v>526521</v>
      </c>
      <c r="H258" s="431"/>
      <c r="I258" s="431"/>
      <c r="J258" s="431"/>
      <c r="K258" s="431"/>
      <c r="L258" s="431"/>
      <c r="M258" s="431"/>
      <c r="N258" s="431">
        <f>AVERAGE(N253:N256)</f>
        <v>31430.308637789236</v>
      </c>
      <c r="O258" s="431"/>
      <c r="P258" s="431"/>
      <c r="Q258" s="431"/>
      <c r="R258" s="440">
        <f>SUM(R252:R257)</f>
        <v>107.23619999999998</v>
      </c>
      <c r="S258" s="441">
        <f>R258/8.7*10000/G258</f>
        <v>0.23410272334816654</v>
      </c>
      <c r="T258" s="440"/>
      <c r="U258" s="440"/>
      <c r="V258" s="442"/>
      <c r="W258" s="22"/>
      <c r="X258" s="22"/>
      <c r="Y258" s="432">
        <v>360000</v>
      </c>
      <c r="Z258" s="432"/>
      <c r="AA258" s="432"/>
      <c r="AB258" s="432"/>
      <c r="AC258" s="432"/>
    </row>
    <row r="259" spans="1:29" x14ac:dyDescent="0.3">
      <c r="A259" s="146"/>
      <c r="B259" s="146"/>
      <c r="C259" s="23"/>
      <c r="D259" s="14"/>
      <c r="E259" s="24"/>
      <c r="F259" s="24"/>
      <c r="G259" s="24"/>
      <c r="H259" s="24"/>
      <c r="I259" s="24"/>
      <c r="J259" s="26"/>
      <c r="K259" s="27"/>
      <c r="L259" s="27"/>
      <c r="M259" s="434"/>
      <c r="N259" s="434"/>
      <c r="O259" s="434"/>
      <c r="P259" s="69"/>
      <c r="Q259" s="69"/>
      <c r="R259" s="69"/>
      <c r="S259" s="435"/>
      <c r="T259" s="435"/>
      <c r="U259" s="435"/>
      <c r="V259" s="436"/>
      <c r="W259" s="437"/>
      <c r="X259" s="33"/>
      <c r="Y259" s="33"/>
      <c r="Z259" s="33"/>
      <c r="AA259" s="33"/>
      <c r="AB259" s="438"/>
      <c r="AC259" s="33"/>
    </row>
    <row r="260" spans="1:29" x14ac:dyDescent="0.3">
      <c r="A260" s="146">
        <v>43862.737500000003</v>
      </c>
      <c r="B260" s="146">
        <v>43868.854166666664</v>
      </c>
      <c r="C260" s="23"/>
      <c r="D260" s="14"/>
      <c r="E260" s="35" t="s">
        <v>550</v>
      </c>
      <c r="F260" s="25" t="s">
        <v>91</v>
      </c>
      <c r="G260" s="433">
        <v>85570</v>
      </c>
      <c r="H260" s="433"/>
      <c r="I260" s="433">
        <v>163350</v>
      </c>
      <c r="J260" s="26">
        <f>G260-I260</f>
        <v>-77780</v>
      </c>
      <c r="K260" s="27">
        <f>B260-A260</f>
        <v>6.116666666661331</v>
      </c>
      <c r="L260" s="27">
        <f>'[100]BERGE ORIZABA'!$I$144</f>
        <v>2.454166666684614</v>
      </c>
      <c r="M260" s="434">
        <f>(G260)/K260</f>
        <v>13989.64577657896</v>
      </c>
      <c r="N260" s="434">
        <f>G260/L260</f>
        <v>34867.232597368107</v>
      </c>
      <c r="O260" s="434">
        <v>25000</v>
      </c>
      <c r="P260" s="69">
        <f>(126120/10000)*8.7</f>
        <v>109.72439999999999</v>
      </c>
      <c r="Q260" s="69">
        <f>(106940/10000)*8.7</f>
        <v>93.037800000000004</v>
      </c>
      <c r="R260" s="69">
        <f>P260-Q260</f>
        <v>16.686599999999984</v>
      </c>
      <c r="S260" s="435">
        <f>R260/8.7*10000/(G260)</f>
        <v>0.2241439756924154</v>
      </c>
      <c r="T260" s="435">
        <f>R260/8.5*10000/(G260)</f>
        <v>0.22941795159106043</v>
      </c>
      <c r="U260" s="435" t="e">
        <f>S260/8.5*10000/(#REF!)</f>
        <v>#REF!</v>
      </c>
      <c r="V260" s="436"/>
      <c r="W260" s="32"/>
      <c r="X260" s="33"/>
      <c r="Y260" s="33"/>
      <c r="Z260" s="33"/>
      <c r="AA260" s="33"/>
      <c r="AB260" s="438"/>
      <c r="AC260" s="33"/>
    </row>
    <row r="261" spans="1:29" x14ac:dyDescent="0.3">
      <c r="A261" s="146">
        <v>43872.645833333336</v>
      </c>
      <c r="B261" s="146">
        <v>43881.083333333336</v>
      </c>
      <c r="C261" s="23"/>
      <c r="D261" s="14"/>
      <c r="E261" s="35" t="s">
        <v>551</v>
      </c>
      <c r="F261" s="36" t="s">
        <v>91</v>
      </c>
      <c r="G261" s="433">
        <v>130890</v>
      </c>
      <c r="H261" s="433"/>
      <c r="I261" s="433">
        <v>165350</v>
      </c>
      <c r="J261" s="26">
        <f>G261-I261</f>
        <v>-34460</v>
      </c>
      <c r="K261" s="27">
        <f>B261-A261</f>
        <v>8.4375</v>
      </c>
      <c r="L261" s="27">
        <f>'[100]AQUA EXPLORER'!$I$414</f>
        <v>4.2000000000152795</v>
      </c>
      <c r="M261" s="434">
        <f>(G261)/K261</f>
        <v>15512.888888888889</v>
      </c>
      <c r="N261" s="434">
        <f>G261/L261</f>
        <v>31164.28571417234</v>
      </c>
      <c r="O261" s="434">
        <v>25000</v>
      </c>
      <c r="P261" s="69">
        <f>(101350/10000)*8.7</f>
        <v>88.174499999999995</v>
      </c>
      <c r="Q261" s="69">
        <f>(70700/10000)*8.7</f>
        <v>61.509</v>
      </c>
      <c r="R261" s="69">
        <f>P261-Q261</f>
        <v>26.665499999999994</v>
      </c>
      <c r="S261" s="435">
        <f>R261/8.7*10000/(G261)</f>
        <v>0.23416609366643745</v>
      </c>
      <c r="T261" s="435">
        <f>R261/8.5*10000/(G261)</f>
        <v>0.23967588410564772</v>
      </c>
      <c r="U261" s="435"/>
      <c r="V261" s="31"/>
      <c r="W261" s="32"/>
      <c r="X261" s="33"/>
      <c r="Y261" s="33"/>
      <c r="Z261" s="33"/>
      <c r="AA261" s="33"/>
      <c r="AB261" s="438"/>
      <c r="AC261" s="33"/>
    </row>
    <row r="262" spans="1:29" x14ac:dyDescent="0.3">
      <c r="A262" s="146">
        <v>43881.145833333336</v>
      </c>
      <c r="B262" s="146">
        <v>43889.816666666666</v>
      </c>
      <c r="C262" s="23"/>
      <c r="D262" s="23"/>
      <c r="E262" s="35" t="s">
        <v>552</v>
      </c>
      <c r="F262" s="25" t="s">
        <v>91</v>
      </c>
      <c r="G262" s="433">
        <v>181143</v>
      </c>
      <c r="H262" s="433"/>
      <c r="I262" s="433">
        <v>203500</v>
      </c>
      <c r="J262" s="26">
        <f>G262-I262</f>
        <v>-22357</v>
      </c>
      <c r="K262" s="27">
        <f>B262-A262</f>
        <v>8.6708333333299379</v>
      </c>
      <c r="L262" s="27">
        <f>'[100]BULK SHENZHEN'!$F$161</f>
        <v>5.46875</v>
      </c>
      <c r="M262" s="434">
        <f>(G262)/K262</f>
        <v>20891.071600200397</v>
      </c>
      <c r="N262" s="434">
        <f>G262/L262</f>
        <v>33123.291428571429</v>
      </c>
      <c r="O262" s="434">
        <v>25000</v>
      </c>
      <c r="P262" s="69">
        <f>(69780/10000)*8.7</f>
        <v>60.70859999999999</v>
      </c>
      <c r="Q262" s="69">
        <f>(37140/10000)*8.7</f>
        <v>32.311799999999998</v>
      </c>
      <c r="R262" s="69">
        <f>P262-Q262</f>
        <v>28.396799999999992</v>
      </c>
      <c r="S262" s="435">
        <f>R262/8.7*10000/(G262)</f>
        <v>0.18018913234295553</v>
      </c>
      <c r="T262" s="435">
        <f>R262/8.5*10000/(G262)</f>
        <v>0.18442887663337798</v>
      </c>
      <c r="U262" s="69">
        <f>S262-T262</f>
        <v>-4.2397442904224536E-3</v>
      </c>
      <c r="V262" s="436"/>
      <c r="W262" s="437"/>
      <c r="X262" s="33"/>
      <c r="Y262" s="33"/>
      <c r="Z262" s="33"/>
      <c r="AA262" s="33"/>
      <c r="AB262" s="438"/>
      <c r="AC262" s="33"/>
    </row>
    <row r="263" spans="1:29" x14ac:dyDescent="0.3">
      <c r="A263" s="439"/>
      <c r="B263" s="439"/>
      <c r="C263" s="23"/>
      <c r="D263" s="23"/>
      <c r="E263" s="35"/>
      <c r="F263" s="25"/>
      <c r="G263" s="433"/>
      <c r="H263" s="433"/>
      <c r="I263" s="433"/>
      <c r="J263" s="26"/>
      <c r="K263" s="27"/>
      <c r="L263" s="27"/>
      <c r="M263" s="434"/>
      <c r="N263" s="434"/>
      <c r="O263" s="434"/>
      <c r="P263" s="69"/>
      <c r="Q263" s="69"/>
      <c r="R263" s="69"/>
      <c r="S263" s="435"/>
      <c r="T263" s="435"/>
      <c r="U263" s="435"/>
      <c r="V263" s="436"/>
      <c r="W263" s="437"/>
      <c r="X263" s="33"/>
      <c r="Y263" s="33"/>
      <c r="Z263" s="33"/>
      <c r="AA263" s="33"/>
      <c r="AB263" s="438"/>
      <c r="AC263" s="33"/>
    </row>
    <row r="264" spans="1:29" x14ac:dyDescent="0.3">
      <c r="A264" s="20"/>
      <c r="B264" s="20"/>
      <c r="C264" s="20">
        <v>1000000001</v>
      </c>
      <c r="D264" s="20"/>
      <c r="E264" s="21" t="s">
        <v>37</v>
      </c>
      <c r="F264" s="21"/>
      <c r="G264" s="431">
        <f>SUM(G260:G263)</f>
        <v>397603</v>
      </c>
      <c r="H264" s="431"/>
      <c r="I264" s="431"/>
      <c r="J264" s="431"/>
      <c r="K264" s="431"/>
      <c r="L264" s="431"/>
      <c r="M264" s="431"/>
      <c r="N264" s="431">
        <f>AVERAGE(N259:N262)</f>
        <v>33051.603246703955</v>
      </c>
      <c r="O264" s="431"/>
      <c r="P264" s="431"/>
      <c r="Q264" s="431"/>
      <c r="R264" s="440">
        <f>SUM(R259:R263)</f>
        <v>71.748899999999963</v>
      </c>
      <c r="S264" s="441">
        <f>R264/8.7*10000/G264</f>
        <v>0.20741795207782626</v>
      </c>
      <c r="T264" s="440"/>
      <c r="U264" s="440"/>
      <c r="V264" s="442"/>
      <c r="W264" s="22"/>
      <c r="X264" s="22"/>
      <c r="Y264" s="432">
        <v>360000</v>
      </c>
      <c r="Z264" s="432"/>
      <c r="AA264" s="432"/>
      <c r="AB264" s="432"/>
      <c r="AC264" s="432"/>
    </row>
    <row r="265" spans="1:29" x14ac:dyDescent="0.3">
      <c r="A265" s="146"/>
      <c r="B265" s="146"/>
      <c r="C265" s="23"/>
      <c r="D265" s="14"/>
      <c r="E265" s="35"/>
      <c r="F265" s="25"/>
      <c r="G265" s="433"/>
      <c r="H265" s="433"/>
      <c r="I265" s="433"/>
      <c r="J265" s="26"/>
      <c r="K265" s="27"/>
      <c r="L265" s="27"/>
      <c r="M265" s="434"/>
      <c r="N265" s="434"/>
      <c r="O265" s="434"/>
      <c r="P265" s="69"/>
      <c r="Q265" s="69"/>
      <c r="R265" s="69"/>
      <c r="S265" s="435"/>
      <c r="T265" s="435"/>
      <c r="U265" s="435"/>
      <c r="V265" s="436"/>
      <c r="W265" s="437"/>
      <c r="X265" s="33"/>
      <c r="Y265" s="33"/>
      <c r="Z265" s="33"/>
      <c r="AA265" s="33"/>
      <c r="AB265" s="438"/>
      <c r="AC265" s="33"/>
    </row>
    <row r="266" spans="1:29" x14ac:dyDescent="0.3">
      <c r="A266" s="146">
        <v>43890.375</v>
      </c>
      <c r="B266" s="146">
        <v>43896.816666666666</v>
      </c>
      <c r="C266" s="23"/>
      <c r="D266" s="14"/>
      <c r="E266" s="35" t="s">
        <v>553</v>
      </c>
      <c r="F266" s="36" t="s">
        <v>91</v>
      </c>
      <c r="G266" s="433">
        <v>117879</v>
      </c>
      <c r="H266" s="433"/>
      <c r="I266" s="433">
        <v>175300</v>
      </c>
      <c r="J266" s="26">
        <f>G266-I266</f>
        <v>-57421</v>
      </c>
      <c r="K266" s="27">
        <f>B266-A266</f>
        <v>6.4416666666656965</v>
      </c>
      <c r="L266" s="27">
        <f>'[101]CAPE FLAMENGO'!$I$111</f>
        <v>3.3500000000058208</v>
      </c>
      <c r="M266" s="434">
        <f>(G266)/K266</f>
        <v>18299.456662357217</v>
      </c>
      <c r="N266" s="434">
        <f>G266/L266</f>
        <v>35187.761193968712</v>
      </c>
      <c r="O266" s="434">
        <v>25000</v>
      </c>
      <c r="P266" s="69">
        <f>(35990/10000)*8.7</f>
        <v>31.311299999999999</v>
      </c>
      <c r="Q266" s="69">
        <f>(14380/10000)*8.7</f>
        <v>12.510599999999998</v>
      </c>
      <c r="R266" s="69">
        <f>P266-Q266</f>
        <v>18.800699999999999</v>
      </c>
      <c r="S266" s="435">
        <f>R266/8.7*10000/(G266)</f>
        <v>0.18332357756682699</v>
      </c>
      <c r="T266" s="435">
        <f>R266/8.5*10000/(G266)</f>
        <v>0.18763707350957587</v>
      </c>
      <c r="U266" s="435" t="e">
        <f>S266/8.5*10000/(H266)</f>
        <v>#DIV/0!</v>
      </c>
      <c r="V266" s="436"/>
      <c r="W266" s="32"/>
      <c r="X266" s="33"/>
      <c r="Y266" s="33"/>
      <c r="Z266" s="33"/>
      <c r="AA266" s="33"/>
      <c r="AB266" s="438"/>
      <c r="AC266" s="33"/>
    </row>
    <row r="267" spans="1:29" x14ac:dyDescent="0.3">
      <c r="A267" s="146">
        <v>43896.729166666664</v>
      </c>
      <c r="B267" s="146">
        <v>43903.333333333336</v>
      </c>
      <c r="C267" s="23"/>
      <c r="D267" s="14"/>
      <c r="E267" s="35" t="s">
        <v>554</v>
      </c>
      <c r="F267" s="36" t="s">
        <v>394</v>
      </c>
      <c r="G267" s="433">
        <v>151422</v>
      </c>
      <c r="H267" s="433"/>
      <c r="I267" s="433">
        <v>175300</v>
      </c>
      <c r="J267" s="26">
        <f>G267-I267</f>
        <v>-23878</v>
      </c>
      <c r="K267" s="27">
        <f>B267-A267</f>
        <v>6.6041666666715173</v>
      </c>
      <c r="L267" s="27">
        <f>[101]NICOLEMY!$I$132</f>
        <v>4.4166666666569654</v>
      </c>
      <c r="M267" s="434">
        <f>(G267)/K267</f>
        <v>22928.252365913759</v>
      </c>
      <c r="N267" s="434">
        <f>G267/L267</f>
        <v>34284.226415169644</v>
      </c>
      <c r="O267" s="434">
        <v>25000</v>
      </c>
      <c r="P267" s="69">
        <f>(164140/10000)*8.7</f>
        <v>142.80180000000001</v>
      </c>
      <c r="Q267" s="69">
        <f>(138100/10000)*8.7</f>
        <v>120.14699999999999</v>
      </c>
      <c r="R267" s="69">
        <f>P267-Q267</f>
        <v>22.654800000000023</v>
      </c>
      <c r="S267" s="435">
        <f>R267/8.7*10000/(G267)</f>
        <v>0.17196972698815252</v>
      </c>
      <c r="T267" s="435">
        <f>R267/8.5*10000/(G267)</f>
        <v>0.17601607350552079</v>
      </c>
      <c r="U267" s="435"/>
      <c r="V267" s="31"/>
      <c r="W267" s="32"/>
      <c r="X267" s="33"/>
      <c r="Y267" s="33"/>
      <c r="Z267" s="33"/>
      <c r="AA267" s="33"/>
      <c r="AB267" s="438"/>
      <c r="AC267" s="33"/>
    </row>
    <row r="268" spans="1:29" x14ac:dyDescent="0.3">
      <c r="A268" s="146">
        <v>43905.616666666669</v>
      </c>
      <c r="B268" s="439">
        <v>43913.616666666669</v>
      </c>
      <c r="C268" s="23"/>
      <c r="D268" s="23"/>
      <c r="E268" s="35" t="s">
        <v>555</v>
      </c>
      <c r="F268" s="25" t="s">
        <v>91</v>
      </c>
      <c r="G268" s="433">
        <v>169637</v>
      </c>
      <c r="H268" s="433"/>
      <c r="I268" s="433">
        <v>170450</v>
      </c>
      <c r="J268" s="26">
        <f>G268-I268</f>
        <v>-813</v>
      </c>
      <c r="K268" s="27">
        <f>B268-A268</f>
        <v>8</v>
      </c>
      <c r="L268" s="27">
        <f>'[101]EAST TRADER'!$I$139</f>
        <v>4.9562500000283762</v>
      </c>
      <c r="M268" s="434">
        <f>(G268)/K268</f>
        <v>21204.625</v>
      </c>
      <c r="N268" s="434">
        <f>G268/L268</f>
        <v>34226.885245705678</v>
      </c>
      <c r="O268" s="434">
        <v>25000</v>
      </c>
      <c r="P268" s="69">
        <f>(134540/10000)*8.7</f>
        <v>117.04979999999999</v>
      </c>
      <c r="Q268" s="69">
        <f>(104710/10000)*8.7</f>
        <v>91.097699999999989</v>
      </c>
      <c r="R268" s="69">
        <f>P268-Q268</f>
        <v>25.952100000000002</v>
      </c>
      <c r="S268" s="435">
        <f>R268/8.7*10000/(G268)</f>
        <v>0.17584607131698865</v>
      </c>
      <c r="T268" s="435">
        <f>R268/8.5*10000/(G268)</f>
        <v>0.17998362593621189</v>
      </c>
      <c r="U268" s="69">
        <f>S268-T268</f>
        <v>-4.1375546192232437E-3</v>
      </c>
      <c r="V268" s="436"/>
      <c r="W268" s="437"/>
      <c r="X268" s="33"/>
      <c r="Y268" s="33"/>
      <c r="Z268" s="33"/>
      <c r="AA268" s="33"/>
      <c r="AB268" s="438"/>
      <c r="AC268" s="33"/>
    </row>
    <row r="269" spans="1:29" x14ac:dyDescent="0.3">
      <c r="A269" s="439">
        <v>43913.820833333331</v>
      </c>
      <c r="B269" s="439">
        <v>43916.4375</v>
      </c>
      <c r="C269" s="23"/>
      <c r="D269" s="23"/>
      <c r="E269" s="35" t="s">
        <v>556</v>
      </c>
      <c r="F269" s="25" t="s">
        <v>32</v>
      </c>
      <c r="G269" s="433">
        <v>53725</v>
      </c>
      <c r="H269" s="433"/>
      <c r="I269" s="433">
        <v>89070</v>
      </c>
      <c r="J269" s="26">
        <f>G269-I269</f>
        <v>-35345</v>
      </c>
      <c r="K269" s="27">
        <f>B269-A269</f>
        <v>2.6166666666686069</v>
      </c>
      <c r="L269" s="27">
        <f>[101]ANTHEMIS!$I$69</f>
        <v>1.4687499999890861</v>
      </c>
      <c r="M269" s="434">
        <f>(G269)/K269</f>
        <v>20531.847133742736</v>
      </c>
      <c r="N269" s="434">
        <f>G269/L269</f>
        <v>36578.723404527125</v>
      </c>
      <c r="O269" s="434">
        <v>25000</v>
      </c>
      <c r="P269" s="69">
        <f>(104380/10000)*8.7</f>
        <v>90.810599999999994</v>
      </c>
      <c r="Q269" s="69">
        <f>(94580/10000)*8.7</f>
        <v>82.284599999999998</v>
      </c>
      <c r="R269" s="69">
        <f>P269-Q269</f>
        <v>8.5259999999999962</v>
      </c>
      <c r="S269" s="435">
        <f>R269/8.7*10000/(G269)</f>
        <v>0.18241042345276867</v>
      </c>
      <c r="T269" s="435">
        <f>R269/8.5*10000/(G269)</f>
        <v>0.18670243341636322</v>
      </c>
      <c r="U269" s="435"/>
      <c r="V269" s="436"/>
      <c r="W269" s="437"/>
      <c r="X269" s="33"/>
      <c r="Y269" s="33"/>
      <c r="Z269" s="33"/>
      <c r="AA269" s="33"/>
      <c r="AB269" s="438"/>
      <c r="AC269" s="33"/>
    </row>
    <row r="270" spans="1:29" x14ac:dyDescent="0.3">
      <c r="A270" s="439"/>
      <c r="B270" s="439"/>
      <c r="C270" s="23"/>
      <c r="D270" s="23"/>
      <c r="E270" s="35"/>
      <c r="F270" s="25"/>
      <c r="G270" s="433"/>
      <c r="H270" s="433"/>
      <c r="I270" s="433"/>
      <c r="J270" s="26"/>
      <c r="K270" s="27"/>
      <c r="L270" s="27"/>
      <c r="M270" s="434"/>
      <c r="N270" s="434"/>
      <c r="O270" s="434"/>
      <c r="P270" s="69"/>
      <c r="Q270" s="69"/>
      <c r="R270" s="69"/>
      <c r="S270" s="435"/>
      <c r="T270" s="435"/>
      <c r="U270" s="435"/>
      <c r="V270" s="436"/>
      <c r="W270" s="437"/>
      <c r="X270" s="33"/>
      <c r="Y270" s="33"/>
      <c r="Z270" s="33"/>
      <c r="AA270" s="33"/>
      <c r="AB270" s="438"/>
      <c r="AC270" s="33"/>
    </row>
    <row r="271" spans="1:29" x14ac:dyDescent="0.3">
      <c r="A271" s="20"/>
      <c r="B271" s="20"/>
      <c r="C271" s="20">
        <v>1000000001</v>
      </c>
      <c r="D271" s="20"/>
      <c r="E271" s="21" t="s">
        <v>42</v>
      </c>
      <c r="F271" s="21"/>
      <c r="G271" s="431">
        <f>SUM(G265:G270)</f>
        <v>492663</v>
      </c>
      <c r="H271" s="431"/>
      <c r="I271" s="431"/>
      <c r="J271" s="431"/>
      <c r="K271" s="431"/>
      <c r="L271" s="431"/>
      <c r="M271" s="431"/>
      <c r="N271" s="431">
        <f>AVERAGE(N266:N269)</f>
        <v>35069.399064842793</v>
      </c>
      <c r="O271" s="431"/>
      <c r="P271" s="431"/>
      <c r="Q271" s="431"/>
      <c r="R271" s="440">
        <f>SUM(R265:R270)</f>
        <v>75.933600000000027</v>
      </c>
      <c r="S271" s="441">
        <f>R271/8.7*10000/G271</f>
        <v>0.17715964056566055</v>
      </c>
      <c r="T271" s="440"/>
      <c r="U271" s="440"/>
      <c r="V271" s="442"/>
      <c r="W271" s="22"/>
      <c r="X271" s="22"/>
      <c r="Y271" s="432">
        <v>360000</v>
      </c>
      <c r="Z271" s="432"/>
      <c r="AA271" s="432"/>
      <c r="AB271" s="432"/>
      <c r="AC271" s="432"/>
    </row>
    <row r="272" spans="1:29" x14ac:dyDescent="0.3">
      <c r="A272" s="146"/>
      <c r="B272" s="146"/>
      <c r="C272" s="23"/>
      <c r="D272" s="14"/>
      <c r="E272" s="35"/>
      <c r="F272" s="25"/>
      <c r="G272" s="433"/>
      <c r="H272" s="433"/>
      <c r="I272" s="433"/>
      <c r="J272" s="26"/>
      <c r="K272" s="27"/>
      <c r="L272" s="27"/>
      <c r="M272" s="434"/>
      <c r="N272" s="434"/>
      <c r="O272" s="434"/>
      <c r="P272" s="69"/>
      <c r="Q272" s="69"/>
      <c r="R272" s="69"/>
      <c r="S272" s="435"/>
      <c r="T272" s="435"/>
      <c r="U272" s="435"/>
      <c r="V272" s="436"/>
      <c r="W272" s="437"/>
      <c r="X272" s="33"/>
      <c r="Y272" s="33"/>
      <c r="Z272" s="33"/>
      <c r="AA272" s="33"/>
      <c r="AB272" s="438"/>
      <c r="AC272" s="33"/>
    </row>
    <row r="273" spans="1:29" x14ac:dyDescent="0.3">
      <c r="A273" s="146">
        <v>43919.070833333331</v>
      </c>
      <c r="B273" s="439">
        <v>43923.095833333333</v>
      </c>
      <c r="C273" s="23"/>
      <c r="D273" s="23"/>
      <c r="E273" s="35" t="s">
        <v>557</v>
      </c>
      <c r="F273" s="25" t="s">
        <v>91</v>
      </c>
      <c r="G273" s="433">
        <v>82254</v>
      </c>
      <c r="H273" s="433"/>
      <c r="I273" s="433">
        <v>169300</v>
      </c>
      <c r="J273" s="26">
        <f>G273-I273</f>
        <v>-87046</v>
      </c>
      <c r="K273" s="27">
        <f>B273-A273</f>
        <v>4.0250000000014552</v>
      </c>
      <c r="L273" s="27">
        <f>'[102]EKA TERINI'!$J$85</f>
        <v>2.4708333333090802</v>
      </c>
      <c r="M273" s="434">
        <f>(G273)/K273</f>
        <v>20435.77639750814</v>
      </c>
      <c r="N273" s="434">
        <f>G273/L273</f>
        <v>33289.98313692036</v>
      </c>
      <c r="O273" s="434">
        <v>25000</v>
      </c>
      <c r="P273" s="69">
        <f>(91060/10000)*8.7</f>
        <v>79.222199999999987</v>
      </c>
      <c r="Q273" s="69">
        <f>(75950/10000)*8.7</f>
        <v>66.076499999999996</v>
      </c>
      <c r="R273" s="69">
        <f>P273-Q273</f>
        <v>13.145699999999991</v>
      </c>
      <c r="S273" s="435">
        <f>R273/8.7*10000/(G273)</f>
        <v>0.18369927298368458</v>
      </c>
      <c r="T273" s="435">
        <f>R273/8.5*10000/(G273)</f>
        <v>0.18802160881859478</v>
      </c>
      <c r="U273" s="435" t="e">
        <f>S273/8.5*10000/(H273)</f>
        <v>#DIV/0!</v>
      </c>
      <c r="V273" s="436"/>
      <c r="W273" s="32"/>
      <c r="X273" s="33"/>
      <c r="Y273" s="33"/>
      <c r="Z273" s="33"/>
      <c r="AA273" s="33"/>
      <c r="AB273" s="438"/>
      <c r="AC273" s="33"/>
    </row>
    <row r="274" spans="1:29" x14ac:dyDescent="0.3">
      <c r="A274" s="146">
        <v>43925.625</v>
      </c>
      <c r="B274" s="439">
        <v>43930.729166666664</v>
      </c>
      <c r="C274" s="23"/>
      <c r="D274" s="23"/>
      <c r="E274" s="35" t="s">
        <v>558</v>
      </c>
      <c r="F274" s="36" t="s">
        <v>91</v>
      </c>
      <c r="G274" s="433">
        <v>95149</v>
      </c>
      <c r="H274" s="433"/>
      <c r="I274" s="433">
        <v>166300</v>
      </c>
      <c r="J274" s="26">
        <f>G274-I274</f>
        <v>-71151</v>
      </c>
      <c r="K274" s="27">
        <f>B274-A274</f>
        <v>5.1041666666642413</v>
      </c>
      <c r="L274" s="27">
        <f>'[102]BERGE APO'!$J$91</f>
        <v>2.887500000008246</v>
      </c>
      <c r="M274" s="434">
        <f>(G274)/K274</f>
        <v>18641.436734702736</v>
      </c>
      <c r="N274" s="434">
        <f>G274/L274</f>
        <v>32952.034631940529</v>
      </c>
      <c r="O274" s="434">
        <v>25000</v>
      </c>
      <c r="P274" s="69">
        <f>(72120/10000)*8.7</f>
        <v>62.744399999999992</v>
      </c>
      <c r="Q274" s="69">
        <f>(55490/10000)*8.7</f>
        <v>48.276299999999999</v>
      </c>
      <c r="R274" s="69">
        <f>P274-Q274</f>
        <v>14.468099999999993</v>
      </c>
      <c r="S274" s="435">
        <f>R274/8.7*10000/(G274)</f>
        <v>0.1747785052917003</v>
      </c>
      <c r="T274" s="435">
        <f>R274/8.5*10000/(G274)</f>
        <v>0.17889094071032852</v>
      </c>
      <c r="U274" s="435"/>
      <c r="V274" s="31"/>
      <c r="W274" s="32"/>
      <c r="X274" s="33"/>
      <c r="Y274" s="33"/>
      <c r="Z274" s="33"/>
      <c r="AA274" s="33"/>
      <c r="AB274" s="438"/>
      <c r="AC274" s="33"/>
    </row>
    <row r="275" spans="1:29" x14ac:dyDescent="0.3">
      <c r="A275" s="146">
        <v>43931.237500000003</v>
      </c>
      <c r="B275" s="439">
        <v>43935.708333333336</v>
      </c>
      <c r="C275" s="23"/>
      <c r="D275" s="23"/>
      <c r="E275" s="35" t="s">
        <v>559</v>
      </c>
      <c r="F275" s="25" t="s">
        <v>91</v>
      </c>
      <c r="G275" s="433">
        <v>84922</v>
      </c>
      <c r="H275" s="433"/>
      <c r="I275" s="433">
        <v>172000</v>
      </c>
      <c r="J275" s="26">
        <f>G275-I275</f>
        <v>-87078</v>
      </c>
      <c r="K275" s="27">
        <f>B275-A275</f>
        <v>4.4708333333328483</v>
      </c>
      <c r="L275" s="27">
        <f>'[102]MOUNT SINAI'!$J$78</f>
        <v>2.5708333333304232</v>
      </c>
      <c r="M275" s="434">
        <f>(G275)/K275</f>
        <v>18994.669151912592</v>
      </c>
      <c r="N275" s="434">
        <f>G275/L275</f>
        <v>33032.868719648417</v>
      </c>
      <c r="O275" s="434">
        <v>25000</v>
      </c>
      <c r="P275" s="69">
        <f>(143910/10000)*8.7</f>
        <v>125.20169999999999</v>
      </c>
      <c r="Q275" s="69">
        <f>(128000/10000)*8.7</f>
        <v>111.36</v>
      </c>
      <c r="R275" s="69">
        <f>P275-Q275</f>
        <v>13.841699999999989</v>
      </c>
      <c r="S275" s="435">
        <f>R275/8.7*10000/(G275)</f>
        <v>0.18734839028755787</v>
      </c>
      <c r="T275" s="435">
        <f>R275/8.5*10000/(G275)</f>
        <v>0.19175658770608858</v>
      </c>
      <c r="U275" s="69">
        <f>S275-T275</f>
        <v>-4.4081974185307127E-3</v>
      </c>
      <c r="V275" s="436"/>
      <c r="W275" s="437"/>
      <c r="X275" s="33"/>
      <c r="Y275" s="33"/>
      <c r="Z275" s="33"/>
      <c r="AA275" s="33"/>
      <c r="AB275" s="438"/>
      <c r="AC275" s="33"/>
    </row>
    <row r="276" spans="1:29" x14ac:dyDescent="0.3">
      <c r="A276" s="439">
        <v>43935.770833333336</v>
      </c>
      <c r="B276" s="439">
        <v>43939.1875</v>
      </c>
      <c r="C276" s="23"/>
      <c r="D276" s="23"/>
      <c r="E276" s="35" t="s">
        <v>560</v>
      </c>
      <c r="F276" s="25" t="s">
        <v>91</v>
      </c>
      <c r="G276" s="433">
        <v>73881</v>
      </c>
      <c r="H276" s="433"/>
      <c r="I276" s="433">
        <v>167300</v>
      </c>
      <c r="J276" s="26">
        <f>G276-I276</f>
        <v>-93419</v>
      </c>
      <c r="K276" s="27">
        <f>B276-A276</f>
        <v>3.4166666666642413</v>
      </c>
      <c r="L276" s="27">
        <f>'[103]PACIFIC ANOUK(not fix)'!$J$70</f>
        <v>2.4250000000087311</v>
      </c>
      <c r="M276" s="434">
        <f>(G276)/K276</f>
        <v>21623.70731708852</v>
      </c>
      <c r="N276" s="434">
        <f>G276/L276</f>
        <v>30466.391752467629</v>
      </c>
      <c r="O276" s="434">
        <v>25000</v>
      </c>
      <c r="P276" s="69">
        <f>(127640/10000)*8.7</f>
        <v>111.04679999999999</v>
      </c>
      <c r="Q276" s="69">
        <f>(113850/10000)*8.7</f>
        <v>99.049499999999995</v>
      </c>
      <c r="R276" s="69">
        <f>P276-Q276</f>
        <v>11.997299999999996</v>
      </c>
      <c r="S276" s="435">
        <f>R276/8.7*10000/(G276)</f>
        <v>0.18665150715339526</v>
      </c>
      <c r="T276" s="435">
        <f>R276/8.5*10000/(G276)</f>
        <v>0.19104330732171043</v>
      </c>
      <c r="U276" s="435"/>
      <c r="V276" s="436"/>
      <c r="W276" s="437"/>
      <c r="X276" s="33"/>
      <c r="Y276" s="33"/>
      <c r="Z276" s="33"/>
      <c r="AA276" s="33"/>
      <c r="AB276" s="438"/>
      <c r="AC276" s="33"/>
    </row>
    <row r="277" spans="1:29" x14ac:dyDescent="0.3">
      <c r="A277" s="439">
        <v>43939.383333333331</v>
      </c>
      <c r="B277" s="439">
        <v>43943.279166666667</v>
      </c>
      <c r="C277" s="23"/>
      <c r="D277" s="23"/>
      <c r="E277" s="35" t="s">
        <v>561</v>
      </c>
      <c r="F277" s="25" t="s">
        <v>91</v>
      </c>
      <c r="G277" s="433">
        <v>87548</v>
      </c>
      <c r="H277" s="433"/>
      <c r="I277" s="433">
        <v>178645</v>
      </c>
      <c r="J277" s="26">
        <f>G277-I277</f>
        <v>-91097</v>
      </c>
      <c r="K277" s="27">
        <f>B277-A277</f>
        <v>3.8958333333357587</v>
      </c>
      <c r="L277" s="27">
        <f>'[102]CAPE SUNRISE'!$J$76</f>
        <v>2.6604166666899496</v>
      </c>
      <c r="M277" s="434">
        <f>(G277)/K277</f>
        <v>22472.213903729327</v>
      </c>
      <c r="N277" s="434">
        <f>G277/L277</f>
        <v>32907.627251082406</v>
      </c>
      <c r="O277" s="434">
        <v>25000</v>
      </c>
      <c r="P277" s="69">
        <f>(113130/10000)*8.7</f>
        <v>98.423099999999991</v>
      </c>
      <c r="Q277" s="69">
        <f>(97970/10000)*8.7</f>
        <v>85.233899999999991</v>
      </c>
      <c r="R277" s="69">
        <f>P277-Q277</f>
        <v>13.1892</v>
      </c>
      <c r="S277" s="435">
        <f>R277/8.7*10000/(G277)</f>
        <v>0.17316215104856764</v>
      </c>
      <c r="T277" s="435">
        <f>R277/8.5*10000/(G277)</f>
        <v>0.17723655460265159</v>
      </c>
      <c r="U277" s="435"/>
      <c r="V277" s="436"/>
      <c r="W277" s="437"/>
      <c r="X277" s="33"/>
      <c r="Y277" s="33"/>
      <c r="Z277" s="33"/>
      <c r="AA277" s="33"/>
      <c r="AB277" s="438"/>
      <c r="AC277" s="33"/>
    </row>
    <row r="278" spans="1:29" x14ac:dyDescent="0.3">
      <c r="A278" s="439"/>
      <c r="B278" s="439"/>
      <c r="C278" s="23"/>
      <c r="D278" s="23"/>
      <c r="E278" s="35"/>
      <c r="F278" s="25"/>
      <c r="G278" s="433"/>
      <c r="H278" s="433"/>
      <c r="I278" s="433"/>
      <c r="J278" s="26"/>
      <c r="K278" s="27"/>
      <c r="L278" s="27"/>
      <c r="M278" s="434"/>
      <c r="N278" s="434"/>
      <c r="O278" s="434"/>
      <c r="P278" s="69"/>
      <c r="Q278" s="69"/>
      <c r="R278" s="69"/>
      <c r="S278" s="435"/>
      <c r="T278" s="435"/>
      <c r="U278" s="435"/>
      <c r="V278" s="436"/>
      <c r="W278" s="437"/>
      <c r="X278" s="33"/>
      <c r="Y278" s="33"/>
      <c r="Z278" s="33"/>
      <c r="AA278" s="33"/>
      <c r="AB278" s="438"/>
      <c r="AC278" s="33"/>
    </row>
    <row r="279" spans="1:29" x14ac:dyDescent="0.3">
      <c r="A279" s="20"/>
      <c r="B279" s="20"/>
      <c r="C279" s="20">
        <v>1000000001</v>
      </c>
      <c r="D279" s="20"/>
      <c r="E279" s="21" t="s">
        <v>43</v>
      </c>
      <c r="F279" s="21"/>
      <c r="G279" s="431">
        <f>SUM(G272:G277)</f>
        <v>423754</v>
      </c>
      <c r="H279" s="431"/>
      <c r="I279" s="431"/>
      <c r="J279" s="431"/>
      <c r="K279" s="431"/>
      <c r="L279" s="431"/>
      <c r="M279" s="431"/>
      <c r="N279" s="431">
        <f>AVERAGE(N273:N277)</f>
        <v>32529.781098411873</v>
      </c>
      <c r="O279" s="431"/>
      <c r="P279" s="431"/>
      <c r="Q279" s="431"/>
      <c r="R279" s="440">
        <f>SUM(R272:R277)</f>
        <v>66.641999999999967</v>
      </c>
      <c r="S279" s="441">
        <f>R279/8.7*10000/G279</f>
        <v>0.18076525531322413</v>
      </c>
      <c r="T279" s="440"/>
      <c r="U279" s="440"/>
      <c r="V279" s="442"/>
      <c r="W279" s="22"/>
      <c r="X279" s="22"/>
      <c r="Y279" s="432">
        <v>360000</v>
      </c>
      <c r="Z279" s="432"/>
      <c r="AA279" s="432"/>
      <c r="AB279" s="432"/>
      <c r="AC279" s="432"/>
    </row>
    <row r="280" spans="1:29" x14ac:dyDescent="0.3">
      <c r="A280" s="146"/>
      <c r="B280" s="146"/>
      <c r="C280" s="23"/>
      <c r="D280" s="14"/>
      <c r="E280" s="35"/>
      <c r="F280" s="25"/>
      <c r="G280" s="433"/>
      <c r="H280" s="433"/>
      <c r="I280" s="433"/>
      <c r="J280" s="26"/>
      <c r="K280" s="27"/>
      <c r="L280" s="27"/>
      <c r="M280" s="434"/>
      <c r="N280" s="434"/>
      <c r="O280" s="434"/>
      <c r="P280" s="69"/>
      <c r="Q280" s="69"/>
      <c r="R280" s="69"/>
      <c r="S280" s="435"/>
      <c r="T280" s="435"/>
      <c r="U280" s="435"/>
      <c r="V280" s="436"/>
      <c r="W280" s="437"/>
      <c r="X280" s="33"/>
      <c r="Y280" s="33"/>
      <c r="Z280" s="33"/>
      <c r="AA280" s="33"/>
      <c r="AB280" s="438"/>
      <c r="AC280" s="33"/>
    </row>
    <row r="281" spans="1:29" x14ac:dyDescent="0.3">
      <c r="A281" s="439">
        <v>43952.762499999997</v>
      </c>
      <c r="B281" s="439">
        <v>43954.070833333331</v>
      </c>
      <c r="C281" s="23"/>
      <c r="D281" s="14"/>
      <c r="E281" s="35" t="s">
        <v>562</v>
      </c>
      <c r="F281" s="36"/>
      <c r="G281" s="433">
        <v>25930</v>
      </c>
      <c r="H281" s="433"/>
      <c r="I281" s="433">
        <v>25930</v>
      </c>
      <c r="J281" s="26">
        <f t="shared" ref="J281:J285" si="54">G281-I281</f>
        <v>0</v>
      </c>
      <c r="K281" s="27">
        <f>B281-A281</f>
        <v>1.3083333333343035</v>
      </c>
      <c r="L281" s="27">
        <f>'[104]Unique Carrier'!$J$43</f>
        <v>0.79166666667151731</v>
      </c>
      <c r="M281" s="434">
        <f>(G281)/K281</f>
        <v>19819.108280240082</v>
      </c>
      <c r="N281" s="434">
        <f>G281/L281</f>
        <v>32753.684210325631</v>
      </c>
      <c r="O281" s="434">
        <v>25000</v>
      </c>
      <c r="P281" s="69">
        <f>(85420/10000)*8.7</f>
        <v>74.315399999999997</v>
      </c>
      <c r="Q281" s="69">
        <f>(80700/10000)*8.7</f>
        <v>70.209000000000003</v>
      </c>
      <c r="R281" s="69">
        <f>P281-Q281</f>
        <v>4.1063999999999936</v>
      </c>
      <c r="S281" s="435">
        <f>R281/8.7*10000/(G281)</f>
        <v>0.18202853837254118</v>
      </c>
      <c r="T281" s="435">
        <f>R281/8.5*10000/(G281)</f>
        <v>0.18631156280483627</v>
      </c>
      <c r="U281" s="435" t="e">
        <f>S281/8.5*10000/(H281)</f>
        <v>#DIV/0!</v>
      </c>
      <c r="V281" s="436"/>
      <c r="W281" s="32"/>
      <c r="X281" s="33"/>
      <c r="Y281" s="33"/>
      <c r="Z281" s="33"/>
      <c r="AA281" s="33"/>
      <c r="AB281" s="438"/>
      <c r="AC281" s="33"/>
    </row>
    <row r="282" spans="1:29" x14ac:dyDescent="0.3">
      <c r="A282" s="439">
        <v>43954.45416666667</v>
      </c>
      <c r="B282" s="439">
        <v>43960.283333333333</v>
      </c>
      <c r="C282" s="23"/>
      <c r="D282" s="14"/>
      <c r="E282" s="35" t="s">
        <v>563</v>
      </c>
      <c r="F282" s="36" t="s">
        <v>91</v>
      </c>
      <c r="G282" s="433">
        <v>81454</v>
      </c>
      <c r="H282" s="433"/>
      <c r="I282" s="433">
        <v>170000</v>
      </c>
      <c r="J282" s="26">
        <f t="shared" si="54"/>
        <v>-88546</v>
      </c>
      <c r="K282" s="27">
        <f>B282-A282</f>
        <v>5.8291666666627862</v>
      </c>
      <c r="L282" s="27">
        <f>'[105]CASTILLO DE VALVERDE'!$J$71</f>
        <v>2.3312500000065484</v>
      </c>
      <c r="M282" s="434">
        <f>(G282)/K282</f>
        <v>13973.523945684785</v>
      </c>
      <c r="N282" s="434">
        <f>G282/L282</f>
        <v>34940.053619204802</v>
      </c>
      <c r="O282" s="434">
        <v>25000</v>
      </c>
      <c r="P282" s="69">
        <f>(79990/10000)*8.7</f>
        <v>69.59129999999999</v>
      </c>
      <c r="Q282" s="69">
        <f>(63340/10000)*8.7</f>
        <v>55.105799999999995</v>
      </c>
      <c r="R282" s="69">
        <f>P282-Q282</f>
        <v>14.485499999999995</v>
      </c>
      <c r="S282" s="435">
        <f>R282/8.7*10000/(G282)</f>
        <v>0.20440985095882333</v>
      </c>
      <c r="T282" s="435">
        <f>R282/8.5*10000/(G282)</f>
        <v>0.20921949451079561</v>
      </c>
      <c r="U282" s="435"/>
      <c r="V282" s="31"/>
      <c r="W282" s="32"/>
      <c r="X282" s="33"/>
      <c r="Y282" s="33"/>
      <c r="Z282" s="33"/>
      <c r="AA282" s="33"/>
      <c r="AB282" s="438"/>
      <c r="AC282" s="33"/>
    </row>
    <row r="283" spans="1:29" x14ac:dyDescent="0.3">
      <c r="A283" s="146">
        <v>43960.70416666667</v>
      </c>
      <c r="B283" s="439">
        <v>43965.82916666667</v>
      </c>
      <c r="C283" s="23"/>
      <c r="D283" s="23"/>
      <c r="E283" s="35" t="s">
        <v>564</v>
      </c>
      <c r="F283" s="25" t="s">
        <v>91</v>
      </c>
      <c r="G283" s="433">
        <v>110556</v>
      </c>
      <c r="H283" s="433"/>
      <c r="I283" s="433">
        <v>177295</v>
      </c>
      <c r="J283" s="26">
        <f t="shared" si="54"/>
        <v>-66739</v>
      </c>
      <c r="K283" s="27">
        <f t="shared" ref="K283:K286" si="55">B283-A283</f>
        <v>5.125</v>
      </c>
      <c r="L283" s="27">
        <f>'[106]NEW ORLEANS'!$J$92</f>
        <v>3.1499999999951491</v>
      </c>
      <c r="M283" s="434">
        <f t="shared" ref="M283:M286" si="56">(G283)/K283</f>
        <v>21571.90243902439</v>
      </c>
      <c r="N283" s="434">
        <f t="shared" ref="N283:N286" si="57">G283/L283</f>
        <v>35097.142857196908</v>
      </c>
      <c r="O283" s="434">
        <v>25000</v>
      </c>
      <c r="P283" s="69">
        <f>(261070/10000)*8.7</f>
        <v>227.13089999999997</v>
      </c>
      <c r="Q283" s="69">
        <f>(242260/10000)*8.7</f>
        <v>210.76619999999997</v>
      </c>
      <c r="R283" s="69">
        <f t="shared" ref="R283:R286" si="58">P283-Q283</f>
        <v>16.364699999999999</v>
      </c>
      <c r="S283" s="435">
        <f t="shared" ref="S283:S286" si="59">R283/8.7*10000/(G283)</f>
        <v>0.1701400195376099</v>
      </c>
      <c r="T283" s="435">
        <f t="shared" ref="T283:T286" si="60">R283/8.5*10000/(G283)</f>
        <v>0.17414331411496539</v>
      </c>
      <c r="U283" s="69">
        <f>S283-T283</f>
        <v>-4.0032945773554873E-3</v>
      </c>
      <c r="V283" s="436"/>
      <c r="W283" s="437"/>
      <c r="X283" s="33"/>
      <c r="Y283" s="33"/>
      <c r="Z283" s="33"/>
      <c r="AA283" s="33"/>
      <c r="AB283" s="438"/>
      <c r="AC283" s="33"/>
    </row>
    <row r="284" spans="1:29" x14ac:dyDescent="0.3">
      <c r="A284" s="146">
        <v>43966.35833333333</v>
      </c>
      <c r="B284" s="439">
        <v>43971.833333333336</v>
      </c>
      <c r="C284" s="23"/>
      <c r="D284" s="23"/>
      <c r="E284" s="35" t="s">
        <v>550</v>
      </c>
      <c r="F284" s="25" t="s">
        <v>91</v>
      </c>
      <c r="G284" s="433">
        <v>75024</v>
      </c>
      <c r="H284" s="433"/>
      <c r="I284" s="433">
        <v>162300</v>
      </c>
      <c r="J284" s="26">
        <f t="shared" si="54"/>
        <v>-87276</v>
      </c>
      <c r="K284" s="27">
        <f t="shared" si="55"/>
        <v>5.4750000000058208</v>
      </c>
      <c r="L284" s="27">
        <f>'[106]BERGE ORIZABA'!$J$72</f>
        <v>1.9208333333423071</v>
      </c>
      <c r="M284" s="434">
        <f t="shared" si="56"/>
        <v>13703.013698615569</v>
      </c>
      <c r="N284" s="434">
        <f t="shared" si="57"/>
        <v>39058.047722160263</v>
      </c>
      <c r="O284" s="434">
        <v>25000</v>
      </c>
      <c r="P284" s="69">
        <f>(241690/10000)*8.7</f>
        <v>210.27029999999999</v>
      </c>
      <c r="Q284" s="69">
        <f>(225850/10000)*8.7</f>
        <v>196.48949999999999</v>
      </c>
      <c r="R284" s="69">
        <f t="shared" si="58"/>
        <v>13.780799999999999</v>
      </c>
      <c r="S284" s="435">
        <f t="shared" si="59"/>
        <v>0.21113243761996162</v>
      </c>
      <c r="T284" s="435">
        <f t="shared" si="60"/>
        <v>0.21610025968160776</v>
      </c>
      <c r="U284" s="69"/>
      <c r="V284" s="436"/>
      <c r="W284" s="437"/>
      <c r="X284" s="33"/>
      <c r="Y284" s="33"/>
      <c r="Z284" s="33"/>
      <c r="AA284" s="33"/>
      <c r="AB284" s="438"/>
      <c r="AC284" s="33"/>
    </row>
    <row r="285" spans="1:29" x14ac:dyDescent="0.3">
      <c r="A285" s="439">
        <v>43972.220833333333</v>
      </c>
      <c r="B285" s="439">
        <v>43977.637499999997</v>
      </c>
      <c r="C285" s="23"/>
      <c r="D285" s="23"/>
      <c r="E285" s="35" t="s">
        <v>565</v>
      </c>
      <c r="F285" s="25" t="s">
        <v>91</v>
      </c>
      <c r="G285" s="433">
        <v>84833</v>
      </c>
      <c r="H285" s="433"/>
      <c r="I285" s="433">
        <v>163500</v>
      </c>
      <c r="J285" s="26">
        <f t="shared" si="54"/>
        <v>-78667</v>
      </c>
      <c r="K285" s="27">
        <f t="shared" si="55"/>
        <v>5.4166666666642413</v>
      </c>
      <c r="L285" s="27">
        <f>'[105]WEST TRADER'!$J$67</f>
        <v>2.5812499999956344</v>
      </c>
      <c r="M285" s="434">
        <f t="shared" si="56"/>
        <v>15661.476923083936</v>
      </c>
      <c r="N285" s="434">
        <f t="shared" si="57"/>
        <v>32865.084745818298</v>
      </c>
      <c r="O285" s="434">
        <v>25000</v>
      </c>
      <c r="P285" s="69">
        <f>(225390/10000)*8.7</f>
        <v>196.08930000000001</v>
      </c>
      <c r="Q285" s="69">
        <f>(209210/10000)*8.7</f>
        <v>182.01269999999997</v>
      </c>
      <c r="R285" s="69">
        <f t="shared" si="58"/>
        <v>14.076600000000042</v>
      </c>
      <c r="S285" s="435">
        <f t="shared" si="59"/>
        <v>0.19072766494170959</v>
      </c>
      <c r="T285" s="435">
        <f t="shared" si="60"/>
        <v>0.19521537470504394</v>
      </c>
      <c r="U285" s="435"/>
      <c r="V285" s="436"/>
      <c r="W285" s="437"/>
      <c r="X285" s="33"/>
      <c r="Y285" s="33"/>
      <c r="Z285" s="33"/>
      <c r="AA285" s="33"/>
      <c r="AB285" s="438"/>
      <c r="AC285" s="33"/>
    </row>
    <row r="286" spans="1:29" x14ac:dyDescent="0.3">
      <c r="A286" s="439">
        <v>43978.087500000001</v>
      </c>
      <c r="B286" s="439">
        <v>43982.175000000003</v>
      </c>
      <c r="C286" s="23"/>
      <c r="D286" s="23"/>
      <c r="E286" s="35" t="s">
        <v>566</v>
      </c>
      <c r="F286" s="25" t="s">
        <v>91</v>
      </c>
      <c r="G286" s="433">
        <v>76450</v>
      </c>
      <c r="H286" s="433"/>
      <c r="I286" s="433">
        <v>167100</v>
      </c>
      <c r="J286" s="26">
        <f>G286-I286</f>
        <v>-90650</v>
      </c>
      <c r="K286" s="27">
        <f t="shared" si="55"/>
        <v>4.0875000000014552</v>
      </c>
      <c r="L286" s="27">
        <f>[105]SUNRISE!$J$67</f>
        <v>2.2479166666744277</v>
      </c>
      <c r="M286" s="434">
        <f t="shared" si="56"/>
        <v>18703.36391436643</v>
      </c>
      <c r="N286" s="434">
        <f t="shared" si="57"/>
        <v>34009.267840475724</v>
      </c>
      <c r="O286" s="434">
        <v>25000</v>
      </c>
      <c r="P286" s="69">
        <f>(208490/10000)*8.7</f>
        <v>181.38629999999998</v>
      </c>
      <c r="Q286" s="69">
        <f>(194660/10000)*8.7</f>
        <v>169.35419999999999</v>
      </c>
      <c r="R286" s="69">
        <f t="shared" si="58"/>
        <v>12.032099999999986</v>
      </c>
      <c r="S286" s="435">
        <f t="shared" si="59"/>
        <v>0.18090255068672315</v>
      </c>
      <c r="T286" s="435">
        <f t="shared" si="60"/>
        <v>0.18515908129111661</v>
      </c>
      <c r="U286" s="435"/>
      <c r="V286" s="436"/>
      <c r="W286" s="437"/>
      <c r="X286" s="33"/>
      <c r="Y286" s="33"/>
      <c r="Z286" s="33"/>
      <c r="AA286" s="33"/>
      <c r="AB286" s="438"/>
      <c r="AC286" s="33"/>
    </row>
    <row r="287" spans="1:29" x14ac:dyDescent="0.3">
      <c r="A287" s="439"/>
      <c r="B287" s="439"/>
      <c r="C287" s="23"/>
      <c r="D287" s="23"/>
      <c r="E287" s="35"/>
      <c r="F287" s="25"/>
      <c r="G287" s="433"/>
      <c r="H287" s="433"/>
      <c r="I287" s="433"/>
      <c r="J287" s="26"/>
      <c r="K287" s="27"/>
      <c r="L287" s="27"/>
      <c r="M287" s="434"/>
      <c r="N287" s="434"/>
      <c r="O287" s="434"/>
      <c r="P287" s="69"/>
      <c r="Q287" s="69"/>
      <c r="R287" s="69"/>
      <c r="S287" s="435"/>
      <c r="T287" s="435"/>
      <c r="U287" s="435"/>
      <c r="V287" s="436"/>
      <c r="W287" s="437"/>
      <c r="X287" s="33"/>
      <c r="Y287" s="33"/>
      <c r="Z287" s="33"/>
      <c r="AA287" s="33"/>
      <c r="AB287" s="438"/>
      <c r="AC287" s="33"/>
    </row>
    <row r="288" spans="1:29" x14ac:dyDescent="0.3">
      <c r="A288" s="20"/>
      <c r="B288" s="20"/>
      <c r="C288" s="20">
        <v>1000000001</v>
      </c>
      <c r="D288" s="20"/>
      <c r="E288" s="21" t="s">
        <v>52</v>
      </c>
      <c r="F288" s="21"/>
      <c r="G288" s="431">
        <f>SUM(G280:G287)</f>
        <v>454247</v>
      </c>
      <c r="H288" s="431"/>
      <c r="I288" s="431"/>
      <c r="J288" s="431"/>
      <c r="K288" s="431"/>
      <c r="L288" s="431"/>
      <c r="M288" s="431"/>
      <c r="N288" s="431">
        <f>AVERAGE(N281:N286)</f>
        <v>34787.213499196943</v>
      </c>
      <c r="O288" s="431"/>
      <c r="P288" s="431"/>
      <c r="Q288" s="431"/>
      <c r="R288" s="440">
        <f>SUM(R280:R287)</f>
        <v>74.846100000000007</v>
      </c>
      <c r="S288" s="441">
        <f>R288/8.7*10000/G288</f>
        <v>0.18939035370624355</v>
      </c>
      <c r="T288" s="440"/>
      <c r="U288" s="440"/>
      <c r="V288" s="442"/>
      <c r="W288" s="22"/>
      <c r="X288" s="22"/>
      <c r="Y288" s="432">
        <v>360000</v>
      </c>
      <c r="Z288" s="432"/>
      <c r="AA288" s="432"/>
      <c r="AB288" s="432"/>
      <c r="AC288" s="432"/>
    </row>
    <row r="289" spans="1:29" x14ac:dyDescent="0.3">
      <c r="A289" s="146"/>
      <c r="B289" s="146"/>
      <c r="C289" s="23"/>
      <c r="D289" s="14"/>
      <c r="E289" s="35"/>
      <c r="F289" s="25"/>
      <c r="G289" s="433"/>
      <c r="H289" s="433"/>
      <c r="I289" s="433"/>
      <c r="J289" s="26"/>
      <c r="K289" s="27"/>
      <c r="L289" s="27"/>
      <c r="M289" s="434"/>
      <c r="N289" s="434"/>
      <c r="O289" s="434"/>
      <c r="P289" s="69"/>
      <c r="Q289" s="69"/>
      <c r="R289" s="69"/>
      <c r="S289" s="435"/>
      <c r="T289" s="435"/>
      <c r="U289" s="435"/>
      <c r="V289" s="436"/>
      <c r="W289" s="437"/>
      <c r="X289" s="33"/>
      <c r="Y289" s="33"/>
      <c r="Z289" s="33"/>
      <c r="AA289" s="33"/>
      <c r="AB289" s="438"/>
      <c r="AC289" s="33"/>
    </row>
    <row r="290" spans="1:29" x14ac:dyDescent="0.3">
      <c r="A290" s="439">
        <v>43982.574999999997</v>
      </c>
      <c r="B290" s="439">
        <v>43989.941666666666</v>
      </c>
      <c r="C290" s="23"/>
      <c r="D290" s="23"/>
      <c r="E290" s="35" t="s">
        <v>567</v>
      </c>
      <c r="F290" s="36" t="s">
        <v>91</v>
      </c>
      <c r="G290" s="433">
        <v>121574</v>
      </c>
      <c r="H290" s="433"/>
      <c r="I290" s="433">
        <v>177083</v>
      </c>
      <c r="J290" s="26">
        <f>G290-I290</f>
        <v>-55509</v>
      </c>
      <c r="K290" s="27">
        <f t="shared" ref="K290:K291" si="61">B290-A290</f>
        <v>7.3666666666686069</v>
      </c>
      <c r="L290" s="27">
        <f>'[107]BULK KYUSHU'!$J$231</f>
        <v>4.3708333333415794</v>
      </c>
      <c r="M290" s="434">
        <f t="shared" ref="M290:M292" si="62">(G290)/K290</f>
        <v>16503.25791854769</v>
      </c>
      <c r="N290" s="434">
        <f t="shared" ref="N290:N292" si="63">G290/L290</f>
        <v>27814.833174399384</v>
      </c>
      <c r="O290" s="434">
        <v>25000</v>
      </c>
      <c r="P290" s="69">
        <f>(194050/10000)*8.7</f>
        <v>168.8235</v>
      </c>
      <c r="Q290" s="69">
        <f>(168130/10000)*8.7</f>
        <v>146.27309999999997</v>
      </c>
      <c r="R290" s="69">
        <f t="shared" ref="R290:R292" si="64">P290-Q290</f>
        <v>22.550400000000025</v>
      </c>
      <c r="S290" s="435">
        <f t="shared" ref="S290:S292" si="65">R290/8.7*10000/(G290)</f>
        <v>0.21320348100745251</v>
      </c>
      <c r="T290" s="435">
        <f t="shared" ref="T290:T292" si="66">R290/8.5*10000/(G290)</f>
        <v>0.21822003350174551</v>
      </c>
      <c r="U290" s="435" t="e">
        <f>S290/8.5*10000/(H290)</f>
        <v>#DIV/0!</v>
      </c>
      <c r="V290" s="436"/>
      <c r="W290" s="32"/>
      <c r="X290" s="33"/>
      <c r="Y290" s="33"/>
      <c r="Z290" s="33"/>
      <c r="AA290" s="33"/>
      <c r="AB290" s="438"/>
      <c r="AC290" s="33"/>
    </row>
    <row r="291" spans="1:29" x14ac:dyDescent="0.3">
      <c r="A291" s="439">
        <v>43995.666666666664</v>
      </c>
      <c r="B291" s="439">
        <v>43996.533333333333</v>
      </c>
      <c r="C291" s="23"/>
      <c r="D291" s="23"/>
      <c r="E291" s="35" t="s">
        <v>568</v>
      </c>
      <c r="F291" s="36" t="s">
        <v>91</v>
      </c>
      <c r="G291" s="433">
        <v>13372</v>
      </c>
      <c r="H291" s="433"/>
      <c r="I291" s="433">
        <v>198000</v>
      </c>
      <c r="J291" s="26">
        <f>G291-I291</f>
        <v>-184628</v>
      </c>
      <c r="K291" s="27">
        <f t="shared" si="61"/>
        <v>0.86666666666860692</v>
      </c>
      <c r="L291" s="27">
        <f>'[107]ATLANTIC TIGER'!$J$54</f>
        <v>0.27916666667442769</v>
      </c>
      <c r="M291" s="434">
        <f t="shared" si="62"/>
        <v>15429.230769196227</v>
      </c>
      <c r="N291" s="434">
        <f t="shared" si="63"/>
        <v>47899.701491205669</v>
      </c>
      <c r="O291" s="434">
        <v>25000</v>
      </c>
      <c r="P291" s="69">
        <f>(159980/10000)*8.7</f>
        <v>139.18259999999998</v>
      </c>
      <c r="Q291" s="69">
        <f>(155145/10000)*8.7</f>
        <v>134.97614999999999</v>
      </c>
      <c r="R291" s="69">
        <f t="shared" si="64"/>
        <v>4.2064499999999896</v>
      </c>
      <c r="S291" s="435">
        <f t="shared" si="65"/>
        <v>0.3615764283577616</v>
      </c>
      <c r="T291" s="435">
        <f t="shared" si="66"/>
        <v>0.37008410902500305</v>
      </c>
      <c r="U291" s="435"/>
      <c r="V291" s="436"/>
      <c r="W291" s="32"/>
      <c r="X291" s="33"/>
      <c r="Y291" s="33"/>
      <c r="Z291" s="33"/>
      <c r="AA291" s="33"/>
      <c r="AB291" s="438"/>
      <c r="AC291" s="33"/>
    </row>
    <row r="292" spans="1:29" x14ac:dyDescent="0.3">
      <c r="A292" s="439">
        <v>44001.604166666664</v>
      </c>
      <c r="B292" s="439">
        <v>44010.01666666667</v>
      </c>
      <c r="C292" s="23"/>
      <c r="D292" s="14"/>
      <c r="E292" s="35" t="s">
        <v>569</v>
      </c>
      <c r="F292" s="36" t="s">
        <v>91</v>
      </c>
      <c r="G292" s="433">
        <v>120295</v>
      </c>
      <c r="H292" s="433"/>
      <c r="I292" s="433">
        <v>177120</v>
      </c>
      <c r="J292" s="26">
        <f>G292-I292</f>
        <v>-56825</v>
      </c>
      <c r="K292" s="27">
        <f>B292-A292</f>
        <v>8.4125000000058208</v>
      </c>
      <c r="L292" s="27">
        <f>'[107]KSL SEATTLE'!$J$281</f>
        <v>3.8395833333961491</v>
      </c>
      <c r="M292" s="434">
        <f t="shared" si="62"/>
        <v>14299.554234759793</v>
      </c>
      <c r="N292" s="434">
        <f t="shared" si="63"/>
        <v>31330.22246286237</v>
      </c>
      <c r="O292" s="434">
        <v>25000</v>
      </c>
      <c r="P292" s="69">
        <f>(150130/10000)*8.7</f>
        <v>130.61309999999997</v>
      </c>
      <c r="Q292" s="69">
        <f>(123570/10000)*8.7</f>
        <v>107.50589999999998</v>
      </c>
      <c r="R292" s="69">
        <f t="shared" si="64"/>
        <v>23.107199999999992</v>
      </c>
      <c r="S292" s="435">
        <f t="shared" si="65"/>
        <v>0.22079055654848492</v>
      </c>
      <c r="T292" s="435">
        <f t="shared" si="66"/>
        <v>0.2259856284672728</v>
      </c>
      <c r="U292" s="435"/>
      <c r="V292" s="436"/>
      <c r="W292" s="32"/>
      <c r="X292" s="33"/>
      <c r="Y292" s="33"/>
      <c r="Z292" s="33"/>
      <c r="AA292" s="33"/>
      <c r="AB292" s="438"/>
      <c r="AC292" s="33"/>
    </row>
    <row r="293" spans="1:29" x14ac:dyDescent="0.3">
      <c r="A293" s="439"/>
      <c r="B293" s="439"/>
      <c r="C293" s="23"/>
      <c r="D293" s="23"/>
      <c r="E293" s="35"/>
      <c r="F293" s="25"/>
      <c r="G293" s="433"/>
      <c r="H293" s="433"/>
      <c r="I293" s="433"/>
      <c r="J293" s="26"/>
      <c r="K293" s="27"/>
      <c r="L293" s="27"/>
      <c r="M293" s="434"/>
      <c r="N293" s="434"/>
      <c r="O293" s="434"/>
      <c r="P293" s="69"/>
      <c r="Q293" s="69"/>
      <c r="R293" s="69"/>
      <c r="S293" s="435"/>
      <c r="T293" s="435"/>
      <c r="U293" s="435"/>
      <c r="V293" s="436"/>
      <c r="W293" s="437"/>
      <c r="X293" s="33"/>
      <c r="Y293" s="33"/>
      <c r="Z293" s="33"/>
      <c r="AA293" s="33"/>
      <c r="AB293" s="438"/>
      <c r="AC293" s="33"/>
    </row>
    <row r="294" spans="1:29" x14ac:dyDescent="0.3">
      <c r="A294" s="20"/>
      <c r="B294" s="20"/>
      <c r="C294" s="20">
        <v>1000000001</v>
      </c>
      <c r="D294" s="20"/>
      <c r="E294" s="21" t="s">
        <v>60</v>
      </c>
      <c r="F294" s="21"/>
      <c r="G294" s="431">
        <f>SUM(G289:G293)</f>
        <v>255241</v>
      </c>
      <c r="H294" s="431"/>
      <c r="I294" s="431"/>
      <c r="J294" s="431"/>
      <c r="K294" s="431"/>
      <c r="L294" s="431"/>
      <c r="M294" s="431"/>
      <c r="N294" s="431">
        <f>AVERAGE(N290:N292)</f>
        <v>35681.58570948914</v>
      </c>
      <c r="O294" s="431"/>
      <c r="P294" s="431"/>
      <c r="Q294" s="431"/>
      <c r="R294" s="440">
        <f>SUM(R289:R293)</f>
        <v>49.864050000000006</v>
      </c>
      <c r="S294" s="441">
        <f>R294/8.7*10000/G294</f>
        <v>0.22455248177212914</v>
      </c>
      <c r="T294" s="440"/>
      <c r="U294" s="440"/>
      <c r="V294" s="442"/>
      <c r="W294" s="22"/>
      <c r="X294" s="22"/>
      <c r="Y294" s="432">
        <v>360000</v>
      </c>
      <c r="Z294" s="432"/>
      <c r="AA294" s="432"/>
      <c r="AB294" s="432"/>
      <c r="AC294" s="432"/>
    </row>
    <row r="295" spans="1:29" x14ac:dyDescent="0.3">
      <c r="A295" s="146"/>
      <c r="B295" s="146"/>
      <c r="C295" s="23"/>
      <c r="D295" s="14"/>
      <c r="E295" s="35"/>
      <c r="F295" s="25"/>
      <c r="G295" s="433"/>
      <c r="H295" s="433"/>
      <c r="I295" s="433"/>
      <c r="J295" s="26"/>
      <c r="K295" s="27"/>
      <c r="L295" s="27"/>
      <c r="M295" s="434"/>
      <c r="N295" s="434"/>
      <c r="O295" s="434"/>
      <c r="P295" s="69"/>
      <c r="Q295" s="69"/>
      <c r="R295" s="69"/>
      <c r="S295" s="435"/>
      <c r="T295" s="435"/>
      <c r="U295" s="435"/>
      <c r="V295" s="436"/>
      <c r="W295" s="437"/>
      <c r="X295" s="33"/>
      <c r="Y295" s="33"/>
      <c r="Z295" s="33"/>
      <c r="AA295" s="33"/>
      <c r="AB295" s="438"/>
      <c r="AC295" s="33"/>
    </row>
    <row r="296" spans="1:29" x14ac:dyDescent="0.3">
      <c r="A296" s="439">
        <v>44011.92083333333</v>
      </c>
      <c r="B296" s="439">
        <v>44017.458333333336</v>
      </c>
      <c r="C296" s="23"/>
      <c r="D296" s="14"/>
      <c r="E296" s="35" t="s">
        <v>570</v>
      </c>
      <c r="F296" s="36" t="s">
        <v>91</v>
      </c>
      <c r="G296" s="433">
        <v>42828</v>
      </c>
      <c r="H296" s="433"/>
      <c r="I296" s="433">
        <v>198000</v>
      </c>
      <c r="J296" s="26">
        <f>G296-I296</f>
        <v>-155172</v>
      </c>
      <c r="K296" s="27">
        <f t="shared" ref="K296" si="67">B296-A296</f>
        <v>5.5375000000058208</v>
      </c>
      <c r="L296" s="27">
        <f>'[108]CL RHINE RIVER'!$J$119</f>
        <v>1.5979166666511446</v>
      </c>
      <c r="M296" s="434">
        <f t="shared" ref="M296:M297" si="68">(G296)/K296</f>
        <v>7734.1760722266336</v>
      </c>
      <c r="N296" s="434">
        <f t="shared" ref="N296:N297" si="69">G296/L296</f>
        <v>26802.398957235586</v>
      </c>
      <c r="O296" s="434">
        <v>25000</v>
      </c>
      <c r="P296" s="69">
        <f>(121080/10000)*8.7</f>
        <v>105.33959999999999</v>
      </c>
      <c r="Q296" s="69">
        <f>(108050/10000)*8.7</f>
        <v>94.003499999999988</v>
      </c>
      <c r="R296" s="69">
        <f t="shared" ref="R296" si="70">P296-Q296</f>
        <v>11.336100000000002</v>
      </c>
      <c r="S296" s="435">
        <f t="shared" ref="S296" si="71">R296/8.7*10000/(G296)</f>
        <v>0.3042402166806763</v>
      </c>
      <c r="T296" s="435">
        <f t="shared" ref="T296:T297" si="72">R296/8.5*10000/(G296)</f>
        <v>0.31139881001433922</v>
      </c>
      <c r="U296" s="435" t="e">
        <f>S296/8.5*10000/(H296)</f>
        <v>#DIV/0!</v>
      </c>
      <c r="V296" s="436"/>
      <c r="W296" s="32"/>
      <c r="X296" s="33"/>
      <c r="Y296" s="33"/>
      <c r="Z296" s="33"/>
      <c r="AA296" s="33"/>
      <c r="AB296" s="438"/>
      <c r="AC296" s="33"/>
    </row>
    <row r="297" spans="1:29" x14ac:dyDescent="0.3">
      <c r="A297" s="439">
        <v>44019.362500000003</v>
      </c>
      <c r="B297" s="439">
        <v>44036.691666666666</v>
      </c>
      <c r="C297" s="23"/>
      <c r="D297" s="14"/>
      <c r="E297" s="35" t="s">
        <v>571</v>
      </c>
      <c r="F297" s="36" t="s">
        <v>91</v>
      </c>
      <c r="G297" s="433">
        <v>5012</v>
      </c>
      <c r="H297" s="433"/>
      <c r="I297" s="433">
        <v>198000</v>
      </c>
      <c r="J297" s="26">
        <f>G297-I297</f>
        <v>-192988</v>
      </c>
      <c r="K297" s="27">
        <f>B297-A297</f>
        <v>17.329166666662786</v>
      </c>
      <c r="L297" s="27">
        <f>'[109]BERGE TOUBKAL'!$J$57</f>
        <v>0.1416666666555102</v>
      </c>
      <c r="M297" s="434">
        <f t="shared" si="68"/>
        <v>289.22337100270965</v>
      </c>
      <c r="N297" s="434">
        <f t="shared" si="69"/>
        <v>35378.823532197901</v>
      </c>
      <c r="O297" s="434">
        <v>25000</v>
      </c>
      <c r="P297" s="69">
        <f>(105720/10000)*8.7</f>
        <v>91.976399999999984</v>
      </c>
      <c r="Q297" s="69">
        <f>(103600/10000)*8.7</f>
        <v>90.131999999999991</v>
      </c>
      <c r="R297" s="69">
        <f>P297-Q297</f>
        <v>1.8443999999999932</v>
      </c>
      <c r="S297" s="435">
        <f>R297/8.7*10000/(G297)</f>
        <v>0.42298483639265611</v>
      </c>
      <c r="T297" s="435">
        <f t="shared" si="72"/>
        <v>0.43293742077836561</v>
      </c>
      <c r="U297" s="625"/>
      <c r="V297" s="626"/>
      <c r="W297" s="627"/>
      <c r="X297" s="628"/>
      <c r="Y297" s="628"/>
      <c r="Z297" s="628"/>
      <c r="AA297" s="628"/>
      <c r="AB297" s="629"/>
      <c r="AC297" s="628"/>
    </row>
    <row r="298" spans="1:29" x14ac:dyDescent="0.3">
      <c r="A298" s="439" t="s">
        <v>536</v>
      </c>
      <c r="B298" s="439"/>
      <c r="C298" s="23"/>
      <c r="D298" s="23"/>
      <c r="E298" s="35"/>
      <c r="F298" s="25"/>
      <c r="G298" s="433"/>
      <c r="H298" s="433"/>
      <c r="I298" s="433"/>
      <c r="J298" s="26"/>
      <c r="K298" s="27"/>
      <c r="L298" s="27"/>
      <c r="M298" s="434"/>
      <c r="N298" s="434"/>
      <c r="O298" s="434"/>
      <c r="P298" s="69"/>
      <c r="Q298" s="69"/>
      <c r="R298" s="69"/>
      <c r="S298" s="435"/>
      <c r="T298" s="435"/>
      <c r="U298" s="435"/>
      <c r="V298" s="436"/>
      <c r="W298" s="437"/>
      <c r="X298" s="33"/>
      <c r="Y298" s="33"/>
      <c r="Z298" s="33"/>
      <c r="AA298" s="33"/>
      <c r="AB298" s="438"/>
      <c r="AC298" s="33"/>
    </row>
    <row r="299" spans="1:29" x14ac:dyDescent="0.3">
      <c r="A299" s="20"/>
      <c r="B299" s="20"/>
      <c r="C299" s="20">
        <v>1000000001</v>
      </c>
      <c r="D299" s="20"/>
      <c r="E299" s="21" t="s">
        <v>67</v>
      </c>
      <c r="F299" s="21"/>
      <c r="G299" s="431">
        <f>SUM(G295:G298)</f>
        <v>47840</v>
      </c>
      <c r="H299" s="431"/>
      <c r="I299" s="431"/>
      <c r="J299" s="431"/>
      <c r="K299" s="431"/>
      <c r="L299" s="431"/>
      <c r="M299" s="431"/>
      <c r="N299" s="431">
        <f>AVERAGE(N295:N297)</f>
        <v>31090.611244716743</v>
      </c>
      <c r="O299" s="431"/>
      <c r="P299" s="431"/>
      <c r="Q299" s="431"/>
      <c r="R299" s="440">
        <f>SUM(R295:R298)</f>
        <v>13.180499999999995</v>
      </c>
      <c r="S299" s="441">
        <f>R299/8.7*10000/G299</f>
        <v>0.31668060200668885</v>
      </c>
      <c r="T299" s="440"/>
      <c r="U299" s="440"/>
      <c r="V299" s="442"/>
      <c r="W299" s="22"/>
      <c r="X299" s="22"/>
      <c r="Y299" s="432">
        <v>360000</v>
      </c>
      <c r="Z299" s="432"/>
      <c r="AA299" s="432"/>
      <c r="AB299" s="432"/>
      <c r="AC299" s="432"/>
    </row>
    <row r="300" spans="1:29" x14ac:dyDescent="0.3">
      <c r="A300" s="146"/>
      <c r="B300" s="146"/>
      <c r="C300" s="23"/>
      <c r="D300" s="14"/>
      <c r="E300" s="35"/>
      <c r="F300" s="25"/>
      <c r="G300" s="433"/>
      <c r="H300" s="433"/>
      <c r="I300" s="433"/>
      <c r="J300" s="26"/>
      <c r="K300" s="27"/>
      <c r="L300" s="27"/>
      <c r="M300" s="434"/>
      <c r="N300" s="434"/>
      <c r="O300" s="434"/>
      <c r="P300" s="69"/>
      <c r="Q300" s="69"/>
      <c r="R300" s="69"/>
      <c r="S300" s="435"/>
      <c r="T300" s="435"/>
      <c r="U300" s="435"/>
      <c r="V300" s="436"/>
      <c r="W300" s="437"/>
      <c r="X300" s="33"/>
      <c r="Y300" s="33"/>
      <c r="Z300" s="33"/>
      <c r="AA300" s="33"/>
      <c r="AB300" s="438"/>
      <c r="AC300" s="33"/>
    </row>
    <row r="301" spans="1:29" x14ac:dyDescent="0.3">
      <c r="A301" s="439"/>
      <c r="B301" s="439"/>
      <c r="C301" s="23"/>
      <c r="D301" s="23"/>
      <c r="E301" s="35"/>
      <c r="F301" s="25"/>
      <c r="G301" s="433"/>
      <c r="H301" s="433"/>
      <c r="I301" s="433"/>
      <c r="J301" s="26"/>
      <c r="K301" s="27"/>
      <c r="L301" s="27"/>
      <c r="M301" s="434"/>
      <c r="N301" s="434"/>
      <c r="O301" s="434"/>
      <c r="P301" s="69"/>
      <c r="Q301" s="69"/>
      <c r="R301" s="69"/>
      <c r="S301" s="435"/>
      <c r="T301" s="435"/>
      <c r="U301" s="435"/>
      <c r="V301" s="436"/>
      <c r="W301" s="437"/>
      <c r="X301" s="33"/>
      <c r="Y301" s="33"/>
      <c r="Z301" s="33"/>
      <c r="AA301" s="33"/>
      <c r="AB301" s="438"/>
      <c r="AC301" s="33"/>
    </row>
    <row r="302" spans="1:29" x14ac:dyDescent="0.3">
      <c r="A302" s="20"/>
      <c r="B302" s="20"/>
      <c r="C302" s="20">
        <v>1000000001</v>
      </c>
      <c r="D302" s="20"/>
      <c r="E302" s="21" t="s">
        <v>72</v>
      </c>
      <c r="F302" s="21"/>
      <c r="G302" s="431">
        <f>SUM(G300:G301)</f>
        <v>0</v>
      </c>
      <c r="H302" s="431"/>
      <c r="I302" s="431"/>
      <c r="J302" s="431"/>
      <c r="K302" s="431"/>
      <c r="L302" s="431"/>
      <c r="M302" s="431"/>
      <c r="N302" s="431"/>
      <c r="O302" s="431"/>
      <c r="P302" s="431"/>
      <c r="Q302" s="431"/>
      <c r="R302" s="440">
        <f>SUM(R300:R301)</f>
        <v>0</v>
      </c>
      <c r="S302" s="441" t="s">
        <v>70</v>
      </c>
      <c r="T302" s="440"/>
      <c r="U302" s="440"/>
      <c r="V302" s="442"/>
      <c r="W302" s="22"/>
      <c r="X302" s="22"/>
      <c r="Y302" s="432">
        <v>360000</v>
      </c>
      <c r="Z302" s="432"/>
      <c r="AA302" s="432"/>
      <c r="AB302" s="432"/>
      <c r="AC302" s="432"/>
    </row>
    <row r="303" spans="1:29" x14ac:dyDescent="0.3">
      <c r="A303" s="146"/>
      <c r="B303" s="146"/>
      <c r="C303" s="23"/>
      <c r="D303" s="14"/>
      <c r="E303" s="35"/>
      <c r="F303" s="25"/>
      <c r="G303" s="433"/>
      <c r="H303" s="433"/>
      <c r="I303" s="433"/>
      <c r="J303" s="26"/>
      <c r="K303" s="27"/>
      <c r="L303" s="27"/>
      <c r="M303" s="434"/>
      <c r="N303" s="434"/>
      <c r="O303" s="434"/>
      <c r="P303" s="69"/>
      <c r="Q303" s="69"/>
      <c r="R303" s="69"/>
      <c r="S303" s="435"/>
      <c r="T303" s="435"/>
      <c r="U303" s="435"/>
      <c r="V303" s="436"/>
      <c r="W303" s="437"/>
      <c r="X303" s="33"/>
      <c r="Y303" s="33"/>
      <c r="Z303" s="33"/>
      <c r="AA303" s="33"/>
      <c r="AB303" s="438"/>
      <c r="AC303" s="33"/>
    </row>
    <row r="304" spans="1:29" x14ac:dyDescent="0.3">
      <c r="A304" s="439">
        <v>44076.058333333334</v>
      </c>
      <c r="B304" s="439">
        <v>44091.4</v>
      </c>
      <c r="C304" s="23"/>
      <c r="D304" s="14"/>
      <c r="E304" s="35" t="s">
        <v>565</v>
      </c>
      <c r="F304" s="36" t="s">
        <v>91</v>
      </c>
      <c r="G304" s="433">
        <v>27549</v>
      </c>
      <c r="H304" s="433"/>
      <c r="I304" s="433">
        <v>163500</v>
      </c>
      <c r="J304" s="26">
        <f>G304-I304</f>
        <v>-135951</v>
      </c>
      <c r="K304" s="27">
        <f>'[110]WEST TRADER'!$J$281</f>
        <v>4.9749999999985448</v>
      </c>
      <c r="L304" s="27">
        <f>'[110]WEST TRADER'!$J$282</f>
        <v>1.4791666666460515</v>
      </c>
      <c r="M304" s="434">
        <f t="shared" ref="M304" si="73">(G304)/K304</f>
        <v>5537.4874371875494</v>
      </c>
      <c r="N304" s="434">
        <f t="shared" ref="N304" si="74">G304/L304</f>
        <v>18624.6760565976</v>
      </c>
      <c r="O304" s="434">
        <v>25000</v>
      </c>
      <c r="P304" s="630">
        <f>(116990/10000)*8.7</f>
        <v>101.78129999999999</v>
      </c>
      <c r="Q304" s="630">
        <f>(96910/10000)*8.7</f>
        <v>84.311700000000002</v>
      </c>
      <c r="R304" s="630">
        <f>P304-Q304</f>
        <v>17.469599999999986</v>
      </c>
      <c r="S304" s="631">
        <f>R304/8.7*10000/(G304)</f>
        <v>0.7288830810555732</v>
      </c>
      <c r="T304" s="631">
        <f>R304/8.5*10000/(G304)</f>
        <v>0.74603327119805729</v>
      </c>
      <c r="U304" s="435" t="e">
        <f>S304/8.5*10000/(H304)</f>
        <v>#DIV/0!</v>
      </c>
      <c r="V304" s="436"/>
      <c r="W304" s="32"/>
      <c r="X304" s="33"/>
      <c r="Y304" s="33"/>
      <c r="Z304" s="33"/>
      <c r="AA304" s="33"/>
      <c r="AB304" s="438"/>
      <c r="AC304" s="33"/>
    </row>
    <row r="305" spans="1:29" x14ac:dyDescent="0.3">
      <c r="A305" s="439"/>
      <c r="B305" s="439"/>
      <c r="C305" s="23"/>
      <c r="D305" s="23"/>
      <c r="E305" s="35"/>
      <c r="F305" s="25"/>
      <c r="G305" s="433"/>
      <c r="H305" s="433"/>
      <c r="I305" s="433"/>
      <c r="J305" s="26"/>
      <c r="K305" s="27"/>
      <c r="L305" s="27"/>
      <c r="M305" s="434"/>
      <c r="N305" s="434"/>
      <c r="O305" s="434"/>
      <c r="P305" s="69"/>
      <c r="Q305" s="69"/>
      <c r="R305" s="69"/>
      <c r="S305" s="435"/>
      <c r="T305" s="435"/>
      <c r="U305" s="435"/>
      <c r="V305" s="436"/>
      <c r="W305" s="437"/>
      <c r="X305" s="33"/>
      <c r="Y305" s="33"/>
      <c r="Z305" s="33"/>
      <c r="AA305" s="33"/>
      <c r="AB305" s="438"/>
      <c r="AC305" s="33"/>
    </row>
    <row r="306" spans="1:29" x14ac:dyDescent="0.3">
      <c r="A306" s="20"/>
      <c r="B306" s="20"/>
      <c r="C306" s="20">
        <v>1000000001</v>
      </c>
      <c r="D306" s="20"/>
      <c r="E306" s="21" t="s">
        <v>78</v>
      </c>
      <c r="F306" s="21"/>
      <c r="G306" s="431">
        <f>SUM(G303:G305)</f>
        <v>27549</v>
      </c>
      <c r="H306" s="431"/>
      <c r="I306" s="431"/>
      <c r="J306" s="431"/>
      <c r="K306" s="431"/>
      <c r="L306" s="431"/>
      <c r="M306" s="431"/>
      <c r="N306" s="431">
        <f>AVERAGE(N302:N304)</f>
        <v>18624.6760565976</v>
      </c>
      <c r="O306" s="431"/>
      <c r="P306" s="431"/>
      <c r="Q306" s="431"/>
      <c r="R306" s="440">
        <f>SUM(R303:R305)</f>
        <v>17.469599999999986</v>
      </c>
      <c r="S306" s="441">
        <f>R306/8.7*10000/G306</f>
        <v>0.7288830810555732</v>
      </c>
      <c r="T306" s="440"/>
      <c r="U306" s="440"/>
      <c r="V306" s="442"/>
      <c r="W306" s="22"/>
      <c r="X306" s="22"/>
      <c r="Y306" s="432">
        <v>360000</v>
      </c>
      <c r="Z306" s="432"/>
      <c r="AA306" s="432"/>
      <c r="AB306" s="432"/>
      <c r="AC306" s="432"/>
    </row>
    <row r="307" spans="1:29" x14ac:dyDescent="0.3">
      <c r="A307" s="146"/>
      <c r="B307" s="146"/>
      <c r="C307" s="23"/>
      <c r="D307" s="14"/>
      <c r="E307" s="35"/>
      <c r="F307" s="25"/>
      <c r="G307" s="433"/>
      <c r="H307" s="433"/>
      <c r="I307" s="433"/>
      <c r="J307" s="26"/>
      <c r="K307" s="27"/>
      <c r="L307" s="27"/>
      <c r="M307" s="434"/>
      <c r="N307" s="434"/>
      <c r="O307" s="434"/>
      <c r="P307" s="69"/>
      <c r="Q307" s="69"/>
      <c r="R307" s="69"/>
      <c r="S307" s="435"/>
      <c r="T307" s="435"/>
      <c r="U307" s="435"/>
      <c r="V307" s="436"/>
      <c r="W307" s="437"/>
      <c r="X307" s="33"/>
      <c r="Y307" s="33"/>
      <c r="Z307" s="33"/>
      <c r="AA307" s="33"/>
      <c r="AB307" s="438"/>
      <c r="AC307" s="33"/>
    </row>
    <row r="308" spans="1:29" x14ac:dyDescent="0.3">
      <c r="A308" s="439">
        <v>44116.925000000003</v>
      </c>
      <c r="B308" s="439">
        <v>44119.324999999997</v>
      </c>
      <c r="C308" s="23"/>
      <c r="D308" s="14"/>
      <c r="E308" s="35" t="s">
        <v>572</v>
      </c>
      <c r="F308" s="36" t="s">
        <v>91</v>
      </c>
      <c r="G308" s="433">
        <v>18808</v>
      </c>
      <c r="H308" s="433"/>
      <c r="I308" s="433">
        <v>198000</v>
      </c>
      <c r="J308" s="26">
        <f>G308-I308</f>
        <v>-179192</v>
      </c>
      <c r="K308" s="27">
        <f t="shared" ref="K308" si="75">B308-A308</f>
        <v>2.3999999999941792</v>
      </c>
      <c r="L308" s="27">
        <f>'[111]AZUL LIBERO'!$J$130</f>
        <v>0.47291666668752441</v>
      </c>
      <c r="M308" s="434">
        <f t="shared" ref="M308" si="76">(G308)/K308</f>
        <v>7836.6666666856727</v>
      </c>
      <c r="N308" s="434">
        <f t="shared" ref="N308" si="77">G308/L308</f>
        <v>39770.220262563133</v>
      </c>
      <c r="O308" s="434">
        <v>25000</v>
      </c>
      <c r="P308" s="69">
        <f>(64550/10000)*8.7</f>
        <v>56.158499999999997</v>
      </c>
      <c r="Q308" s="69">
        <f>(54230/10000)*8.7</f>
        <v>47.180099999999996</v>
      </c>
      <c r="R308" s="69">
        <f>P308-Q308</f>
        <v>8.9784000000000006</v>
      </c>
      <c r="S308" s="435">
        <f>R308/8.7*10000/(G308)</f>
        <v>0.54870267971076148</v>
      </c>
      <c r="T308" s="435">
        <f>R308/8.5*10000/(G308)</f>
        <v>0.56161333099807342</v>
      </c>
      <c r="U308" s="435" t="e">
        <f>S308/8.5*10000/(H308)</f>
        <v>#DIV/0!</v>
      </c>
      <c r="V308" s="436"/>
      <c r="W308" s="32"/>
      <c r="X308" s="33"/>
      <c r="Y308" s="33"/>
      <c r="Z308" s="33"/>
      <c r="AA308" s="33"/>
      <c r="AB308" s="438"/>
      <c r="AC308" s="33"/>
    </row>
    <row r="309" spans="1:29" x14ac:dyDescent="0.3">
      <c r="A309" s="439"/>
      <c r="B309" s="439"/>
      <c r="C309" s="23"/>
      <c r="D309" s="23"/>
      <c r="E309" s="35"/>
      <c r="F309" s="25"/>
      <c r="G309" s="433"/>
      <c r="H309" s="433"/>
      <c r="I309" s="433"/>
      <c r="J309" s="26"/>
      <c r="K309" s="27"/>
      <c r="L309" s="27"/>
      <c r="M309" s="434"/>
      <c r="N309" s="434"/>
      <c r="O309" s="434"/>
      <c r="P309" s="69"/>
      <c r="Q309" s="69"/>
      <c r="R309" s="69"/>
      <c r="S309" s="435"/>
      <c r="T309" s="435"/>
      <c r="U309" s="435"/>
      <c r="V309" s="436"/>
      <c r="W309" s="437"/>
      <c r="X309" s="33"/>
      <c r="Y309" s="33"/>
      <c r="Z309" s="33"/>
      <c r="AA309" s="33"/>
      <c r="AB309" s="438"/>
      <c r="AC309" s="33"/>
    </row>
    <row r="310" spans="1:29" x14ac:dyDescent="0.3">
      <c r="A310" s="20"/>
      <c r="B310" s="20"/>
      <c r="C310" s="20">
        <v>1000000001</v>
      </c>
      <c r="D310" s="20"/>
      <c r="E310" s="21" t="s">
        <v>84</v>
      </c>
      <c r="F310" s="21"/>
      <c r="G310" s="431">
        <f>SUM(G307:G309)</f>
        <v>18808</v>
      </c>
      <c r="H310" s="431"/>
      <c r="I310" s="431"/>
      <c r="J310" s="431"/>
      <c r="K310" s="431"/>
      <c r="L310" s="431"/>
      <c r="M310" s="431"/>
      <c r="N310" s="431">
        <f>AVERAGE(N308)</f>
        <v>39770.220262563133</v>
      </c>
      <c r="O310" s="431"/>
      <c r="P310" s="431"/>
      <c r="Q310" s="431"/>
      <c r="R310" s="440">
        <f>SUM(R307:R309)</f>
        <v>8.9784000000000006</v>
      </c>
      <c r="S310" s="441">
        <f>R310/8.7*10000/G310</f>
        <v>0.54870267971076148</v>
      </c>
      <c r="T310" s="440"/>
      <c r="U310" s="440"/>
      <c r="V310" s="442"/>
      <c r="W310" s="22"/>
      <c r="X310" s="22"/>
      <c r="Y310" s="432">
        <v>360000</v>
      </c>
      <c r="Z310" s="432"/>
      <c r="AA310" s="432"/>
      <c r="AB310" s="432"/>
      <c r="AC310" s="432"/>
    </row>
    <row r="311" spans="1:29" x14ac:dyDescent="0.3">
      <c r="A311" s="146"/>
      <c r="B311" s="146"/>
      <c r="C311" s="23"/>
      <c r="D311" s="14"/>
      <c r="E311" s="35"/>
      <c r="F311" s="25"/>
      <c r="G311" s="433"/>
      <c r="H311" s="433"/>
      <c r="I311" s="433"/>
      <c r="J311" s="26"/>
      <c r="K311" s="27"/>
      <c r="L311" s="27"/>
      <c r="M311" s="434"/>
      <c r="N311" s="434"/>
      <c r="O311" s="434"/>
      <c r="P311" s="69"/>
      <c r="Q311" s="69"/>
      <c r="R311" s="69"/>
      <c r="S311" s="435"/>
      <c r="T311" s="435"/>
      <c r="U311" s="435"/>
      <c r="V311" s="436"/>
      <c r="W311" s="437"/>
      <c r="X311" s="33"/>
      <c r="Y311" s="33"/>
      <c r="Z311" s="33"/>
      <c r="AA311" s="33"/>
      <c r="AB311" s="438"/>
      <c r="AC311" s="33"/>
    </row>
    <row r="312" spans="1:29" x14ac:dyDescent="0.3">
      <c r="A312" s="439">
        <v>44134.291666666664</v>
      </c>
      <c r="B312" s="439">
        <v>44143.916666666664</v>
      </c>
      <c r="C312" s="23"/>
      <c r="D312" s="14"/>
      <c r="E312" s="35" t="s">
        <v>573</v>
      </c>
      <c r="F312" s="36" t="s">
        <v>91</v>
      </c>
      <c r="G312" s="433">
        <v>74282</v>
      </c>
      <c r="H312" s="433"/>
      <c r="I312" s="433">
        <v>172050</v>
      </c>
      <c r="J312" s="26">
        <f>G312-I312</f>
        <v>-97768</v>
      </c>
      <c r="K312" s="27">
        <f t="shared" ref="K312:K314" si="78">B312-A312</f>
        <v>9.625</v>
      </c>
      <c r="L312" s="27">
        <f>'[112]CAPE TAWEELAH'!$J$341</f>
        <v>2.8289583333644259</v>
      </c>
      <c r="M312" s="434">
        <f t="shared" ref="M312:M314" si="79">(G312)/K312</f>
        <v>7717.6103896103896</v>
      </c>
      <c r="N312" s="434">
        <f t="shared" ref="N312:N314" si="80">G312/L312</f>
        <v>26257.721481411088</v>
      </c>
      <c r="O312" s="434">
        <v>25000</v>
      </c>
      <c r="P312" s="69">
        <f>(153220/10000)*8.7</f>
        <v>133.30139999999997</v>
      </c>
      <c r="Q312" s="69">
        <f>(123490/10000)*8.7</f>
        <v>107.43629999999999</v>
      </c>
      <c r="R312" s="69">
        <f>P312-Q312</f>
        <v>25.865099999999984</v>
      </c>
      <c r="S312" s="435">
        <f>R312/8.7*10000/(G312)</f>
        <v>0.40023155003904021</v>
      </c>
      <c r="T312" s="435">
        <f>R312/8.5*10000/(G312)</f>
        <v>0.40964876298113523</v>
      </c>
      <c r="U312" s="435" t="e">
        <f>S312/8.5*10000/(H312)</f>
        <v>#DIV/0!</v>
      </c>
      <c r="V312" s="436"/>
      <c r="W312" s="32"/>
      <c r="X312" s="33"/>
      <c r="Y312" s="33"/>
      <c r="Z312" s="33"/>
      <c r="AA312" s="33"/>
      <c r="AB312" s="438"/>
      <c r="AC312" s="33"/>
    </row>
    <row r="313" spans="1:29" x14ac:dyDescent="0.3">
      <c r="A313" s="439">
        <v>44144.637499999997</v>
      </c>
      <c r="B313" s="439">
        <v>44153.866666666669</v>
      </c>
      <c r="C313" s="23"/>
      <c r="D313" s="14"/>
      <c r="E313" s="35" t="s">
        <v>574</v>
      </c>
      <c r="F313" s="36" t="s">
        <v>91</v>
      </c>
      <c r="G313" s="433">
        <v>121808</v>
      </c>
      <c r="H313" s="433"/>
      <c r="I313" s="433">
        <v>175772</v>
      </c>
      <c r="J313" s="26">
        <f>G313-I313</f>
        <v>-53964</v>
      </c>
      <c r="K313" s="27">
        <f t="shared" si="78"/>
        <v>9.2291666666715173</v>
      </c>
      <c r="L313" s="27">
        <f>'[112]CHENG MAY'!$J$435</f>
        <v>4.0201620370607998</v>
      </c>
      <c r="M313" s="434">
        <f t="shared" si="79"/>
        <v>13198.158013537082</v>
      </c>
      <c r="N313" s="434">
        <f t="shared" si="80"/>
        <v>30299.276217496856</v>
      </c>
      <c r="O313" s="434">
        <v>25000</v>
      </c>
      <c r="P313" s="69">
        <f>(122280/10000)*8.7</f>
        <v>106.38359999999999</v>
      </c>
      <c r="Q313" s="69">
        <f>(86250/10000)*8.7</f>
        <v>75.037499999999994</v>
      </c>
      <c r="R313" s="69">
        <f>P313-Q313</f>
        <v>31.346099999999993</v>
      </c>
      <c r="S313" s="435">
        <f>R313/8.7*10000/(G313)</f>
        <v>0.29579337974517267</v>
      </c>
      <c r="T313" s="435">
        <f>R313/8.5*10000/(G313)</f>
        <v>0.3027532239744708</v>
      </c>
      <c r="U313" s="435"/>
      <c r="V313" s="31"/>
      <c r="W313" s="32"/>
      <c r="X313" s="33"/>
      <c r="Y313" s="33"/>
      <c r="Z313" s="33"/>
      <c r="AA313" s="33"/>
      <c r="AB313" s="438"/>
      <c r="AC313" s="33"/>
    </row>
    <row r="314" spans="1:29" x14ac:dyDescent="0.3">
      <c r="A314" s="439">
        <v>44156.820833333331</v>
      </c>
      <c r="B314" s="439">
        <v>44164.458333333336</v>
      </c>
      <c r="C314" s="23"/>
      <c r="D314" s="23"/>
      <c r="E314" s="35" t="s">
        <v>575</v>
      </c>
      <c r="F314" s="25" t="s">
        <v>91</v>
      </c>
      <c r="G314" s="433">
        <v>91954</v>
      </c>
      <c r="H314" s="433"/>
      <c r="I314" s="433">
        <v>168154</v>
      </c>
      <c r="J314" s="26">
        <f>G314-I314</f>
        <v>-76200</v>
      </c>
      <c r="K314" s="27">
        <f t="shared" si="78"/>
        <v>7.6375000000043656</v>
      </c>
      <c r="L314" s="27">
        <f>'[112]ATHENIAN PHONIX'!$J$253</f>
        <v>2.7541666666402307</v>
      </c>
      <c r="M314" s="434">
        <f t="shared" si="79"/>
        <v>12039.803600647783</v>
      </c>
      <c r="N314" s="434">
        <f t="shared" si="80"/>
        <v>33387.231467793994</v>
      </c>
      <c r="O314" s="434">
        <v>25000</v>
      </c>
      <c r="P314" s="69">
        <f>(81850/10000)*8.7</f>
        <v>71.209500000000006</v>
      </c>
      <c r="Q314" s="69">
        <f>(57010/10000)*8.7</f>
        <v>49.598699999999994</v>
      </c>
      <c r="R314" s="69">
        <f>P314-Q314</f>
        <v>21.610800000000012</v>
      </c>
      <c r="S314" s="435">
        <f>R314/8.7*10000/(G314)</f>
        <v>0.27013506753376709</v>
      </c>
      <c r="T314" s="435">
        <f>R314/8.5*10000/(G314)</f>
        <v>0.27649118676985562</v>
      </c>
      <c r="U314" s="69">
        <f>S314-T314</f>
        <v>-6.356119236088531E-3</v>
      </c>
      <c r="V314" s="436"/>
      <c r="W314" s="437"/>
      <c r="X314" s="33"/>
      <c r="Y314" s="33"/>
      <c r="Z314" s="33"/>
      <c r="AA314" s="33"/>
      <c r="AB314" s="438"/>
      <c r="AC314" s="33"/>
    </row>
    <row r="315" spans="1:29" x14ac:dyDescent="0.3">
      <c r="A315" s="439"/>
      <c r="B315" s="439"/>
      <c r="C315" s="23"/>
      <c r="D315" s="23"/>
      <c r="E315" s="35"/>
      <c r="F315" s="25"/>
      <c r="G315" s="433"/>
      <c r="H315" s="433"/>
      <c r="I315" s="433"/>
      <c r="J315" s="26"/>
      <c r="K315" s="27"/>
      <c r="L315" s="27"/>
      <c r="M315" s="434"/>
      <c r="N315" s="434"/>
      <c r="O315" s="434"/>
      <c r="P315" s="69"/>
      <c r="Q315" s="69"/>
      <c r="R315" s="69"/>
      <c r="S315" s="435"/>
      <c r="T315" s="435"/>
      <c r="U315" s="435"/>
      <c r="V315" s="436"/>
      <c r="W315" s="437"/>
      <c r="X315" s="33"/>
      <c r="Y315" s="33"/>
      <c r="Z315" s="33"/>
      <c r="AA315" s="33"/>
      <c r="AB315" s="438"/>
      <c r="AC315" s="33"/>
    </row>
    <row r="316" spans="1:29" x14ac:dyDescent="0.3">
      <c r="A316" s="20"/>
      <c r="B316" s="20"/>
      <c r="C316" s="20">
        <v>1000000001</v>
      </c>
      <c r="D316" s="20"/>
      <c r="E316" s="21" t="s">
        <v>89</v>
      </c>
      <c r="F316" s="21"/>
      <c r="G316" s="431">
        <f>SUM(G311:G315)</f>
        <v>288044</v>
      </c>
      <c r="H316" s="431"/>
      <c r="I316" s="431"/>
      <c r="J316" s="431"/>
      <c r="K316" s="431"/>
      <c r="L316" s="431"/>
      <c r="M316" s="431"/>
      <c r="N316" s="431">
        <f>AVERAGE(N312:N314)</f>
        <v>29981.409722233977</v>
      </c>
      <c r="O316" s="431"/>
      <c r="P316" s="431"/>
      <c r="Q316" s="431"/>
      <c r="R316" s="440">
        <f>SUM(R311:R315)</f>
        <v>78.821999999999989</v>
      </c>
      <c r="S316" s="441">
        <f>R316/8.7*10000/G316</f>
        <v>0.31453527933232417</v>
      </c>
      <c r="T316" s="440"/>
      <c r="U316" s="440"/>
      <c r="V316" s="442"/>
      <c r="W316" s="22"/>
      <c r="X316" s="22"/>
      <c r="Y316" s="432">
        <v>360000</v>
      </c>
      <c r="Z316" s="432"/>
      <c r="AA316" s="432"/>
      <c r="AB316" s="432"/>
      <c r="AC316" s="432"/>
    </row>
    <row r="317" spans="1:29" x14ac:dyDescent="0.3">
      <c r="A317" s="146"/>
      <c r="B317" s="146"/>
      <c r="C317" s="23"/>
      <c r="D317" s="14"/>
      <c r="E317" s="35"/>
      <c r="F317" s="25"/>
      <c r="G317" s="433"/>
      <c r="H317" s="433"/>
      <c r="I317" s="433"/>
      <c r="J317" s="26"/>
      <c r="K317" s="27"/>
      <c r="L317" s="27"/>
      <c r="M317" s="434"/>
      <c r="N317" s="434"/>
      <c r="O317" s="434"/>
      <c r="P317" s="69"/>
      <c r="Q317" s="69"/>
      <c r="R317" s="69"/>
      <c r="S317" s="435"/>
      <c r="T317" s="435"/>
      <c r="U317" s="435"/>
      <c r="V317" s="436"/>
      <c r="W317" s="437"/>
      <c r="X317" s="33"/>
      <c r="Y317" s="33"/>
      <c r="Z317" s="33"/>
      <c r="AA317" s="33"/>
      <c r="AB317" s="438"/>
      <c r="AC317" s="33"/>
    </row>
    <row r="318" spans="1:29" x14ac:dyDescent="0.3">
      <c r="A318" s="439">
        <v>44169.54583333333</v>
      </c>
      <c r="B318" s="439">
        <v>44175.133333333331</v>
      </c>
      <c r="C318" s="23"/>
      <c r="D318" s="14"/>
      <c r="E318" s="35" t="s">
        <v>576</v>
      </c>
      <c r="F318" s="25" t="s">
        <v>91</v>
      </c>
      <c r="G318" s="433">
        <v>116835</v>
      </c>
      <c r="H318" s="433"/>
      <c r="I318" s="433">
        <v>178000</v>
      </c>
      <c r="J318" s="26">
        <f>G318-I318</f>
        <v>-61165</v>
      </c>
      <c r="K318" s="27">
        <f t="shared" ref="K318:K320" si="81">B318-A318</f>
        <v>5.5875000000014552</v>
      </c>
      <c r="L318" s="27">
        <f>'[113]SEATTLE SLEW'!$J$218</f>
        <v>3.7659722222597338</v>
      </c>
      <c r="M318" s="434">
        <f t="shared" ref="M318:M320" si="82">(G318)/K318</f>
        <v>20910.067114088513</v>
      </c>
      <c r="N318" s="434">
        <f t="shared" ref="N318:N320" si="83">G318/L318</f>
        <v>31023.861331057386</v>
      </c>
      <c r="O318" s="434">
        <v>25000</v>
      </c>
      <c r="P318" s="69">
        <f>(165860/10000)*8.7</f>
        <v>144.29819999999998</v>
      </c>
      <c r="Q318" s="69">
        <f>(140930/10000)*8.7</f>
        <v>122.60909999999998</v>
      </c>
      <c r="R318" s="69">
        <f>P318-Q318</f>
        <v>21.689099999999996</v>
      </c>
      <c r="S318" s="435">
        <f>R318/8.7*10000/(G318)</f>
        <v>0.21337784054435743</v>
      </c>
      <c r="T318" s="435">
        <f>R318/8.5*10000/(G318)</f>
        <v>0.21839849561598934</v>
      </c>
      <c r="U318" s="435" t="e">
        <f>S318/8.5*10000/(H318)</f>
        <v>#DIV/0!</v>
      </c>
      <c r="V318" s="436"/>
      <c r="W318" s="32"/>
      <c r="X318" s="33"/>
      <c r="Y318" s="33"/>
      <c r="Z318" s="33"/>
      <c r="AA318" s="33"/>
      <c r="AB318" s="438"/>
      <c r="AC318" s="33"/>
    </row>
    <row r="319" spans="1:29" x14ac:dyDescent="0.3">
      <c r="A319" s="439">
        <v>44175.845833333333</v>
      </c>
      <c r="B319" s="439">
        <v>44181.974999999999</v>
      </c>
      <c r="C319" s="23"/>
      <c r="D319" s="14"/>
      <c r="E319" s="35" t="s">
        <v>577</v>
      </c>
      <c r="F319" s="36" t="s">
        <v>91</v>
      </c>
      <c r="G319" s="433">
        <v>121092</v>
      </c>
      <c r="H319" s="433"/>
      <c r="I319" s="433">
        <v>177730</v>
      </c>
      <c r="J319" s="26">
        <f>G319-I319</f>
        <v>-56638</v>
      </c>
      <c r="K319" s="27">
        <f t="shared" si="81"/>
        <v>6.1291666666656965</v>
      </c>
      <c r="L319" s="27">
        <f>'[113]AQUA BONANZA'!$J$159</f>
        <v>3.9541666666445963</v>
      </c>
      <c r="M319" s="434">
        <f t="shared" si="82"/>
        <v>19756.682528895039</v>
      </c>
      <c r="N319" s="434">
        <f t="shared" si="83"/>
        <v>30623.898841056071</v>
      </c>
      <c r="O319" s="434">
        <v>25000</v>
      </c>
      <c r="P319" s="69">
        <f>(140210/10000)*8.7</f>
        <v>121.98269999999999</v>
      </c>
      <c r="Q319" s="69">
        <f>(115630/10000)*8.7</f>
        <v>100.5981</v>
      </c>
      <c r="R319" s="69">
        <f>P319-Q319</f>
        <v>21.384599999999992</v>
      </c>
      <c r="S319" s="435">
        <f>R319/8.7*10000/(G319)</f>
        <v>0.20298615928385025</v>
      </c>
      <c r="T319" s="435">
        <f>R319/8.5*10000/(G319)</f>
        <v>0.2077623042081761</v>
      </c>
      <c r="U319" s="435"/>
      <c r="V319" s="31"/>
      <c r="W319" s="32"/>
      <c r="X319" s="33"/>
      <c r="Y319" s="33"/>
      <c r="Z319" s="33"/>
      <c r="AA319" s="33"/>
      <c r="AB319" s="438"/>
      <c r="AC319" s="33"/>
    </row>
    <row r="320" spans="1:29" x14ac:dyDescent="0.3">
      <c r="A320" s="439">
        <v>44182.324999999997</v>
      </c>
      <c r="B320" s="439">
        <v>44188.441666666666</v>
      </c>
      <c r="C320" s="23"/>
      <c r="D320" s="23"/>
      <c r="E320" s="35" t="s">
        <v>578</v>
      </c>
      <c r="F320" s="25" t="s">
        <v>91</v>
      </c>
      <c r="G320" s="433">
        <v>90906</v>
      </c>
      <c r="H320" s="433"/>
      <c r="I320" s="433">
        <v>172030</v>
      </c>
      <c r="J320" s="26">
        <f>G320-I320</f>
        <v>-81124</v>
      </c>
      <c r="K320" s="27">
        <f t="shared" si="81"/>
        <v>6.1166666666686069</v>
      </c>
      <c r="L320" s="27">
        <f>'[114]CAPE GENESIS'!$J$117</f>
        <v>2.8222222222211713</v>
      </c>
      <c r="M320" s="434">
        <f t="shared" si="82"/>
        <v>14862.016348769128</v>
      </c>
      <c r="N320" s="434">
        <f t="shared" si="83"/>
        <v>32210.787401586796</v>
      </c>
      <c r="O320" s="434">
        <v>25000</v>
      </c>
      <c r="P320" s="69">
        <f>(114300/10000)*8.7</f>
        <v>99.440999999999988</v>
      </c>
      <c r="Q320" s="69">
        <f>(94790/10000)*8.7</f>
        <v>82.46729999999998</v>
      </c>
      <c r="R320" s="69">
        <f>P320-Q320</f>
        <v>16.973700000000008</v>
      </c>
      <c r="S320" s="435">
        <f>R320/8.7*10000/(G320)</f>
        <v>0.21461729698809773</v>
      </c>
      <c r="T320" s="435">
        <f>R320/8.5*10000/(G320)</f>
        <v>0.21966711574075884</v>
      </c>
      <c r="U320" s="69">
        <f>S320-T320</f>
        <v>-5.0498187526611116E-3</v>
      </c>
      <c r="V320" s="436"/>
      <c r="W320" s="437"/>
      <c r="X320" s="33"/>
      <c r="Y320" s="33"/>
      <c r="Z320" s="33"/>
      <c r="AA320" s="33"/>
      <c r="AB320" s="438"/>
      <c r="AC320" s="33"/>
    </row>
    <row r="321" spans="1:29" x14ac:dyDescent="0.3">
      <c r="A321" s="439"/>
      <c r="B321" s="439"/>
      <c r="C321" s="23"/>
      <c r="D321" s="23"/>
      <c r="E321" s="35"/>
      <c r="F321" s="25"/>
      <c r="G321" s="433"/>
      <c r="H321" s="433"/>
      <c r="I321" s="433"/>
      <c r="J321" s="26"/>
      <c r="K321" s="27"/>
      <c r="L321" s="27"/>
      <c r="M321" s="434"/>
      <c r="N321" s="434"/>
      <c r="O321" s="434"/>
      <c r="P321" s="69"/>
      <c r="Q321" s="69"/>
      <c r="R321" s="69"/>
      <c r="S321" s="435"/>
      <c r="T321" s="435"/>
      <c r="U321" s="435"/>
      <c r="V321" s="436"/>
      <c r="W321" s="437"/>
      <c r="X321" s="33"/>
      <c r="Y321" s="33"/>
      <c r="Z321" s="33"/>
      <c r="AA321" s="33"/>
      <c r="AB321" s="438"/>
      <c r="AC321" s="33"/>
    </row>
    <row r="322" spans="1:29" x14ac:dyDescent="0.3">
      <c r="A322" s="20"/>
      <c r="B322" s="20"/>
      <c r="C322" s="20">
        <v>1000000001</v>
      </c>
      <c r="D322" s="20"/>
      <c r="E322" s="21" t="s">
        <v>95</v>
      </c>
      <c r="F322" s="21"/>
      <c r="G322" s="431">
        <f>SUM(G317:G321)</f>
        <v>328833</v>
      </c>
      <c r="H322" s="431"/>
      <c r="I322" s="431"/>
      <c r="J322" s="431"/>
      <c r="K322" s="431"/>
      <c r="L322" s="431"/>
      <c r="M322" s="431"/>
      <c r="N322" s="431">
        <f>AVERAGE(N318:N320)</f>
        <v>31286.182524566753</v>
      </c>
      <c r="O322" s="431"/>
      <c r="P322" s="431"/>
      <c r="Q322" s="431"/>
      <c r="R322" s="440">
        <f>SUM(R317:R321)</f>
        <v>60.047399999999996</v>
      </c>
      <c r="S322" s="441">
        <f>R322/8.7*10000/G322</f>
        <v>0.20989377586799379</v>
      </c>
      <c r="T322" s="440"/>
      <c r="U322" s="440"/>
      <c r="V322" s="442"/>
      <c r="W322" s="22"/>
      <c r="X322" s="22"/>
      <c r="Y322" s="432">
        <v>360000</v>
      </c>
      <c r="Z322" s="432"/>
      <c r="AA322" s="432"/>
      <c r="AB322" s="432"/>
      <c r="AC322" s="432"/>
    </row>
    <row r="325" spans="1:29" x14ac:dyDescent="0.3">
      <c r="A325" s="90" t="s">
        <v>98</v>
      </c>
    </row>
    <row r="326" spans="1:29" ht="41.4" x14ac:dyDescent="0.3">
      <c r="A326" s="4" t="s">
        <v>0</v>
      </c>
      <c r="B326" s="4" t="s">
        <v>1</v>
      </c>
      <c r="C326" s="4" t="s">
        <v>2</v>
      </c>
      <c r="D326" s="4" t="s">
        <v>3</v>
      </c>
      <c r="E326" s="5" t="s">
        <v>4</v>
      </c>
      <c r="F326" s="5" t="s">
        <v>5</v>
      </c>
      <c r="G326" s="426" t="s">
        <v>6</v>
      </c>
      <c r="H326" s="426" t="s">
        <v>7</v>
      </c>
      <c r="I326" s="426" t="s">
        <v>8</v>
      </c>
      <c r="J326" s="426" t="s">
        <v>9</v>
      </c>
      <c r="K326" s="426" t="s">
        <v>10</v>
      </c>
      <c r="L326" s="426" t="s">
        <v>11</v>
      </c>
      <c r="M326" s="426" t="s">
        <v>12</v>
      </c>
      <c r="N326" s="426" t="s">
        <v>13</v>
      </c>
      <c r="O326" s="426" t="s">
        <v>14</v>
      </c>
      <c r="P326" s="426" t="s">
        <v>15</v>
      </c>
      <c r="Q326" s="426" t="s">
        <v>16</v>
      </c>
      <c r="R326" s="466" t="s">
        <v>17</v>
      </c>
      <c r="S326" s="426" t="s">
        <v>18</v>
      </c>
      <c r="T326" s="426" t="s">
        <v>19</v>
      </c>
      <c r="U326" s="426" t="s">
        <v>20</v>
      </c>
      <c r="V326" s="426" t="s">
        <v>21</v>
      </c>
      <c r="W326" s="427" t="s">
        <v>22</v>
      </c>
      <c r="X326" s="427" t="s">
        <v>23</v>
      </c>
      <c r="Y326" s="428" t="s">
        <v>24</v>
      </c>
      <c r="Z326" s="428" t="s">
        <v>26</v>
      </c>
      <c r="AA326" s="429" t="s">
        <v>27</v>
      </c>
      <c r="AB326" s="430" t="s">
        <v>28</v>
      </c>
    </row>
    <row r="327" spans="1:29" x14ac:dyDescent="0.3">
      <c r="A327" s="146"/>
      <c r="B327" s="146"/>
      <c r="C327" s="23"/>
      <c r="D327" s="14"/>
      <c r="E327" s="35"/>
      <c r="F327" s="25"/>
      <c r="G327" s="433"/>
      <c r="H327" s="433"/>
      <c r="I327" s="433"/>
      <c r="J327" s="26"/>
      <c r="K327" s="27"/>
      <c r="L327" s="27"/>
      <c r="M327" s="434"/>
      <c r="N327" s="434"/>
      <c r="O327" s="434"/>
      <c r="P327" s="69"/>
      <c r="Q327" s="69"/>
      <c r="R327" s="69"/>
      <c r="S327" s="435"/>
      <c r="T327" s="435"/>
      <c r="U327" s="435"/>
      <c r="V327" s="436"/>
      <c r="W327" s="437"/>
      <c r="X327" s="33"/>
      <c r="Y327" s="33"/>
      <c r="Z327" s="33"/>
      <c r="AA327" s="33"/>
      <c r="AB327" s="438"/>
    </row>
    <row r="328" spans="1:29" x14ac:dyDescent="0.3">
      <c r="A328" s="146">
        <v>44192.458333333336</v>
      </c>
      <c r="B328" s="146">
        <v>44198.629166666666</v>
      </c>
      <c r="C328" s="23"/>
      <c r="D328" s="14"/>
      <c r="E328" s="35" t="s">
        <v>810</v>
      </c>
      <c r="F328" s="36" t="s">
        <v>91</v>
      </c>
      <c r="G328" s="433">
        <v>108954</v>
      </c>
      <c r="H328" s="433"/>
      <c r="I328" s="433">
        <v>198527</v>
      </c>
      <c r="J328" s="467">
        <f>G328-I328</f>
        <v>-89573</v>
      </c>
      <c r="K328" s="27">
        <f>B328-A328</f>
        <v>6.1708333333299379</v>
      </c>
      <c r="L328" s="27">
        <f>'[115]QI MING STAR'!$J$129</f>
        <v>3.0208333333357587</v>
      </c>
      <c r="M328" s="434">
        <f>(G328)/K328</f>
        <v>17656.286293054956</v>
      </c>
      <c r="N328" s="434">
        <f>G328/L328</f>
        <v>36067.531034453801</v>
      </c>
      <c r="O328" s="434">
        <v>25000</v>
      </c>
      <c r="P328" s="69">
        <f>(89250/10000)*8.7</f>
        <v>77.647499999999994</v>
      </c>
      <c r="Q328" s="69">
        <f>(67570/10000)*8.7</f>
        <v>58.785899999999991</v>
      </c>
      <c r="R328" s="69">
        <f>P328-Q328</f>
        <v>18.861600000000003</v>
      </c>
      <c r="S328" s="435">
        <f>R328/8.7*10000/(G328)</f>
        <v>0.1989830570699562</v>
      </c>
      <c r="T328" s="435">
        <f>R328/8.5*10000/(G328)</f>
        <v>0.20366501135395512</v>
      </c>
      <c r="U328" s="435"/>
      <c r="V328" s="436"/>
      <c r="W328" s="32"/>
      <c r="X328" s="33"/>
      <c r="Y328" s="33"/>
      <c r="Z328" s="33"/>
      <c r="AA328" s="33"/>
      <c r="AB328" s="438"/>
    </row>
    <row r="329" spans="1:29" x14ac:dyDescent="0.3">
      <c r="A329" s="146">
        <v>44205.645833333336</v>
      </c>
      <c r="B329" s="146">
        <v>44210.008333333331</v>
      </c>
      <c r="C329" s="23"/>
      <c r="D329" s="14"/>
      <c r="E329" s="35" t="s">
        <v>811</v>
      </c>
      <c r="F329" s="36" t="s">
        <v>91</v>
      </c>
      <c r="G329" s="433">
        <v>109132</v>
      </c>
      <c r="H329" s="433"/>
      <c r="I329" s="433">
        <v>198000</v>
      </c>
      <c r="J329" s="467">
        <f>G329-I329</f>
        <v>-88868</v>
      </c>
      <c r="K329" s="27">
        <f>B329-A329</f>
        <v>4.3624999999956344</v>
      </c>
      <c r="L329" s="27">
        <f>'[115]CL PEARL RIVER'!$J$116</f>
        <v>3.1979166666678793</v>
      </c>
      <c r="M329" s="434">
        <f>(G329)/K329</f>
        <v>25015.931232116724</v>
      </c>
      <c r="N329" s="434">
        <f>G329/L329</f>
        <v>34125.967426697156</v>
      </c>
      <c r="O329" s="434">
        <v>25000</v>
      </c>
      <c r="P329" s="69">
        <f>(97450/10000)*8.7</f>
        <v>84.78149999999998</v>
      </c>
      <c r="Q329" s="69">
        <f>(79750/10000)*8.7</f>
        <v>69.382499999999993</v>
      </c>
      <c r="R329" s="69">
        <f>P329-Q329</f>
        <v>15.398999999999987</v>
      </c>
      <c r="S329" s="435">
        <f>R329/8.7*10000/(G329)</f>
        <v>0.16218890884433518</v>
      </c>
      <c r="T329" s="435">
        <f>R329/8.5*10000/(G329)</f>
        <v>0.16600511846420188</v>
      </c>
      <c r="U329" s="435"/>
      <c r="V329" s="31"/>
      <c r="W329" s="32"/>
      <c r="X329" s="33"/>
      <c r="Y329" s="33"/>
      <c r="Z329" s="33"/>
      <c r="AA329" s="33"/>
      <c r="AB329" s="438"/>
    </row>
    <row r="330" spans="1:29" x14ac:dyDescent="0.3">
      <c r="A330" s="146">
        <v>44210.520833333336</v>
      </c>
      <c r="B330" s="146">
        <v>44214.474999999999</v>
      </c>
      <c r="C330" s="23"/>
      <c r="D330" s="14"/>
      <c r="E330" s="35" t="s">
        <v>565</v>
      </c>
      <c r="F330" s="36" t="s">
        <v>91</v>
      </c>
      <c r="G330" s="433">
        <v>93449</v>
      </c>
      <c r="H330" s="433"/>
      <c r="I330" s="433">
        <v>172900</v>
      </c>
      <c r="J330" s="467">
        <f>G330-I330</f>
        <v>-79451</v>
      </c>
      <c r="K330" s="27">
        <f>B330-A330</f>
        <v>3.9541666666627862</v>
      </c>
      <c r="L330" s="27">
        <f>'[115]WEST TRADER'!$J$89</f>
        <v>2.937499999992724</v>
      </c>
      <c r="M330" s="434">
        <f>(G330)/K330</f>
        <v>23633.045310876721</v>
      </c>
      <c r="N330" s="434">
        <f>G330/L330</f>
        <v>31812.425531993689</v>
      </c>
      <c r="O330" s="434">
        <v>25000</v>
      </c>
      <c r="P330" s="69">
        <f>(79150/10000)*8.7</f>
        <v>68.860499999999988</v>
      </c>
      <c r="Q330" s="69">
        <f>(62780/10000)*8.7</f>
        <v>54.618599999999994</v>
      </c>
      <c r="R330" s="69">
        <f>P330-Q330</f>
        <v>14.241899999999994</v>
      </c>
      <c r="S330" s="435">
        <f>R330/8.7*10000/(G330)</f>
        <v>0.17517576432064541</v>
      </c>
      <c r="T330" s="435">
        <f>R330/8.5*10000/(G330)</f>
        <v>0.17929754701054298</v>
      </c>
      <c r="U330" s="435"/>
      <c r="V330" s="31"/>
      <c r="W330" s="32"/>
      <c r="X330" s="33"/>
      <c r="Y330" s="33"/>
      <c r="Z330" s="33"/>
      <c r="AA330" s="33"/>
      <c r="AB330" s="438"/>
    </row>
    <row r="331" spans="1:29" x14ac:dyDescent="0.3">
      <c r="A331" s="146">
        <v>44214.862500000003</v>
      </c>
      <c r="B331" s="146">
        <v>44220.362500000003</v>
      </c>
      <c r="C331" s="23"/>
      <c r="D331" s="14"/>
      <c r="E331" s="35" t="s">
        <v>812</v>
      </c>
      <c r="F331" s="36" t="s">
        <v>91</v>
      </c>
      <c r="G331" s="433">
        <v>123971</v>
      </c>
      <c r="H331" s="433"/>
      <c r="I331" s="433">
        <v>172900</v>
      </c>
      <c r="J331" s="467">
        <f>G331-I331</f>
        <v>-48929</v>
      </c>
      <c r="K331" s="27">
        <f>B331-A331</f>
        <v>5.5</v>
      </c>
      <c r="L331" s="27">
        <f>'[115]WEN CHANG STAR'!$J$125</f>
        <v>3.856249999987388</v>
      </c>
      <c r="M331" s="434">
        <f>(G331)/K331</f>
        <v>22540.18181818182</v>
      </c>
      <c r="N331" s="434">
        <f>G331/L331</f>
        <v>32148.071312909029</v>
      </c>
      <c r="O331" s="434">
        <v>25000</v>
      </c>
      <c r="P331" s="69">
        <f>(62300/10000)*8.7</f>
        <v>54.201000000000001</v>
      </c>
      <c r="Q331" s="69">
        <f>(40200/10000)*8.7</f>
        <v>34.973999999999997</v>
      </c>
      <c r="R331" s="69">
        <f>P331-Q331</f>
        <v>19.227000000000004</v>
      </c>
      <c r="S331" s="435">
        <f>R331/8.7*10000/(G331)</f>
        <v>0.17826749804389738</v>
      </c>
      <c r="T331" s="435">
        <f>R331/8.5*10000/(G331)</f>
        <v>0.18246202740963616</v>
      </c>
      <c r="U331" s="435"/>
      <c r="V331" s="31"/>
      <c r="W331" s="32"/>
      <c r="X331" s="33"/>
      <c r="Y331" s="33"/>
      <c r="Z331" s="33"/>
      <c r="AA331" s="33"/>
      <c r="AB331" s="438"/>
    </row>
    <row r="332" spans="1:29" x14ac:dyDescent="0.3">
      <c r="A332" s="439"/>
      <c r="B332" s="439"/>
      <c r="C332" s="23"/>
      <c r="D332" s="23"/>
      <c r="E332" s="35"/>
      <c r="F332" s="25"/>
      <c r="G332" s="433"/>
      <c r="H332" s="433"/>
      <c r="I332" s="433"/>
      <c r="J332" s="26"/>
      <c r="K332" s="27"/>
      <c r="L332" s="27"/>
      <c r="M332" s="434"/>
      <c r="N332" s="434"/>
      <c r="O332" s="434"/>
      <c r="P332" s="69"/>
      <c r="Q332" s="69"/>
      <c r="R332" s="69"/>
      <c r="S332" s="435"/>
      <c r="T332" s="435"/>
      <c r="U332" s="435"/>
      <c r="V332" s="436"/>
      <c r="W332" s="437"/>
      <c r="X332" s="33"/>
      <c r="Y332" s="33"/>
      <c r="Z332" s="33"/>
      <c r="AA332" s="33"/>
      <c r="AB332" s="438"/>
    </row>
    <row r="333" spans="1:29" x14ac:dyDescent="0.3">
      <c r="A333" s="20"/>
      <c r="B333" s="20"/>
      <c r="C333" s="20">
        <v>1000000001</v>
      </c>
      <c r="D333" s="20"/>
      <c r="E333" s="21" t="s">
        <v>30</v>
      </c>
      <c r="F333" s="21"/>
      <c r="G333" s="431">
        <f>SUM(G327:G332)</f>
        <v>435506</v>
      </c>
      <c r="H333" s="431"/>
      <c r="I333" s="431"/>
      <c r="J333" s="431"/>
      <c r="K333" s="431"/>
      <c r="L333" s="431"/>
      <c r="M333" s="431">
        <f>AVERAGE(M328:M331)</f>
        <v>22211.361163557558</v>
      </c>
      <c r="N333" s="431">
        <f>AVERAGE(N328:N331)</f>
        <v>33538.498826513416</v>
      </c>
      <c r="O333" s="431"/>
      <c r="P333" s="431"/>
      <c r="Q333" s="431"/>
      <c r="R333" s="440">
        <f>SUM(R327:R332)</f>
        <v>67.729499999999987</v>
      </c>
      <c r="S333" s="441">
        <f>R333/8.7*10000/G333</f>
        <v>0.17875758313318299</v>
      </c>
      <c r="T333" s="440"/>
      <c r="U333" s="440"/>
      <c r="V333" s="442"/>
      <c r="W333" s="22"/>
      <c r="X333" s="22"/>
      <c r="Y333" s="432">
        <v>360000</v>
      </c>
      <c r="Z333" s="432"/>
      <c r="AA333" s="432"/>
      <c r="AB333" s="432"/>
    </row>
    <row r="334" spans="1:29" x14ac:dyDescent="0.3">
      <c r="A334" s="146"/>
      <c r="B334" s="146"/>
      <c r="C334" s="23"/>
      <c r="D334" s="14"/>
      <c r="E334" s="24"/>
      <c r="F334" s="24"/>
      <c r="G334" s="24"/>
      <c r="H334" s="24"/>
      <c r="I334" s="24"/>
      <c r="J334" s="26"/>
      <c r="K334" s="27"/>
      <c r="L334" s="27"/>
      <c r="M334" s="434"/>
      <c r="N334" s="434"/>
      <c r="O334" s="434"/>
      <c r="P334" s="69"/>
      <c r="Q334" s="69"/>
      <c r="R334" s="69"/>
      <c r="S334" s="435"/>
      <c r="T334" s="435"/>
      <c r="U334" s="435"/>
      <c r="V334" s="436"/>
      <c r="W334" s="437"/>
      <c r="X334" s="33"/>
      <c r="Y334" s="33"/>
      <c r="Z334" s="33"/>
      <c r="AA334" s="33"/>
      <c r="AB334" s="438"/>
    </row>
    <row r="335" spans="1:29" x14ac:dyDescent="0.3">
      <c r="A335" s="146">
        <v>44224.570833333331</v>
      </c>
      <c r="B335" s="146">
        <v>44231.637499999997</v>
      </c>
      <c r="C335" s="23"/>
      <c r="D335" s="14"/>
      <c r="E335" s="35" t="s">
        <v>813</v>
      </c>
      <c r="F335" s="36" t="s">
        <v>91</v>
      </c>
      <c r="G335" s="433">
        <v>177978</v>
      </c>
      <c r="H335" s="433"/>
      <c r="I335" s="433">
        <v>177978</v>
      </c>
      <c r="J335" s="467">
        <f>G335-I335</f>
        <v>0</v>
      </c>
      <c r="K335" s="27">
        <f>B335-A335</f>
        <v>7.0666666666656965</v>
      </c>
      <c r="L335" s="27">
        <f>[116]HEROIC!$J$187</f>
        <v>4.9597222222473647</v>
      </c>
      <c r="M335" s="434">
        <f>(G335)/K335</f>
        <v>25185.566037739307</v>
      </c>
      <c r="N335" s="434">
        <f>G335/L335</f>
        <v>35884.670960333351</v>
      </c>
      <c r="O335" s="434">
        <v>25000</v>
      </c>
      <c r="P335" s="69">
        <f>(52100/10000)*8.7</f>
        <v>45.326999999999998</v>
      </c>
      <c r="Q335" s="69">
        <f>(12900/10000)*8.7</f>
        <v>11.222999999999999</v>
      </c>
      <c r="R335" s="69">
        <f>P335-Q335</f>
        <v>34.103999999999999</v>
      </c>
      <c r="S335" s="435">
        <f>R335/8.7*10000/(G335)</f>
        <v>0.22025194125116593</v>
      </c>
      <c r="T335" s="435">
        <f>R335/8.5*10000/(G335)</f>
        <v>0.22543433986884034</v>
      </c>
      <c r="U335" s="435"/>
      <c r="V335" s="436"/>
      <c r="W335" s="32"/>
      <c r="X335" s="33"/>
      <c r="Y335" s="33"/>
      <c r="Z335" s="33"/>
      <c r="AA335" s="33"/>
      <c r="AB335" s="438"/>
    </row>
    <row r="336" spans="1:29" x14ac:dyDescent="0.3">
      <c r="A336" s="146">
        <v>44235.112500000003</v>
      </c>
      <c r="B336" s="146">
        <v>44243.95</v>
      </c>
      <c r="C336" s="23"/>
      <c r="D336" s="14"/>
      <c r="E336" s="35" t="s">
        <v>814</v>
      </c>
      <c r="F336" s="36" t="s">
        <v>91</v>
      </c>
      <c r="G336" s="433">
        <v>198000</v>
      </c>
      <c r="H336" s="433"/>
      <c r="I336" s="433">
        <v>198000</v>
      </c>
      <c r="J336" s="467">
        <f>G336-I336</f>
        <v>0</v>
      </c>
      <c r="K336" s="27">
        <f>B336-A336</f>
        <v>8.8374999999941792</v>
      </c>
      <c r="L336" s="27">
        <f>[116]ARIADNE!$J$193</f>
        <v>5.7416666666722449</v>
      </c>
      <c r="M336" s="434">
        <f>(G336)/K336</f>
        <v>22404.52616691716</v>
      </c>
      <c r="N336" s="434">
        <f>G336/L336</f>
        <v>34484.760522462871</v>
      </c>
      <c r="O336" s="434">
        <v>25000</v>
      </c>
      <c r="P336" s="69">
        <f>((48363+198000-70000)/10000)*8.7</f>
        <v>153.43580999999998</v>
      </c>
      <c r="Q336" s="69">
        <f>(140990/10000)*8.7</f>
        <v>122.6613</v>
      </c>
      <c r="R336" s="69">
        <f>P336-Q336</f>
        <v>30.774509999999978</v>
      </c>
      <c r="S336" s="435">
        <f>R336/8.7*10000/(G336)</f>
        <v>0.17865151515151503</v>
      </c>
      <c r="T336" s="435">
        <f>R336/8.5*10000/(G336)</f>
        <v>0.18285508021390359</v>
      </c>
      <c r="U336" s="435"/>
      <c r="V336" s="436"/>
      <c r="W336" s="32"/>
      <c r="X336" s="33"/>
      <c r="Y336" s="33"/>
      <c r="Z336" s="33"/>
      <c r="AA336" s="33"/>
      <c r="AB336" s="438"/>
    </row>
    <row r="337" spans="1:28" x14ac:dyDescent="0.3">
      <c r="A337" s="146">
        <v>44247.275000000001</v>
      </c>
      <c r="B337" s="146">
        <v>44254.241666666669</v>
      </c>
      <c r="C337" s="23"/>
      <c r="D337" s="14"/>
      <c r="E337" s="35" t="s">
        <v>815</v>
      </c>
      <c r="F337" s="36" t="s">
        <v>91</v>
      </c>
      <c r="G337" s="433">
        <v>168616</v>
      </c>
      <c r="H337" s="433"/>
      <c r="I337" s="433">
        <v>198000</v>
      </c>
      <c r="J337" s="467">
        <f>G337-I337</f>
        <v>-29384</v>
      </c>
      <c r="K337" s="27">
        <f>B337-A337</f>
        <v>6.9666666666671517</v>
      </c>
      <c r="L337" s="27">
        <f>'[116]CL HUANG PU RIVER'!$J$157</f>
        <v>4.5645833333401242</v>
      </c>
      <c r="M337" s="434">
        <f>(G337)/K337</f>
        <v>24203.253588515061</v>
      </c>
      <c r="N337" s="434">
        <f>G337/L337</f>
        <v>36940.06389770862</v>
      </c>
      <c r="O337" s="434">
        <v>25000</v>
      </c>
      <c r="P337" s="69">
        <f>((136776)/10000)*8.7</f>
        <v>118.99511999999999</v>
      </c>
      <c r="Q337" s="69">
        <f>(108700/10000)*8.7</f>
        <v>94.568999999999988</v>
      </c>
      <c r="R337" s="69">
        <f>P337-Q337</f>
        <v>24.426119999999997</v>
      </c>
      <c r="S337" s="435">
        <f>R337/8.7*10000/(G337)</f>
        <v>0.16650851639227593</v>
      </c>
      <c r="T337" s="435">
        <f>R337/8.5*10000/(G337)</f>
        <v>0.17042636383680004</v>
      </c>
      <c r="U337" s="435"/>
      <c r="V337" s="436"/>
      <c r="W337" s="32"/>
      <c r="X337" s="33"/>
      <c r="Y337" s="33"/>
      <c r="Z337" s="33"/>
      <c r="AA337" s="33"/>
      <c r="AB337" s="438"/>
    </row>
    <row r="338" spans="1:28" x14ac:dyDescent="0.3">
      <c r="A338" s="439"/>
      <c r="B338" s="439"/>
      <c r="C338" s="23"/>
      <c r="D338" s="23"/>
      <c r="E338" s="35"/>
      <c r="F338" s="25"/>
      <c r="G338" s="433"/>
      <c r="H338" s="433"/>
      <c r="I338" s="433"/>
      <c r="J338" s="26"/>
      <c r="K338" s="27"/>
      <c r="L338" s="27"/>
      <c r="M338" s="434"/>
      <c r="N338" s="434"/>
      <c r="O338" s="434"/>
      <c r="P338" s="69"/>
      <c r="Q338" s="69"/>
      <c r="R338" s="69"/>
      <c r="S338" s="435"/>
      <c r="T338" s="435"/>
      <c r="U338" s="435"/>
      <c r="V338" s="436"/>
      <c r="W338" s="437"/>
      <c r="X338" s="33"/>
      <c r="Y338" s="33"/>
      <c r="Z338" s="33"/>
      <c r="AA338" s="33"/>
      <c r="AB338" s="438"/>
    </row>
    <row r="339" spans="1:28" x14ac:dyDescent="0.3">
      <c r="A339" s="20"/>
      <c r="B339" s="20"/>
      <c r="C339" s="20">
        <v>1000000001</v>
      </c>
      <c r="D339" s="20"/>
      <c r="E339" s="21" t="s">
        <v>37</v>
      </c>
      <c r="F339" s="21"/>
      <c r="G339" s="431">
        <f>SUM(G335:G338)</f>
        <v>544594</v>
      </c>
      <c r="H339" s="431"/>
      <c r="I339" s="431"/>
      <c r="J339" s="431"/>
      <c r="K339" s="431"/>
      <c r="L339" s="431"/>
      <c r="M339" s="431">
        <f>AVERAGE(M334:M337)</f>
        <v>23931.115264390508</v>
      </c>
      <c r="N339" s="431">
        <f>AVERAGE(N334:N337)</f>
        <v>35769.831793501617</v>
      </c>
      <c r="O339" s="431"/>
      <c r="P339" s="431"/>
      <c r="Q339" s="431"/>
      <c r="R339" s="440">
        <f>SUM(R334:R338)</f>
        <v>89.304629999999975</v>
      </c>
      <c r="S339" s="441">
        <f>R339/8.7*10000/G339</f>
        <v>0.18848720331109042</v>
      </c>
      <c r="T339" s="440"/>
      <c r="U339" s="440"/>
      <c r="V339" s="442"/>
      <c r="W339" s="22"/>
      <c r="X339" s="22"/>
      <c r="Y339" s="432">
        <v>360000</v>
      </c>
      <c r="Z339" s="432"/>
      <c r="AA339" s="432"/>
      <c r="AB339" s="432"/>
    </row>
    <row r="340" spans="1:28" x14ac:dyDescent="0.3">
      <c r="A340" s="146"/>
      <c r="B340" s="146"/>
      <c r="C340" s="23"/>
      <c r="D340" s="14"/>
      <c r="E340" s="35"/>
      <c r="F340" s="25"/>
      <c r="G340" s="433"/>
      <c r="H340" s="433"/>
      <c r="I340" s="433"/>
      <c r="J340" s="26"/>
      <c r="K340" s="27"/>
      <c r="L340" s="27"/>
      <c r="M340" s="434"/>
      <c r="N340" s="434"/>
      <c r="O340" s="434"/>
      <c r="P340" s="69"/>
      <c r="Q340" s="69"/>
      <c r="R340" s="69"/>
      <c r="S340" s="435"/>
      <c r="T340" s="435"/>
      <c r="U340" s="435"/>
      <c r="V340" s="436"/>
      <c r="W340" s="437"/>
      <c r="X340" s="33"/>
      <c r="Y340" s="33"/>
      <c r="Z340" s="33"/>
      <c r="AA340" s="33"/>
      <c r="AB340" s="438"/>
    </row>
    <row r="341" spans="1:28" x14ac:dyDescent="0.3">
      <c r="A341" s="146">
        <v>44260.854166666664</v>
      </c>
      <c r="B341" s="146">
        <v>44262.133333333331</v>
      </c>
      <c r="C341" s="23"/>
      <c r="D341" s="14"/>
      <c r="E341" s="35" t="s">
        <v>816</v>
      </c>
      <c r="F341" s="36" t="s">
        <v>91</v>
      </c>
      <c r="G341" s="433">
        <v>11294</v>
      </c>
      <c r="H341" s="433"/>
      <c r="I341" s="433">
        <v>171063</v>
      </c>
      <c r="J341" s="26">
        <f>G341-I341</f>
        <v>-159769</v>
      </c>
      <c r="K341" s="27">
        <f>B341-A341</f>
        <v>1.2791666666671517</v>
      </c>
      <c r="L341" s="27">
        <f>'[117]BERGE NIMBA'!$J$33</f>
        <v>0.58125000000291038</v>
      </c>
      <c r="M341" s="434">
        <f>(G341)/K341</f>
        <v>8829.1856677490941</v>
      </c>
      <c r="N341" s="434">
        <f>G341/L341</f>
        <v>19430.537634311313</v>
      </c>
      <c r="O341" s="434">
        <v>25000</v>
      </c>
      <c r="P341" s="69">
        <f>((99968)/10000)*8.7</f>
        <v>86.972160000000002</v>
      </c>
      <c r="Q341" s="69">
        <f>(96460/10000)*8.7</f>
        <v>83.920199999999994</v>
      </c>
      <c r="R341" s="69">
        <f>P341-Q341</f>
        <v>3.0519600000000082</v>
      </c>
      <c r="S341" s="435">
        <f>R341/8.7*10000/(G341)</f>
        <v>0.31060740216044008</v>
      </c>
      <c r="T341" s="435">
        <f>R341/8.5*10000/(G341)</f>
        <v>0.31791581162303861</v>
      </c>
      <c r="U341" s="435"/>
      <c r="V341" s="436"/>
      <c r="W341" s="32"/>
      <c r="X341" s="33"/>
      <c r="Y341" s="33"/>
      <c r="Z341" s="33"/>
      <c r="AA341" s="33"/>
      <c r="AB341" s="438"/>
    </row>
    <row r="342" spans="1:28" x14ac:dyDescent="0.3">
      <c r="A342" s="146">
        <v>44266.01666666667</v>
      </c>
      <c r="B342" s="146">
        <v>44270.529166666667</v>
      </c>
      <c r="C342" s="23"/>
      <c r="D342" s="14"/>
      <c r="E342" s="35" t="s">
        <v>817</v>
      </c>
      <c r="F342" s="36" t="s">
        <v>91</v>
      </c>
      <c r="G342" s="433">
        <v>105087</v>
      </c>
      <c r="H342" s="433"/>
      <c r="I342" s="433">
        <v>171400</v>
      </c>
      <c r="J342" s="26">
        <f>G342-I342</f>
        <v>-66313</v>
      </c>
      <c r="K342" s="27">
        <f>B342-A342</f>
        <v>4.5124999999970896</v>
      </c>
      <c r="L342" s="27">
        <f>[117]SUIGO!$J$118</f>
        <v>2.7562499999839929</v>
      </c>
      <c r="M342" s="434">
        <f>(G342)/K342</f>
        <v>23287.977839350198</v>
      </c>
      <c r="N342" s="434">
        <f>G342/L342</f>
        <v>38126.802721309861</v>
      </c>
      <c r="O342" s="434">
        <v>25000</v>
      </c>
      <c r="P342" s="69">
        <f>((91542)/10000)*8.7</f>
        <v>79.641539999999992</v>
      </c>
      <c r="Q342" s="69">
        <f>(73680/10000)*8.7</f>
        <v>64.101599999999991</v>
      </c>
      <c r="R342" s="69">
        <f>P342-Q342</f>
        <v>15.539940000000001</v>
      </c>
      <c r="S342" s="435">
        <f>R342/8.7*10000/(G342)</f>
        <v>0.16997345056952815</v>
      </c>
      <c r="T342" s="435">
        <f>R342/8.5*10000/(G342)</f>
        <v>0.17397282587704641</v>
      </c>
      <c r="U342" s="435"/>
      <c r="V342" s="31"/>
      <c r="W342" s="32"/>
      <c r="X342" s="33"/>
      <c r="Y342" s="33"/>
      <c r="Z342" s="33"/>
      <c r="AA342" s="33"/>
      <c r="AB342" s="438"/>
    </row>
    <row r="343" spans="1:28" x14ac:dyDescent="0.3">
      <c r="A343" s="146">
        <v>44271.7</v>
      </c>
      <c r="B343" s="146">
        <v>44277.75</v>
      </c>
      <c r="C343" s="23"/>
      <c r="D343" s="23"/>
      <c r="E343" s="35" t="s">
        <v>818</v>
      </c>
      <c r="F343" s="25" t="s">
        <v>91</v>
      </c>
      <c r="G343" s="433">
        <v>120122</v>
      </c>
      <c r="H343" s="433"/>
      <c r="I343" s="433">
        <v>189000</v>
      </c>
      <c r="J343" s="26">
        <f>G343-I343</f>
        <v>-68878</v>
      </c>
      <c r="K343" s="27">
        <f>B343-A343</f>
        <v>6.0500000000029104</v>
      </c>
      <c r="L343" s="27">
        <f>'[117]CL RHINE RIVER'!$J$120</f>
        <v>3.1229166666744277</v>
      </c>
      <c r="M343" s="434">
        <f>(G343)/K343</f>
        <v>19854.876033048298</v>
      </c>
      <c r="N343" s="434">
        <f>G343/L343</f>
        <v>38464.683121985792</v>
      </c>
      <c r="O343" s="434">
        <v>25000</v>
      </c>
      <c r="P343" s="69">
        <f>((122344)/10000)*8.7</f>
        <v>106.43928</v>
      </c>
      <c r="Q343" s="69">
        <f>(101420/10000)*8.7</f>
        <v>88.235399999999984</v>
      </c>
      <c r="R343" s="69">
        <f>P343-Q343</f>
        <v>18.203880000000012</v>
      </c>
      <c r="S343" s="435">
        <f>R343/8.7*10000/(G343)</f>
        <v>0.17418957393316806</v>
      </c>
      <c r="T343" s="435">
        <f>R343/8.5*10000/(G343)</f>
        <v>0.17828815214336025</v>
      </c>
      <c r="U343" s="69"/>
      <c r="V343" s="436"/>
      <c r="W343" s="437"/>
      <c r="X343" s="33"/>
      <c r="Y343" s="33"/>
      <c r="Z343" s="33"/>
      <c r="AA343" s="33"/>
      <c r="AB343" s="438"/>
    </row>
    <row r="344" spans="1:28" x14ac:dyDescent="0.3">
      <c r="A344" s="146">
        <v>44278.145833333336</v>
      </c>
      <c r="B344" s="146">
        <v>44283.541666666664</v>
      </c>
      <c r="C344" s="23"/>
      <c r="D344" s="23"/>
      <c r="E344" s="35" t="s">
        <v>392</v>
      </c>
      <c r="F344" s="25" t="s">
        <v>91</v>
      </c>
      <c r="G344" s="433">
        <v>101867</v>
      </c>
      <c r="H344" s="433"/>
      <c r="I344" s="433">
        <v>169880</v>
      </c>
      <c r="J344" s="26">
        <f>G344-I344</f>
        <v>-68013</v>
      </c>
      <c r="K344" s="27">
        <f>B344-A344</f>
        <v>5.3958333333284827</v>
      </c>
      <c r="L344" s="27">
        <f>'[117]BERGE AORAKI'!$J$88</f>
        <v>2.9645833333124756</v>
      </c>
      <c r="M344" s="434">
        <f>(G344)/K344</f>
        <v>18878.826254843225</v>
      </c>
      <c r="N344" s="434">
        <f>G344/L344</f>
        <v>34361.321152736484</v>
      </c>
      <c r="O344" s="434">
        <v>25000</v>
      </c>
      <c r="P344" s="69">
        <f>((100955)/10000)*8.7</f>
        <v>87.830849999999984</v>
      </c>
      <c r="Q344" s="69">
        <f>(82590/10000)*8.7</f>
        <v>71.85329999999999</v>
      </c>
      <c r="R344" s="69">
        <f>P344-Q344</f>
        <v>15.977549999999994</v>
      </c>
      <c r="S344" s="435">
        <f>R344/8.7*10000/(G344)</f>
        <v>0.18028409592900541</v>
      </c>
      <c r="T344" s="435">
        <f>R344/8.5*10000/(G344)</f>
        <v>0.18452607465674672</v>
      </c>
      <c r="U344" s="435"/>
      <c r="V344" s="436"/>
      <c r="W344" s="437"/>
      <c r="X344" s="33"/>
      <c r="Y344" s="33"/>
      <c r="Z344" s="33"/>
      <c r="AA344" s="33"/>
      <c r="AB344" s="438"/>
    </row>
    <row r="345" spans="1:28" x14ac:dyDescent="0.3">
      <c r="A345" s="439"/>
      <c r="B345" s="439"/>
      <c r="C345" s="23"/>
      <c r="D345" s="23"/>
      <c r="E345" s="35"/>
      <c r="F345" s="25"/>
      <c r="G345" s="433"/>
      <c r="H345" s="433"/>
      <c r="I345" s="433"/>
      <c r="J345" s="26"/>
      <c r="K345" s="27"/>
      <c r="L345" s="27"/>
      <c r="M345" s="434"/>
      <c r="N345" s="434"/>
      <c r="O345" s="434"/>
      <c r="P345" s="69"/>
      <c r="Q345" s="69"/>
      <c r="R345" s="69"/>
      <c r="S345" s="435"/>
      <c r="T345" s="435"/>
      <c r="U345" s="435"/>
      <c r="V345" s="436"/>
      <c r="W345" s="437"/>
      <c r="X345" s="33"/>
      <c r="Y345" s="33"/>
      <c r="Z345" s="33"/>
      <c r="AA345" s="33"/>
      <c r="AB345" s="438"/>
    </row>
    <row r="346" spans="1:28" x14ac:dyDescent="0.3">
      <c r="A346" s="20"/>
      <c r="B346" s="20"/>
      <c r="C346" s="20">
        <v>1000000001</v>
      </c>
      <c r="D346" s="20"/>
      <c r="E346" s="21" t="s">
        <v>42</v>
      </c>
      <c r="F346" s="21"/>
      <c r="G346" s="431">
        <f>SUM(G340:G345)</f>
        <v>338370</v>
      </c>
      <c r="H346" s="431"/>
      <c r="I346" s="431"/>
      <c r="J346" s="431"/>
      <c r="K346" s="431"/>
      <c r="L346" s="431"/>
      <c r="M346" s="431">
        <f>AVERAGE(M341:M344)</f>
        <v>17712.716448747706</v>
      </c>
      <c r="N346" s="431">
        <f>AVERAGE(N341:N344)</f>
        <v>32595.836157585865</v>
      </c>
      <c r="O346" s="431"/>
      <c r="P346" s="431"/>
      <c r="Q346" s="431"/>
      <c r="R346" s="440">
        <f>SUM(R340:R345)</f>
        <v>52.773330000000016</v>
      </c>
      <c r="S346" s="441">
        <f>R346/8.7*10000/G346</f>
        <v>0.17926825664213739</v>
      </c>
      <c r="T346" s="440"/>
      <c r="U346" s="440"/>
      <c r="V346" s="442"/>
      <c r="W346" s="22"/>
      <c r="X346" s="22"/>
      <c r="Y346" s="432">
        <v>360000</v>
      </c>
      <c r="Z346" s="432"/>
      <c r="AA346" s="432"/>
      <c r="AB346" s="432"/>
    </row>
    <row r="347" spans="1:28" x14ac:dyDescent="0.3">
      <c r="A347" s="146"/>
      <c r="B347" s="146"/>
      <c r="C347" s="23"/>
      <c r="D347" s="14"/>
      <c r="E347" s="35"/>
      <c r="F347" s="25"/>
      <c r="G347" s="433"/>
      <c r="H347" s="433"/>
      <c r="I347" s="433"/>
      <c r="J347" s="26"/>
      <c r="K347" s="27"/>
      <c r="L347" s="27"/>
      <c r="M347" s="434"/>
      <c r="N347" s="434"/>
      <c r="O347" s="434"/>
      <c r="P347" s="69"/>
      <c r="Q347" s="69"/>
      <c r="R347" s="69"/>
      <c r="S347" s="435"/>
      <c r="T347" s="435"/>
      <c r="U347" s="435"/>
      <c r="V347" s="436"/>
      <c r="W347" s="437"/>
      <c r="X347" s="33"/>
      <c r="Y347" s="33"/>
      <c r="Z347" s="33"/>
      <c r="AA347" s="33"/>
      <c r="AB347" s="438"/>
    </row>
    <row r="348" spans="1:28" x14ac:dyDescent="0.3">
      <c r="A348" s="146">
        <v>44283.875</v>
      </c>
      <c r="B348" s="146">
        <v>44290.445833333331</v>
      </c>
      <c r="C348" s="23"/>
      <c r="D348" s="23"/>
      <c r="E348" s="35" t="s">
        <v>578</v>
      </c>
      <c r="F348" s="25" t="s">
        <v>91</v>
      </c>
      <c r="G348" s="433">
        <v>124120</v>
      </c>
      <c r="H348" s="433"/>
      <c r="I348" s="433">
        <v>170975</v>
      </c>
      <c r="J348" s="26">
        <f>G348-I348</f>
        <v>-46855</v>
      </c>
      <c r="K348" s="27">
        <f>B348-A348</f>
        <v>6.5708333333313931</v>
      </c>
      <c r="L348" s="27">
        <f>'[118]CAPE GENESIS'!$J$94</f>
        <v>3.6562499999854481</v>
      </c>
      <c r="M348" s="434">
        <f>(G348)/K348</f>
        <v>18889.537095757005</v>
      </c>
      <c r="N348" s="434">
        <f>G348/L348</f>
        <v>33947.350427485537</v>
      </c>
      <c r="O348" s="434">
        <v>25000</v>
      </c>
      <c r="P348" s="69">
        <f>((82240)/10000)*8.7</f>
        <v>71.5488</v>
      </c>
      <c r="Q348" s="69">
        <f>(59130/10000)*8.7</f>
        <v>51.443100000000001</v>
      </c>
      <c r="R348" s="69">
        <f>P348-Q348</f>
        <v>20.105699999999999</v>
      </c>
      <c r="S348" s="435">
        <f>R348/8.7*10000/(G348)</f>
        <v>0.18619078311311635</v>
      </c>
      <c r="T348" s="435">
        <f>R348/8.5*10000/(G348)</f>
        <v>0.19057174271577787</v>
      </c>
      <c r="U348" s="435"/>
      <c r="V348" s="436"/>
      <c r="W348" s="32"/>
      <c r="X348" s="33"/>
      <c r="Y348" s="33"/>
      <c r="Z348" s="33"/>
      <c r="AA348" s="33"/>
      <c r="AB348" s="438"/>
    </row>
    <row r="349" spans="1:28" x14ac:dyDescent="0.3">
      <c r="A349" s="146">
        <v>44290.75</v>
      </c>
      <c r="B349" s="146">
        <v>44295.25</v>
      </c>
      <c r="C349" s="23"/>
      <c r="D349" s="23"/>
      <c r="E349" s="35" t="s">
        <v>819</v>
      </c>
      <c r="F349" s="25" t="s">
        <v>91</v>
      </c>
      <c r="G349" s="433">
        <v>96512</v>
      </c>
      <c r="H349" s="433"/>
      <c r="I349" s="433">
        <v>198000</v>
      </c>
      <c r="J349" s="26">
        <f>G349-I349</f>
        <v>-101488</v>
      </c>
      <c r="K349" s="27">
        <f>B349-A349</f>
        <v>4.5</v>
      </c>
      <c r="L349" s="27">
        <f>'[118]LOS ANGELES'!$J$71</f>
        <v>2.8208333333241171</v>
      </c>
      <c r="M349" s="434">
        <f>(G349)/K349</f>
        <v>21447.111111111109</v>
      </c>
      <c r="N349" s="434">
        <f>G349/L349</f>
        <v>34214.002954321535</v>
      </c>
      <c r="O349" s="434">
        <v>25000</v>
      </c>
      <c r="P349" s="69">
        <f>((58770)/10000)*8.7</f>
        <v>51.129899999999992</v>
      </c>
      <c r="Q349" s="69">
        <f>(41740/10000)*8.7</f>
        <v>36.313800000000001</v>
      </c>
      <c r="R349" s="69">
        <f>P349-Q349</f>
        <v>14.816099999999992</v>
      </c>
      <c r="S349" s="435">
        <f>R349/8.7*10000/(G349)</f>
        <v>0.17645474137931028</v>
      </c>
      <c r="T349" s="435">
        <f>R349/8.5*10000/(G349)</f>
        <v>0.18060661764705871</v>
      </c>
      <c r="U349" s="435"/>
      <c r="V349" s="31"/>
      <c r="W349" s="32"/>
      <c r="X349" s="33"/>
      <c r="Y349" s="33"/>
      <c r="Z349" s="33"/>
      <c r="AA349" s="33"/>
      <c r="AB349" s="438"/>
    </row>
    <row r="350" spans="1:28" x14ac:dyDescent="0.3">
      <c r="A350" s="146">
        <v>44296.691666666666</v>
      </c>
      <c r="B350" s="146">
        <v>44301.041666666664</v>
      </c>
      <c r="C350" s="23"/>
      <c r="D350" s="23"/>
      <c r="E350" s="35" t="s">
        <v>820</v>
      </c>
      <c r="F350" s="25" t="s">
        <v>91</v>
      </c>
      <c r="G350" s="433">
        <v>88765</v>
      </c>
      <c r="H350" s="433"/>
      <c r="I350" s="433">
        <v>169220</v>
      </c>
      <c r="J350" s="26">
        <f>G350-I350</f>
        <v>-80455</v>
      </c>
      <c r="K350" s="27">
        <f>B350-A350</f>
        <v>4.3499999999985448</v>
      </c>
      <c r="L350" s="27">
        <f>[118]VANGELIS!$J$92</f>
        <v>2.5833333333102928</v>
      </c>
      <c r="M350" s="434">
        <f>(G350)/K350</f>
        <v>20405.747126443606</v>
      </c>
      <c r="N350" s="434">
        <f>G350/L350</f>
        <v>34360.645161596782</v>
      </c>
      <c r="O350" s="434">
        <v>25000</v>
      </c>
      <c r="P350" s="69">
        <f>((89946)/10000)*8.7</f>
        <v>78.253019999999992</v>
      </c>
      <c r="Q350" s="69">
        <f>(72940/10000)*8.7</f>
        <v>63.457799999999992</v>
      </c>
      <c r="R350" s="69">
        <f>P350-Q350</f>
        <v>14.79522</v>
      </c>
      <c r="S350" s="435">
        <f>R350/8.7*10000/(G350)</f>
        <v>0.19158452092604067</v>
      </c>
      <c r="T350" s="435">
        <f>R350/8.5*10000/(G350)</f>
        <v>0.19609239200665338</v>
      </c>
      <c r="U350" s="69"/>
      <c r="V350" s="436"/>
      <c r="W350" s="437"/>
      <c r="X350" s="33"/>
      <c r="Y350" s="33"/>
      <c r="Z350" s="33"/>
      <c r="AA350" s="33"/>
      <c r="AB350" s="438"/>
    </row>
    <row r="351" spans="1:28" x14ac:dyDescent="0.3">
      <c r="A351" s="146">
        <v>44301.541666666664</v>
      </c>
      <c r="B351" s="146">
        <v>44306.775000000001</v>
      </c>
      <c r="C351" s="23"/>
      <c r="D351" s="23"/>
      <c r="E351" s="35" t="s">
        <v>821</v>
      </c>
      <c r="F351" s="25" t="s">
        <v>91</v>
      </c>
      <c r="G351" s="433">
        <v>79470</v>
      </c>
      <c r="H351" s="433"/>
      <c r="I351" s="433">
        <v>168940</v>
      </c>
      <c r="J351" s="26">
        <f>G351-I351</f>
        <v>-89470</v>
      </c>
      <c r="K351" s="27">
        <f>B351-A351</f>
        <v>5.2333333333372138</v>
      </c>
      <c r="L351" s="27">
        <f>'[118]BERGE WEISSHORN'!$J$79</f>
        <v>2.3645833333248447</v>
      </c>
      <c r="M351" s="434">
        <f>(G351)/K351</f>
        <v>15185.350318460078</v>
      </c>
      <c r="N351" s="434">
        <f>G351/L351</f>
        <v>33608.458149900383</v>
      </c>
      <c r="O351" s="434">
        <v>25000</v>
      </c>
      <c r="P351" s="69">
        <f>((72229)/10000)*8.7</f>
        <v>62.839229999999993</v>
      </c>
      <c r="Q351" s="69">
        <f>(55630/10000)*8.7</f>
        <v>48.398099999999992</v>
      </c>
      <c r="R351" s="69">
        <f>P351-Q351</f>
        <v>14.441130000000001</v>
      </c>
      <c r="S351" s="435">
        <f>R351/8.7*10000/(G351)</f>
        <v>0.20887127217818049</v>
      </c>
      <c r="T351" s="435">
        <f>R351/8.5*10000/(G351)</f>
        <v>0.21378589034707879</v>
      </c>
      <c r="U351" s="435"/>
      <c r="V351" s="436"/>
      <c r="W351" s="437"/>
      <c r="X351" s="33"/>
      <c r="Y351" s="33"/>
      <c r="Z351" s="33"/>
      <c r="AA351" s="33"/>
      <c r="AB351" s="438"/>
    </row>
    <row r="352" spans="1:28" x14ac:dyDescent="0.3">
      <c r="A352" s="146">
        <v>44307.104166666664</v>
      </c>
      <c r="B352" s="146">
        <v>44313.995833333334</v>
      </c>
      <c r="C352" s="23"/>
      <c r="D352" s="23"/>
      <c r="E352" s="35" t="s">
        <v>822</v>
      </c>
      <c r="F352" s="25" t="s">
        <v>91</v>
      </c>
      <c r="G352" s="433">
        <v>111060</v>
      </c>
      <c r="H352" s="433"/>
      <c r="I352" s="433">
        <v>178400</v>
      </c>
      <c r="J352" s="26">
        <f>G352-I352</f>
        <v>-67340</v>
      </c>
      <c r="K352" s="27">
        <f>B352-A352</f>
        <v>6.8916666666700621</v>
      </c>
      <c r="L352" s="27">
        <f>'[118]CAPE MAGNOLIA'!$J$98</f>
        <v>3.1479166666867968</v>
      </c>
      <c r="M352" s="434">
        <f>(G352)/K352</f>
        <v>16115.114873027127</v>
      </c>
      <c r="N352" s="434">
        <f>G352/L352</f>
        <v>35280.476505399805</v>
      </c>
      <c r="O352" s="434">
        <v>25000</v>
      </c>
      <c r="P352" s="69">
        <f>((55380)/10000)*8.7</f>
        <v>48.180599999999998</v>
      </c>
      <c r="Q352" s="69">
        <f>(32950/10000)*8.7</f>
        <v>28.666499999999996</v>
      </c>
      <c r="R352" s="69">
        <f>P352-Q352</f>
        <v>19.514100000000003</v>
      </c>
      <c r="S352" s="435">
        <f>R352/8.7*10000/(G352)</f>
        <v>0.2019629029353503</v>
      </c>
      <c r="T352" s="435">
        <f>R352/8.5*10000/(G352)</f>
        <v>0.20671497123971147</v>
      </c>
      <c r="U352" s="435"/>
      <c r="V352" s="436"/>
      <c r="W352" s="437"/>
      <c r="X352" s="33"/>
      <c r="Y352" s="33"/>
      <c r="Z352" s="33"/>
      <c r="AA352" s="33"/>
      <c r="AB352" s="438"/>
    </row>
    <row r="353" spans="1:28" x14ac:dyDescent="0.3">
      <c r="A353" s="439"/>
      <c r="B353" s="439"/>
      <c r="C353" s="23"/>
      <c r="D353" s="23"/>
      <c r="E353" s="35"/>
      <c r="F353" s="25"/>
      <c r="G353" s="433"/>
      <c r="H353" s="433"/>
      <c r="I353" s="433"/>
      <c r="J353" s="26"/>
      <c r="K353" s="27"/>
      <c r="L353" s="27"/>
      <c r="M353" s="434"/>
      <c r="N353" s="434"/>
      <c r="O353" s="434"/>
      <c r="P353" s="69"/>
      <c r="Q353" s="69"/>
      <c r="R353" s="69"/>
      <c r="S353" s="435"/>
      <c r="T353" s="435"/>
      <c r="U353" s="435"/>
      <c r="V353" s="436"/>
      <c r="W353" s="437"/>
      <c r="X353" s="33"/>
      <c r="Y353" s="33"/>
      <c r="Z353" s="33"/>
      <c r="AA353" s="33"/>
      <c r="AB353" s="438"/>
    </row>
    <row r="354" spans="1:28" x14ac:dyDescent="0.3">
      <c r="A354" s="20"/>
      <c r="B354" s="20"/>
      <c r="C354" s="20">
        <v>1000000001</v>
      </c>
      <c r="D354" s="20"/>
      <c r="E354" s="21" t="s">
        <v>43</v>
      </c>
      <c r="F354" s="21"/>
      <c r="G354" s="431">
        <f>SUM(G347:G353)</f>
        <v>499927</v>
      </c>
      <c r="H354" s="431"/>
      <c r="I354" s="431"/>
      <c r="J354" s="431"/>
      <c r="K354" s="431"/>
      <c r="L354" s="431"/>
      <c r="M354" s="431">
        <f>AVERAGE(M348:M353)</f>
        <v>18408.572104959785</v>
      </c>
      <c r="N354" s="431">
        <f>AVERAGE(N348:N353)</f>
        <v>34282.186639740808</v>
      </c>
      <c r="O354" s="431"/>
      <c r="P354" s="431"/>
      <c r="Q354" s="431"/>
      <c r="R354" s="440">
        <f>SUM(R347:R353)</f>
        <v>83.672249999999991</v>
      </c>
      <c r="S354" s="441">
        <f>R354/8.7*10000/G354</f>
        <v>0.1923780872007313</v>
      </c>
      <c r="T354" s="440"/>
      <c r="U354" s="440"/>
      <c r="V354" s="442"/>
      <c r="W354" s="22"/>
      <c r="X354" s="22"/>
      <c r="Y354" s="432">
        <v>360000</v>
      </c>
      <c r="Z354" s="432"/>
      <c r="AA354" s="432"/>
      <c r="AB354" s="432"/>
    </row>
    <row r="355" spans="1:28" x14ac:dyDescent="0.3">
      <c r="A355" s="146"/>
      <c r="B355" s="146"/>
      <c r="C355" s="23"/>
      <c r="D355" s="14"/>
      <c r="E355" s="35"/>
      <c r="F355" s="25"/>
      <c r="G355" s="433"/>
      <c r="H355" s="433"/>
      <c r="I355" s="433"/>
      <c r="J355" s="26"/>
      <c r="K355" s="27"/>
      <c r="L355" s="27"/>
      <c r="M355" s="434"/>
      <c r="N355" s="434"/>
      <c r="O355" s="434"/>
      <c r="P355" s="69"/>
      <c r="Q355" s="69"/>
      <c r="R355" s="69"/>
      <c r="S355" s="435"/>
      <c r="T355" s="435"/>
      <c r="U355" s="435"/>
      <c r="V355" s="436"/>
      <c r="W355" s="437"/>
      <c r="X355" s="33"/>
      <c r="Y355" s="33"/>
      <c r="Z355" s="33"/>
      <c r="AA355" s="33"/>
      <c r="AB355" s="438"/>
    </row>
    <row r="356" spans="1:28" x14ac:dyDescent="0.3">
      <c r="A356" s="146">
        <v>44314.633333333331</v>
      </c>
      <c r="B356" s="146">
        <v>44320.008333333331</v>
      </c>
      <c r="C356" s="23"/>
      <c r="D356" s="14"/>
      <c r="E356" s="35" t="s">
        <v>812</v>
      </c>
      <c r="F356" s="25" t="s">
        <v>91</v>
      </c>
      <c r="G356" s="433">
        <v>93436</v>
      </c>
      <c r="H356" s="433"/>
      <c r="I356" s="433">
        <v>203700</v>
      </c>
      <c r="J356" s="26">
        <f t="shared" ref="J356:J360" si="84">G356-I356</f>
        <v>-110264</v>
      </c>
      <c r="K356" s="27">
        <f t="shared" ref="K356:K361" si="85">B356-A356</f>
        <v>5.375</v>
      </c>
      <c r="L356" s="27">
        <f>'[119]WEN CHANG STAR'!$J$88</f>
        <v>2.6229166666525998</v>
      </c>
      <c r="M356" s="434">
        <f t="shared" ref="M356:M361" si="86">(G356)/K356</f>
        <v>17383.441860465115</v>
      </c>
      <c r="N356" s="434">
        <f t="shared" ref="N356:N361" si="87">G356/L356</f>
        <v>35622.938840540533</v>
      </c>
      <c r="O356" s="434">
        <v>25000</v>
      </c>
      <c r="P356" s="69">
        <f>((32251)/10000)*8.7</f>
        <v>28.058369999999996</v>
      </c>
      <c r="Q356" s="69">
        <f>((188980-175000)/10000)*8.7</f>
        <v>12.162599999999998</v>
      </c>
      <c r="R356" s="69">
        <f t="shared" ref="R356:R361" si="88">P356-Q356</f>
        <v>15.895769999999999</v>
      </c>
      <c r="S356" s="435">
        <f t="shared" ref="S356:S361" si="89">R356/8.7*10000/(G356)</f>
        <v>0.19554561411019308</v>
      </c>
      <c r="T356" s="435">
        <f t="shared" ref="T356:T361" si="90">R356/8.5*10000/(G356)</f>
        <v>0.2001466873833741</v>
      </c>
      <c r="U356" s="435"/>
      <c r="V356" s="436"/>
      <c r="W356" s="32"/>
      <c r="X356" s="33"/>
      <c r="Y356" s="33"/>
      <c r="Z356" s="33"/>
      <c r="AA356" s="33"/>
      <c r="AB356" s="438"/>
    </row>
    <row r="357" spans="1:28" x14ac:dyDescent="0.3">
      <c r="A357" s="146">
        <v>44320.554166666669</v>
      </c>
      <c r="B357" s="146">
        <v>44323.754166666666</v>
      </c>
      <c r="C357" s="23"/>
      <c r="D357" s="14"/>
      <c r="E357" s="35" t="s">
        <v>823</v>
      </c>
      <c r="F357" s="36" t="s">
        <v>91</v>
      </c>
      <c r="G357" s="433">
        <v>70754</v>
      </c>
      <c r="H357" s="433"/>
      <c r="I357" s="433">
        <v>168140</v>
      </c>
      <c r="J357" s="26">
        <f t="shared" si="84"/>
        <v>-97386</v>
      </c>
      <c r="K357" s="27">
        <f t="shared" si="85"/>
        <v>3.1999999999970896</v>
      </c>
      <c r="L357" s="27">
        <f>'[119]NAVIOS CANARY'!$J$63</f>
        <v>1.8833333333241171</v>
      </c>
      <c r="M357" s="434">
        <f t="shared" si="86"/>
        <v>22110.625000020111</v>
      </c>
      <c r="N357" s="434">
        <f t="shared" si="87"/>
        <v>37568.495575405082</v>
      </c>
      <c r="O357" s="434">
        <v>25000</v>
      </c>
      <c r="P357" s="69">
        <f>((188501)/10000)*8.7</f>
        <v>163.99587</v>
      </c>
      <c r="Q357" s="69">
        <f>((175000)/10000)*8.7</f>
        <v>152.25</v>
      </c>
      <c r="R357" s="69">
        <f t="shared" si="88"/>
        <v>11.745869999999996</v>
      </c>
      <c r="S357" s="435">
        <f t="shared" si="89"/>
        <v>0.19081606693614489</v>
      </c>
      <c r="T357" s="435">
        <f t="shared" si="90"/>
        <v>0.1953058567464071</v>
      </c>
      <c r="U357" s="435"/>
      <c r="V357" s="31"/>
      <c r="W357" s="32"/>
      <c r="X357" s="33"/>
      <c r="Y357" s="33"/>
      <c r="Z357" s="33"/>
      <c r="AA357" s="33"/>
      <c r="AB357" s="438"/>
    </row>
    <row r="358" spans="1:28" x14ac:dyDescent="0.3">
      <c r="A358" s="146">
        <v>44326.716666666667</v>
      </c>
      <c r="B358" s="146">
        <v>44330.5625</v>
      </c>
      <c r="C358" s="23"/>
      <c r="D358" s="23"/>
      <c r="E358" s="35" t="s">
        <v>824</v>
      </c>
      <c r="F358" s="25" t="s">
        <v>91</v>
      </c>
      <c r="G358" s="433">
        <v>74736</v>
      </c>
      <c r="H358" s="433"/>
      <c r="I358" s="433">
        <v>174482</v>
      </c>
      <c r="J358" s="26">
        <f t="shared" si="84"/>
        <v>-99746</v>
      </c>
      <c r="K358" s="27">
        <f t="shared" si="85"/>
        <v>3.8458333333328483</v>
      </c>
      <c r="L358" s="27">
        <f>'[119]STAR MARILENA'!$J$80</f>
        <v>1.9979166666926176</v>
      </c>
      <c r="M358" s="434">
        <f t="shared" si="86"/>
        <v>19432.979414953697</v>
      </c>
      <c r="N358" s="434">
        <f t="shared" si="87"/>
        <v>37406.965588669489</v>
      </c>
      <c r="O358" s="434">
        <v>25000</v>
      </c>
      <c r="P358" s="69">
        <f>((171361)/10000)*8.7</f>
        <v>149.08406999999997</v>
      </c>
      <c r="Q358" s="69">
        <f>((156940)/10000)*8.7</f>
        <v>136.5378</v>
      </c>
      <c r="R358" s="69">
        <f t="shared" si="88"/>
        <v>12.546269999999964</v>
      </c>
      <c r="S358" s="435">
        <f t="shared" si="89"/>
        <v>0.19295921644187486</v>
      </c>
      <c r="T358" s="435">
        <f t="shared" si="90"/>
        <v>0.19749943329933073</v>
      </c>
      <c r="U358" s="69"/>
      <c r="V358" s="436"/>
      <c r="W358" s="437"/>
      <c r="X358" s="33"/>
      <c r="Y358" s="33"/>
      <c r="Z358" s="33"/>
      <c r="AA358" s="33"/>
      <c r="AB358" s="438"/>
    </row>
    <row r="359" spans="1:28" x14ac:dyDescent="0.3">
      <c r="A359" s="146">
        <v>44330.925000000003</v>
      </c>
      <c r="B359" s="146">
        <v>44338.362500000003</v>
      </c>
      <c r="C359" s="23"/>
      <c r="D359" s="23"/>
      <c r="E359" s="35" t="s">
        <v>825</v>
      </c>
      <c r="F359" s="25" t="s">
        <v>91</v>
      </c>
      <c r="G359" s="433">
        <v>81014</v>
      </c>
      <c r="H359" s="433"/>
      <c r="I359" s="433">
        <v>173700</v>
      </c>
      <c r="J359" s="26">
        <f t="shared" si="84"/>
        <v>-92686</v>
      </c>
      <c r="K359" s="27">
        <f t="shared" si="85"/>
        <v>7.4375</v>
      </c>
      <c r="L359" s="27">
        <f>'[120]ALPHA FAITH'!$J$71</f>
        <v>2.3104166666780657</v>
      </c>
      <c r="M359" s="434">
        <f t="shared" si="86"/>
        <v>10892.638655462184</v>
      </c>
      <c r="N359" s="434">
        <f t="shared" si="87"/>
        <v>35064.67087448886</v>
      </c>
      <c r="O359" s="434">
        <v>25000</v>
      </c>
      <c r="P359" s="69">
        <f>((156458)/10000)*8.7</f>
        <v>136.11845999999997</v>
      </c>
      <c r="Q359" s="69">
        <f>((136360)/10000)*8.7</f>
        <v>118.63319999999999</v>
      </c>
      <c r="R359" s="69">
        <f t="shared" si="88"/>
        <v>17.485259999999982</v>
      </c>
      <c r="S359" s="435">
        <f t="shared" si="89"/>
        <v>0.24808057866541564</v>
      </c>
      <c r="T359" s="435">
        <f t="shared" si="90"/>
        <v>0.25391776875166067</v>
      </c>
      <c r="U359" s="69"/>
      <c r="V359" s="436"/>
      <c r="W359" s="437"/>
      <c r="X359" s="33"/>
      <c r="Y359" s="33"/>
      <c r="Z359" s="33"/>
      <c r="AA359" s="33"/>
      <c r="AB359" s="438"/>
    </row>
    <row r="360" spans="1:28" x14ac:dyDescent="0.3">
      <c r="A360" s="146">
        <v>44338.958333333336</v>
      </c>
      <c r="B360" s="146">
        <v>44343.145833333336</v>
      </c>
      <c r="C360" s="23"/>
      <c r="D360" s="23"/>
      <c r="E360" s="35" t="s">
        <v>826</v>
      </c>
      <c r="F360" s="25" t="s">
        <v>91</v>
      </c>
      <c r="G360" s="433">
        <v>89899</v>
      </c>
      <c r="H360" s="433"/>
      <c r="I360" s="433">
        <v>176877</v>
      </c>
      <c r="J360" s="26">
        <f t="shared" si="84"/>
        <v>-86978</v>
      </c>
      <c r="K360" s="27">
        <f t="shared" si="85"/>
        <v>4.1875</v>
      </c>
      <c r="L360" s="27">
        <f>[120]MARIJEANNIE!$J$73</f>
        <v>2.5458333333444898</v>
      </c>
      <c r="M360" s="434">
        <f t="shared" si="86"/>
        <v>21468.417910447763</v>
      </c>
      <c r="N360" s="434">
        <f t="shared" si="87"/>
        <v>35312.20949248028</v>
      </c>
      <c r="O360" s="434">
        <v>25000</v>
      </c>
      <c r="P360" s="69">
        <f>((135664)/10000)*8.7</f>
        <v>118.02767999999999</v>
      </c>
      <c r="Q360" s="69">
        <f>((119830)/10000)*8.7</f>
        <v>104.2521</v>
      </c>
      <c r="R360" s="69">
        <f t="shared" si="88"/>
        <v>13.775579999999991</v>
      </c>
      <c r="S360" s="435">
        <f t="shared" si="89"/>
        <v>0.17613099144595593</v>
      </c>
      <c r="T360" s="435">
        <f t="shared" si="90"/>
        <v>0.18027525006821371</v>
      </c>
      <c r="U360" s="435"/>
      <c r="V360" s="436"/>
      <c r="W360" s="437"/>
      <c r="X360" s="33"/>
      <c r="Y360" s="33"/>
      <c r="Z360" s="33"/>
      <c r="AA360" s="33"/>
      <c r="AB360" s="438"/>
    </row>
    <row r="361" spans="1:28" x14ac:dyDescent="0.3">
      <c r="A361" s="146">
        <v>44343.708333333336</v>
      </c>
      <c r="B361" s="146">
        <v>44347.833333333336</v>
      </c>
      <c r="C361" s="23"/>
      <c r="D361" s="23"/>
      <c r="E361" s="35" t="s">
        <v>827</v>
      </c>
      <c r="F361" s="25" t="s">
        <v>91</v>
      </c>
      <c r="G361" s="433">
        <v>100901</v>
      </c>
      <c r="H361" s="433"/>
      <c r="I361" s="433">
        <v>164600</v>
      </c>
      <c r="J361" s="26">
        <f>G361-I361</f>
        <v>-63699</v>
      </c>
      <c r="K361" s="27">
        <f t="shared" si="85"/>
        <v>4.125</v>
      </c>
      <c r="L361" s="27">
        <f>'[120]BERGE BROAD PEAK'!$J$104</f>
        <v>2.8375000000160071</v>
      </c>
      <c r="M361" s="434">
        <f t="shared" si="86"/>
        <v>24460.848484848484</v>
      </c>
      <c r="N361" s="434">
        <f t="shared" si="87"/>
        <v>35559.823788345653</v>
      </c>
      <c r="O361" s="434">
        <v>25000</v>
      </c>
      <c r="P361" s="69">
        <f>((118914)/10000)*8.7</f>
        <v>103.45518</v>
      </c>
      <c r="Q361" s="69">
        <f>((100760)/10000)*8.7</f>
        <v>87.661199999999994</v>
      </c>
      <c r="R361" s="69">
        <f t="shared" si="88"/>
        <v>15.793980000000005</v>
      </c>
      <c r="S361" s="435">
        <f t="shared" si="89"/>
        <v>0.17991893043676482</v>
      </c>
      <c r="T361" s="435">
        <f t="shared" si="90"/>
        <v>0.1841523170352769</v>
      </c>
      <c r="U361" s="435"/>
      <c r="V361" s="436"/>
      <c r="W361" s="437"/>
      <c r="X361" s="33"/>
      <c r="Y361" s="33"/>
      <c r="Z361" s="33"/>
      <c r="AA361" s="33"/>
      <c r="AB361" s="438"/>
    </row>
    <row r="362" spans="1:28" x14ac:dyDescent="0.3">
      <c r="A362" s="439"/>
      <c r="B362" s="439"/>
      <c r="C362" s="23"/>
      <c r="D362" s="23"/>
      <c r="E362" s="35"/>
      <c r="F362" s="25"/>
      <c r="G362" s="433"/>
      <c r="H362" s="433"/>
      <c r="I362" s="433"/>
      <c r="J362" s="26"/>
      <c r="K362" s="27"/>
      <c r="L362" s="27"/>
      <c r="M362" s="434"/>
      <c r="N362" s="434"/>
      <c r="O362" s="434"/>
      <c r="P362" s="69"/>
      <c r="Q362" s="69"/>
      <c r="R362" s="69"/>
      <c r="S362" s="435"/>
      <c r="T362" s="435"/>
      <c r="U362" s="435"/>
      <c r="V362" s="436"/>
      <c r="W362" s="437"/>
      <c r="X362" s="33"/>
      <c r="Y362" s="33"/>
      <c r="Z362" s="33"/>
      <c r="AA362" s="33"/>
      <c r="AB362" s="438"/>
    </row>
    <row r="363" spans="1:28" x14ac:dyDescent="0.3">
      <c r="A363" s="20"/>
      <c r="B363" s="20"/>
      <c r="C363" s="20">
        <v>1000000001</v>
      </c>
      <c r="D363" s="20"/>
      <c r="E363" s="21" t="s">
        <v>52</v>
      </c>
      <c r="F363" s="21"/>
      <c r="G363" s="431">
        <f>SUM(G355:G362)</f>
        <v>510740</v>
      </c>
      <c r="H363" s="431"/>
      <c r="I363" s="431"/>
      <c r="J363" s="431"/>
      <c r="K363" s="431"/>
      <c r="L363" s="431"/>
      <c r="M363" s="431">
        <f>AVERAGE(M356:M361)</f>
        <v>19291.491887699558</v>
      </c>
      <c r="N363" s="431">
        <f>AVERAGE(N356:N362)</f>
        <v>36089.184026654977</v>
      </c>
      <c r="O363" s="431"/>
      <c r="P363" s="431"/>
      <c r="Q363" s="431"/>
      <c r="R363" s="440">
        <f>SUM(R355:R362)</f>
        <v>87.242729999999938</v>
      </c>
      <c r="S363" s="441">
        <f>R363/8.7*10000/G363</f>
        <v>0.19634060382973714</v>
      </c>
      <c r="T363" s="440"/>
      <c r="U363" s="440"/>
      <c r="V363" s="442"/>
      <c r="W363" s="22"/>
      <c r="X363" s="22"/>
      <c r="Y363" s="432">
        <v>360000</v>
      </c>
      <c r="Z363" s="432"/>
      <c r="AA363" s="432"/>
      <c r="AB363" s="432"/>
    </row>
    <row r="364" spans="1:28" x14ac:dyDescent="0.3">
      <c r="A364" s="146"/>
      <c r="B364" s="146"/>
      <c r="C364" s="23"/>
      <c r="D364" s="14"/>
      <c r="E364" s="35"/>
      <c r="F364" s="25"/>
      <c r="G364" s="433"/>
      <c r="H364" s="433"/>
      <c r="I364" s="433"/>
      <c r="J364" s="26"/>
      <c r="K364" s="27"/>
      <c r="L364" s="27"/>
      <c r="M364" s="434"/>
      <c r="N364" s="434"/>
      <c r="O364" s="434"/>
      <c r="P364" s="69"/>
      <c r="Q364" s="69"/>
      <c r="R364" s="69"/>
      <c r="S364" s="435"/>
      <c r="T364" s="435"/>
      <c r="U364" s="435"/>
      <c r="V364" s="436"/>
      <c r="W364" s="437"/>
      <c r="X364" s="33"/>
      <c r="Y364" s="33"/>
      <c r="Z364" s="33"/>
      <c r="AA364" s="33"/>
      <c r="AB364" s="438"/>
    </row>
    <row r="365" spans="1:28" x14ac:dyDescent="0.3">
      <c r="A365" s="146">
        <v>44350.791666666664</v>
      </c>
      <c r="B365" s="146">
        <v>44353.470833333333</v>
      </c>
      <c r="C365" s="24"/>
      <c r="D365" s="24"/>
      <c r="E365" s="24" t="s">
        <v>828</v>
      </c>
      <c r="F365" s="25" t="s">
        <v>91</v>
      </c>
      <c r="G365" s="433">
        <v>56870</v>
      </c>
      <c r="H365" s="433"/>
      <c r="I365" s="433">
        <v>168045</v>
      </c>
      <c r="J365" s="26">
        <f>G365-I365</f>
        <v>-111175</v>
      </c>
      <c r="K365" s="27">
        <f t="shared" ref="K365:K369" si="91">B365-A365</f>
        <v>2.6791666666686069</v>
      </c>
      <c r="L365" s="27">
        <f>'[121]XIN MAY'!$J$82</f>
        <v>1.5375000000203727</v>
      </c>
      <c r="M365" s="434">
        <f t="shared" ref="M365:M369" si="92">(G365)/K365</f>
        <v>21226.749611182138</v>
      </c>
      <c r="N365" s="434">
        <f t="shared" ref="N365:N369" si="93">G365/L365</f>
        <v>36988.617885688742</v>
      </c>
      <c r="O365" s="434">
        <v>25000</v>
      </c>
      <c r="P365" s="69">
        <f>((97105)/10000)*8.7</f>
        <v>84.481349999999992</v>
      </c>
      <c r="Q365" s="69">
        <f>((86475)/10000)*8.7</f>
        <v>75.233249999999998</v>
      </c>
      <c r="R365" s="69">
        <f t="shared" ref="R365:R369" si="94">P365-Q365</f>
        <v>9.2480999999999938</v>
      </c>
      <c r="S365" s="435">
        <f t="shared" ref="S365:S369" si="95">R365/8.7*10000/(G365)</f>
        <v>0.18691753121153495</v>
      </c>
      <c r="T365" s="435">
        <f t="shared" ref="T365:T369" si="96">R365/8.5*10000/(G365)</f>
        <v>0.19131559076945343</v>
      </c>
      <c r="U365" s="435"/>
      <c r="V365" s="436"/>
      <c r="W365" s="32"/>
      <c r="X365" s="33"/>
      <c r="Y365" s="33"/>
      <c r="Z365" s="33"/>
      <c r="AA365" s="33"/>
      <c r="AB365" s="438"/>
    </row>
    <row r="366" spans="1:28" x14ac:dyDescent="0.3">
      <c r="A366" s="176">
        <v>44353.925000000003</v>
      </c>
      <c r="B366" s="176">
        <v>44358.441666666666</v>
      </c>
      <c r="C366" s="23"/>
      <c r="D366" s="23"/>
      <c r="E366" s="35" t="s">
        <v>829</v>
      </c>
      <c r="F366" s="25" t="s">
        <v>91</v>
      </c>
      <c r="G366" s="433">
        <v>88569</v>
      </c>
      <c r="H366" s="433"/>
      <c r="I366" s="433">
        <v>175350</v>
      </c>
      <c r="J366" s="26">
        <f>G366-I366</f>
        <v>-86781</v>
      </c>
      <c r="K366" s="27">
        <f t="shared" si="91"/>
        <v>4.5166666666627862</v>
      </c>
      <c r="L366" s="27">
        <f>[121]PONTOTRITON!$J$142</f>
        <v>2.0062499999767169</v>
      </c>
      <c r="M366" s="434">
        <f t="shared" si="92"/>
        <v>19609.372693743786</v>
      </c>
      <c r="N366" s="434">
        <f t="shared" si="93"/>
        <v>44146.542056587095</v>
      </c>
      <c r="O366" s="434">
        <v>25000</v>
      </c>
      <c r="P366" s="69">
        <f>((85908)/10000)*8.7</f>
        <v>74.739959999999996</v>
      </c>
      <c r="Q366" s="69">
        <f>((58199+10000)/10000)*8.7</f>
        <v>59.33312999999999</v>
      </c>
      <c r="R366" s="69">
        <f t="shared" si="94"/>
        <v>15.406830000000006</v>
      </c>
      <c r="S366" s="435">
        <f t="shared" si="95"/>
        <v>0.19994580496562012</v>
      </c>
      <c r="T366" s="435">
        <f t="shared" si="96"/>
        <v>0.20465041214128177</v>
      </c>
      <c r="U366" s="435"/>
      <c r="V366" s="436"/>
      <c r="W366" s="32"/>
      <c r="X366" s="33"/>
      <c r="Y366" s="33"/>
      <c r="Z366" s="33"/>
      <c r="AA366" s="33"/>
      <c r="AB366" s="438"/>
    </row>
    <row r="367" spans="1:28" x14ac:dyDescent="0.3">
      <c r="A367" s="176">
        <v>44358.7</v>
      </c>
      <c r="B367" s="176">
        <v>44362.791666666664</v>
      </c>
      <c r="C367" s="23"/>
      <c r="D367" s="23"/>
      <c r="E367" s="35" t="s">
        <v>830</v>
      </c>
      <c r="F367" s="25" t="s">
        <v>91</v>
      </c>
      <c r="G367" s="433">
        <v>79075</v>
      </c>
      <c r="H367" s="433"/>
      <c r="I367" s="433">
        <v>172032</v>
      </c>
      <c r="J367" s="26">
        <f>G367-I367</f>
        <v>-92957</v>
      </c>
      <c r="K367" s="27">
        <f t="shared" si="91"/>
        <v>4.0916666666671517</v>
      </c>
      <c r="L367" s="27">
        <f>'[121]CAPE ASTER'!$J$157</f>
        <v>2.5500000000138243</v>
      </c>
      <c r="M367" s="434">
        <f t="shared" si="92"/>
        <v>19325.865580445774</v>
      </c>
      <c r="N367" s="434">
        <f t="shared" si="93"/>
        <v>31009.803921400515</v>
      </c>
      <c r="O367" s="434">
        <v>25000</v>
      </c>
      <c r="P367" s="69">
        <f>((57839)/10000)*8.7</f>
        <v>50.319929999999999</v>
      </c>
      <c r="Q367" s="69">
        <f>((40595)/10000)*8.7</f>
        <v>35.317649999999993</v>
      </c>
      <c r="R367" s="69">
        <f t="shared" si="94"/>
        <v>15.002280000000006</v>
      </c>
      <c r="S367" s="435">
        <f t="shared" si="95"/>
        <v>0.21807145115396784</v>
      </c>
      <c r="T367" s="435">
        <f t="shared" si="96"/>
        <v>0.22320254412229648</v>
      </c>
      <c r="U367" s="435"/>
      <c r="V367" s="436"/>
      <c r="W367" s="32"/>
      <c r="X367" s="33"/>
      <c r="Y367" s="33"/>
      <c r="Z367" s="33"/>
      <c r="AA367" s="33"/>
      <c r="AB367" s="438"/>
    </row>
    <row r="368" spans="1:28" x14ac:dyDescent="0.3">
      <c r="A368" s="176">
        <v>44364.724999999999</v>
      </c>
      <c r="B368" s="176">
        <v>44369.341666666667</v>
      </c>
      <c r="C368" s="23"/>
      <c r="D368" s="23"/>
      <c r="E368" s="35" t="s">
        <v>558</v>
      </c>
      <c r="F368" s="25" t="s">
        <v>91</v>
      </c>
      <c r="G368" s="433">
        <v>93208</v>
      </c>
      <c r="H368" s="433"/>
      <c r="I368" s="433">
        <v>165360</v>
      </c>
      <c r="J368" s="26">
        <f>G368-I368</f>
        <v>-72152</v>
      </c>
      <c r="K368" s="27">
        <f t="shared" si="91"/>
        <v>4.6166666666686069</v>
      </c>
      <c r="L368" s="27">
        <f>'[121]BERGE APO'!$J$131</f>
        <v>2.7750000000451109</v>
      </c>
      <c r="M368" s="434">
        <f t="shared" si="92"/>
        <v>20189.458483746028</v>
      </c>
      <c r="N368" s="434">
        <f t="shared" si="93"/>
        <v>33588.468467922445</v>
      </c>
      <c r="O368" s="434">
        <v>25000</v>
      </c>
      <c r="P368" s="69">
        <f>((188935)/10000)*8.7</f>
        <v>164.37344999999999</v>
      </c>
      <c r="Q368" s="69">
        <f>((169994)/10000)*8.7</f>
        <v>147.89478</v>
      </c>
      <c r="R368" s="69">
        <f t="shared" si="94"/>
        <v>16.478669999999994</v>
      </c>
      <c r="S368" s="435">
        <f t="shared" si="95"/>
        <v>0.20321217062913047</v>
      </c>
      <c r="T368" s="435">
        <f t="shared" si="96"/>
        <v>0.20799363346746297</v>
      </c>
      <c r="U368" s="435"/>
      <c r="V368" s="436"/>
      <c r="W368" s="32"/>
      <c r="X368" s="33"/>
      <c r="Y368" s="33"/>
      <c r="Z368" s="33"/>
      <c r="AA368" s="33"/>
      <c r="AB368" s="438"/>
    </row>
    <row r="369" spans="1:28" x14ac:dyDescent="0.3">
      <c r="A369" s="176">
        <v>44369.8125</v>
      </c>
      <c r="B369" s="176">
        <v>44375.133333333331</v>
      </c>
      <c r="C369" s="23"/>
      <c r="D369" s="23"/>
      <c r="E369" s="35" t="s">
        <v>831</v>
      </c>
      <c r="F369" s="25" t="s">
        <v>91</v>
      </c>
      <c r="G369" s="433">
        <v>84750</v>
      </c>
      <c r="H369" s="433"/>
      <c r="I369" s="433">
        <v>173300</v>
      </c>
      <c r="J369" s="26">
        <f>G369-I369</f>
        <v>-88550</v>
      </c>
      <c r="K369" s="27">
        <f t="shared" si="91"/>
        <v>5.3208333333313931</v>
      </c>
      <c r="L369" s="27">
        <f>'[121]SJ ASIA'!$J$182</f>
        <v>2.5145833333444898</v>
      </c>
      <c r="M369" s="434">
        <f t="shared" si="92"/>
        <v>15927.956147225856</v>
      </c>
      <c r="N369" s="434">
        <f t="shared" si="93"/>
        <v>33703.396851548896</v>
      </c>
      <c r="O369" s="434">
        <v>25000</v>
      </c>
      <c r="P369" s="69">
        <f>((169534)/10000)*8.7</f>
        <v>147.49457999999998</v>
      </c>
      <c r="Q369" s="69">
        <f>((148819)/10000)*8.7</f>
        <v>129.47252999999998</v>
      </c>
      <c r="R369" s="69">
        <f t="shared" si="94"/>
        <v>18.022050000000007</v>
      </c>
      <c r="S369" s="435">
        <f t="shared" si="95"/>
        <v>0.24442477876106203</v>
      </c>
      <c r="T369" s="435">
        <f t="shared" si="96"/>
        <v>0.25017595002602822</v>
      </c>
      <c r="U369" s="435"/>
      <c r="V369" s="436"/>
      <c r="W369" s="32"/>
      <c r="X369" s="33"/>
      <c r="Y369" s="33"/>
      <c r="Z369" s="33"/>
      <c r="AA369" s="33"/>
      <c r="AB369" s="438"/>
    </row>
    <row r="370" spans="1:28" x14ac:dyDescent="0.3">
      <c r="A370" s="439"/>
      <c r="B370" s="439"/>
      <c r="C370" s="23"/>
      <c r="D370" s="23"/>
      <c r="E370" s="35"/>
      <c r="F370" s="25"/>
      <c r="G370" s="433"/>
      <c r="H370" s="433"/>
      <c r="I370" s="433"/>
      <c r="J370" s="26"/>
      <c r="K370" s="27"/>
      <c r="L370" s="27"/>
      <c r="M370" s="434"/>
      <c r="N370" s="434"/>
      <c r="O370" s="434"/>
      <c r="P370" s="69"/>
      <c r="Q370" s="69"/>
      <c r="R370" s="69"/>
      <c r="S370" s="435"/>
      <c r="T370" s="435"/>
      <c r="U370" s="435"/>
      <c r="V370" s="436"/>
      <c r="W370" s="437"/>
      <c r="X370" s="33"/>
      <c r="Y370" s="33"/>
      <c r="Z370" s="33"/>
      <c r="AA370" s="33"/>
      <c r="AB370" s="438"/>
    </row>
    <row r="371" spans="1:28" x14ac:dyDescent="0.3">
      <c r="A371" s="20"/>
      <c r="B371" s="20"/>
      <c r="C371" s="20">
        <v>1000000001</v>
      </c>
      <c r="D371" s="20"/>
      <c r="E371" s="21" t="s">
        <v>60</v>
      </c>
      <c r="F371" s="21"/>
      <c r="G371" s="431">
        <f>SUM(G364:G370)</f>
        <v>402472</v>
      </c>
      <c r="H371" s="431"/>
      <c r="I371" s="431"/>
      <c r="J371" s="431"/>
      <c r="K371" s="431"/>
      <c r="L371" s="431"/>
      <c r="M371" s="431">
        <f>AVERAGE(M365:M369)</f>
        <v>19255.880503268716</v>
      </c>
      <c r="N371" s="431">
        <f>AVERAGE(N365:N370)</f>
        <v>35887.365836629542</v>
      </c>
      <c r="O371" s="431"/>
      <c r="P371" s="431"/>
      <c r="Q371" s="431"/>
      <c r="R371" s="440">
        <f>SUM(R364:R370)</f>
        <v>74.157930000000007</v>
      </c>
      <c r="S371" s="441">
        <f>R371/8.7*10000/G371</f>
        <v>0.21178864616668988</v>
      </c>
      <c r="T371" s="440"/>
      <c r="U371" s="440"/>
      <c r="V371" s="442"/>
      <c r="W371" s="22"/>
      <c r="X371" s="22"/>
      <c r="Y371" s="432">
        <v>360000</v>
      </c>
      <c r="Z371" s="432"/>
      <c r="AA371" s="432"/>
      <c r="AB371" s="432"/>
    </row>
    <row r="372" spans="1:28" x14ac:dyDescent="0.3">
      <c r="A372" s="146"/>
      <c r="B372" s="146"/>
      <c r="C372" s="23"/>
      <c r="D372" s="14"/>
      <c r="E372" s="35"/>
      <c r="F372" s="25"/>
      <c r="G372" s="433"/>
      <c r="H372" s="433"/>
      <c r="I372" s="433"/>
      <c r="J372" s="26"/>
      <c r="K372" s="27"/>
      <c r="L372" s="27"/>
      <c r="M372" s="434"/>
      <c r="N372" s="434"/>
      <c r="O372" s="434"/>
      <c r="P372" s="69"/>
      <c r="Q372" s="69"/>
      <c r="R372" s="69"/>
      <c r="S372" s="435"/>
      <c r="T372" s="435"/>
      <c r="U372" s="435"/>
      <c r="V372" s="436"/>
      <c r="W372" s="437"/>
      <c r="X372" s="33"/>
      <c r="Y372" s="33"/>
      <c r="Z372" s="33"/>
      <c r="AA372" s="33"/>
      <c r="AB372" s="438"/>
    </row>
    <row r="373" spans="1:28" x14ac:dyDescent="0.3">
      <c r="A373" s="176">
        <v>44379.783333333333</v>
      </c>
      <c r="B373" s="176">
        <v>44385.35</v>
      </c>
      <c r="C373" s="23"/>
      <c r="D373" s="14"/>
      <c r="E373" s="35" t="s">
        <v>832</v>
      </c>
      <c r="F373" s="25" t="s">
        <v>91</v>
      </c>
      <c r="G373" s="433">
        <v>89645</v>
      </c>
      <c r="H373" s="433"/>
      <c r="I373" s="433">
        <v>174100</v>
      </c>
      <c r="J373" s="26">
        <f>G373-I373</f>
        <v>-84455</v>
      </c>
      <c r="K373" s="27">
        <f t="shared" ref="K373:K374" si="97">B373-A373</f>
        <v>5.5666666666656965</v>
      </c>
      <c r="L373" s="27">
        <f>[122]KANARIS!$J$324</f>
        <v>2.6583333333401242</v>
      </c>
      <c r="M373" s="434">
        <f t="shared" ref="M373:M374" si="98">(G373)/K373</f>
        <v>16103.892215571668</v>
      </c>
      <c r="N373" s="434">
        <f t="shared" ref="N373:N374" si="99">G373/L373</f>
        <v>33722.257053205387</v>
      </c>
      <c r="O373" s="434">
        <v>25000</v>
      </c>
      <c r="P373" s="69">
        <f>((142462)/10000)*8.7</f>
        <v>123.94193999999999</v>
      </c>
      <c r="Q373" s="69">
        <f>((119858)/10000)*8.7</f>
        <v>104.27645999999999</v>
      </c>
      <c r="R373" s="69">
        <f t="shared" ref="R373:R374" si="100">P373-Q373</f>
        <v>19.665480000000002</v>
      </c>
      <c r="S373" s="435">
        <f t="shared" ref="S373:S374" si="101">R373/8.7*10000/(G373)</f>
        <v>0.25215014780523182</v>
      </c>
      <c r="T373" s="435">
        <f t="shared" ref="T373:T374" si="102">R373/8.5*10000/(G373)</f>
        <v>0.25808309245947253</v>
      </c>
      <c r="U373" s="435"/>
      <c r="V373" s="436"/>
      <c r="W373" s="437"/>
      <c r="X373" s="33"/>
      <c r="Y373" s="33"/>
      <c r="Z373" s="33"/>
      <c r="AA373" s="33"/>
      <c r="AB373" s="438"/>
    </row>
    <row r="374" spans="1:28" x14ac:dyDescent="0.3">
      <c r="A374" s="176">
        <v>44386.70416666667</v>
      </c>
      <c r="B374" s="176">
        <v>44392.566666666666</v>
      </c>
      <c r="C374" s="23"/>
      <c r="D374" s="14"/>
      <c r="E374" s="35" t="s">
        <v>833</v>
      </c>
      <c r="F374" s="25" t="s">
        <v>91</v>
      </c>
      <c r="G374" s="433">
        <v>71325</v>
      </c>
      <c r="H374" s="433"/>
      <c r="I374" s="433">
        <v>198900</v>
      </c>
      <c r="J374" s="26">
        <f>G374-I374</f>
        <v>-127575</v>
      </c>
      <c r="K374" s="27">
        <f t="shared" si="97"/>
        <v>5.8624999999956344</v>
      </c>
      <c r="L374" s="27">
        <f>'[122]QI MING STAR'!$J$307</f>
        <v>2.2972222222051641</v>
      </c>
      <c r="M374" s="434">
        <f t="shared" si="98"/>
        <v>12166.311300648718</v>
      </c>
      <c r="N374" s="434">
        <f t="shared" si="99"/>
        <v>31048.367593942763</v>
      </c>
      <c r="O374" s="434">
        <v>25000</v>
      </c>
      <c r="P374" s="69">
        <f>((117438)/10000)*8.7</f>
        <v>102.17106</v>
      </c>
      <c r="Q374" s="69">
        <f>((96349)/10000)*8.7</f>
        <v>83.823629999999994</v>
      </c>
      <c r="R374" s="69">
        <f t="shared" si="100"/>
        <v>18.347430000000003</v>
      </c>
      <c r="S374" s="435">
        <f t="shared" si="101"/>
        <v>0.29567472835611647</v>
      </c>
      <c r="T374" s="435">
        <f t="shared" si="102"/>
        <v>0.30263178078802505</v>
      </c>
      <c r="U374" s="435"/>
      <c r="V374" s="436"/>
      <c r="W374" s="437"/>
      <c r="X374" s="33"/>
      <c r="Y374" s="33"/>
      <c r="Z374" s="33"/>
      <c r="AA374" s="33"/>
      <c r="AB374" s="438"/>
    </row>
    <row r="375" spans="1:28" x14ac:dyDescent="0.3">
      <c r="A375" s="439" t="s">
        <v>536</v>
      </c>
      <c r="B375" s="439"/>
      <c r="C375" s="23"/>
      <c r="D375" s="23"/>
      <c r="E375" s="35"/>
      <c r="F375" s="25"/>
      <c r="G375" s="433"/>
      <c r="H375" s="433"/>
      <c r="I375" s="433"/>
      <c r="J375" s="26"/>
      <c r="K375" s="27"/>
      <c r="L375" s="27"/>
      <c r="M375" s="434"/>
      <c r="N375" s="434"/>
      <c r="O375" s="434"/>
      <c r="P375" s="69"/>
      <c r="Q375" s="69"/>
      <c r="R375" s="69"/>
      <c r="S375" s="435"/>
      <c r="T375" s="435"/>
      <c r="U375" s="435"/>
      <c r="V375" s="436"/>
      <c r="W375" s="437"/>
      <c r="X375" s="33"/>
      <c r="Y375" s="33"/>
      <c r="Z375" s="33"/>
      <c r="AA375" s="33"/>
      <c r="AB375" s="438"/>
    </row>
    <row r="376" spans="1:28" x14ac:dyDescent="0.3">
      <c r="A376" s="20"/>
      <c r="B376" s="20"/>
      <c r="C376" s="20">
        <v>1000000001</v>
      </c>
      <c r="D376" s="20"/>
      <c r="E376" s="21" t="s">
        <v>67</v>
      </c>
      <c r="F376" s="21"/>
      <c r="G376" s="431">
        <f>SUM(G372:G375)</f>
        <v>160970</v>
      </c>
      <c r="H376" s="431"/>
      <c r="I376" s="431"/>
      <c r="J376" s="431"/>
      <c r="K376" s="431"/>
      <c r="L376" s="431"/>
      <c r="M376" s="431">
        <f>AVERAGE(M372:M374)</f>
        <v>14135.101758110193</v>
      </c>
      <c r="N376" s="431">
        <f>AVERAGE(N372:N374)</f>
        <v>32385.312323574075</v>
      </c>
      <c r="O376" s="431"/>
      <c r="P376" s="431"/>
      <c r="Q376" s="431"/>
      <c r="R376" s="440">
        <f>SUM(R372:R375)</f>
        <v>38.012910000000005</v>
      </c>
      <c r="S376" s="441">
        <f>R376/8.7*10000/G376</f>
        <v>0.27143567124308882</v>
      </c>
      <c r="T376" s="440"/>
      <c r="U376" s="440"/>
      <c r="V376" s="442"/>
      <c r="W376" s="22"/>
      <c r="X376" s="22"/>
      <c r="Y376" s="432">
        <v>360000</v>
      </c>
      <c r="Z376" s="432"/>
      <c r="AA376" s="432"/>
      <c r="AB376" s="432"/>
    </row>
    <row r="377" spans="1:28" x14ac:dyDescent="0.3">
      <c r="A377" s="146"/>
      <c r="B377" s="146"/>
      <c r="C377" s="23"/>
      <c r="D377" s="14"/>
      <c r="E377" s="35"/>
      <c r="F377" s="25"/>
      <c r="G377" s="433"/>
      <c r="H377" s="433"/>
      <c r="I377" s="433"/>
      <c r="J377" s="26"/>
      <c r="K377" s="27"/>
      <c r="L377" s="27"/>
      <c r="M377" s="434"/>
      <c r="N377" s="434"/>
      <c r="O377" s="434"/>
      <c r="P377" s="69"/>
      <c r="Q377" s="69"/>
      <c r="R377" s="69"/>
      <c r="S377" s="435"/>
      <c r="T377" s="435"/>
      <c r="U377" s="435"/>
      <c r="V377" s="436"/>
      <c r="W377" s="437"/>
      <c r="X377" s="33"/>
      <c r="Y377" s="33"/>
      <c r="Z377" s="33"/>
      <c r="AA377" s="33"/>
      <c r="AB377" s="438"/>
    </row>
    <row r="378" spans="1:28" x14ac:dyDescent="0.3">
      <c r="A378" s="176">
        <v>44411.854166666664</v>
      </c>
      <c r="B378" s="176">
        <v>44413.654166666667</v>
      </c>
      <c r="C378" s="23"/>
      <c r="D378" s="14"/>
      <c r="E378" s="35" t="s">
        <v>834</v>
      </c>
      <c r="F378" s="25" t="s">
        <v>91</v>
      </c>
      <c r="G378" s="433">
        <v>10460</v>
      </c>
      <c r="H378" s="433"/>
      <c r="I378" s="433">
        <v>178050</v>
      </c>
      <c r="J378" s="26">
        <f>G378-I378</f>
        <v>-167590</v>
      </c>
      <c r="K378" s="27">
        <f t="shared" ref="K378:K382" si="103">B378-A378</f>
        <v>1.8000000000029104</v>
      </c>
      <c r="L378" s="27">
        <f>'[123]Cape Ride'!$J$75</f>
        <v>0.75416666666569654</v>
      </c>
      <c r="M378" s="434">
        <f t="shared" ref="M378:M382" si="104">(G378)/K378</f>
        <v>5811.1111111017153</v>
      </c>
      <c r="N378" s="434">
        <f t="shared" ref="N378:N382" si="105">G378/L378</f>
        <v>13869.61325968635</v>
      </c>
      <c r="O378" s="434">
        <v>25000</v>
      </c>
      <c r="P378" s="69">
        <f>((71202)/10000)*8.7</f>
        <v>61.945739999999994</v>
      </c>
      <c r="Q378" s="69">
        <f>((65532)/10000)*8.7</f>
        <v>57.012839999999997</v>
      </c>
      <c r="R378" s="69">
        <f t="shared" ref="R378:R382" si="106">P378-Q378</f>
        <v>4.9328999999999965</v>
      </c>
      <c r="S378" s="435">
        <f t="shared" ref="S378:S382" si="107">R378/8.7*10000/(G378)</f>
        <v>0.54206500956022907</v>
      </c>
      <c r="T378" s="435">
        <f t="shared" ref="T378:T382" si="108">R378/8.5*10000/(G378)</f>
        <v>0.55481948037341089</v>
      </c>
      <c r="U378" s="435"/>
      <c r="V378" s="436"/>
      <c r="W378" s="437"/>
      <c r="X378" s="33"/>
      <c r="Y378" s="33"/>
      <c r="Z378" s="33"/>
      <c r="AA378" s="33"/>
      <c r="AB378" s="438"/>
    </row>
    <row r="379" spans="1:28" x14ac:dyDescent="0.3">
      <c r="A379" s="176">
        <v>44417.845833333333</v>
      </c>
      <c r="B379" s="176">
        <v>44418.8125</v>
      </c>
      <c r="C379" s="23"/>
      <c r="D379" s="14"/>
      <c r="E379" s="35" t="s">
        <v>835</v>
      </c>
      <c r="F379" s="25" t="s">
        <v>91</v>
      </c>
      <c r="G379" s="433">
        <v>10395</v>
      </c>
      <c r="H379" s="433"/>
      <c r="I379" s="433">
        <v>178050</v>
      </c>
      <c r="J379" s="26">
        <f>G379-I379</f>
        <v>-167655</v>
      </c>
      <c r="K379" s="27">
        <f t="shared" si="103"/>
        <v>0.96666666666715173</v>
      </c>
      <c r="L379" s="27">
        <f>'[123]Cape Ride (2)'!$J$88</f>
        <v>0.34583333332921029</v>
      </c>
      <c r="M379" s="434">
        <f t="shared" si="104"/>
        <v>10753.448275856674</v>
      </c>
      <c r="N379" s="434">
        <f t="shared" si="105"/>
        <v>30057.831325659557</v>
      </c>
      <c r="O379" s="434">
        <v>25000</v>
      </c>
      <c r="P379" s="69">
        <f>((59872)/10000)*8.7</f>
        <v>52.088639999999991</v>
      </c>
      <c r="Q379" s="69">
        <f>((55972)/10000)*8.7</f>
        <v>48.695639999999997</v>
      </c>
      <c r="R379" s="69">
        <f t="shared" si="106"/>
        <v>3.3929999999999936</v>
      </c>
      <c r="S379" s="435">
        <f t="shared" si="107"/>
        <v>0.3751803751803745</v>
      </c>
      <c r="T379" s="435">
        <f t="shared" si="108"/>
        <v>0.38400814871403033</v>
      </c>
      <c r="U379" s="435"/>
      <c r="V379" s="436"/>
      <c r="W379" s="437"/>
      <c r="X379" s="33"/>
      <c r="Y379" s="33"/>
      <c r="Z379" s="33"/>
      <c r="AA379" s="33"/>
      <c r="AB379" s="438"/>
    </row>
    <row r="380" spans="1:28" x14ac:dyDescent="0.3">
      <c r="A380" s="176">
        <v>44421.616666666669</v>
      </c>
      <c r="B380" s="176">
        <v>44424.320833333331</v>
      </c>
      <c r="C380" s="23"/>
      <c r="D380" s="14"/>
      <c r="E380" s="35" t="s">
        <v>836</v>
      </c>
      <c r="F380" s="25" t="s">
        <v>91</v>
      </c>
      <c r="G380" s="433">
        <v>25172</v>
      </c>
      <c r="H380" s="433"/>
      <c r="I380" s="433">
        <v>178050</v>
      </c>
      <c r="J380" s="26">
        <f>G380-I380</f>
        <v>-152878</v>
      </c>
      <c r="K380" s="27">
        <f t="shared" si="103"/>
        <v>2.7041666666627862</v>
      </c>
      <c r="L380" s="27">
        <f>'[123]Cape Ride (3)'!$J$84</f>
        <v>0.61041666665187222</v>
      </c>
      <c r="M380" s="434">
        <f t="shared" si="104"/>
        <v>9308.5978428484887</v>
      </c>
      <c r="N380" s="434">
        <f t="shared" si="105"/>
        <v>41237.406144344168</v>
      </c>
      <c r="O380" s="434">
        <v>25000</v>
      </c>
      <c r="P380" s="69">
        <f>((53302)/10000)*8.7</f>
        <v>46.372739999999993</v>
      </c>
      <c r="Q380" s="69">
        <f>((92210-47955)/10000)*8.7</f>
        <v>38.501849999999997</v>
      </c>
      <c r="R380" s="69">
        <f t="shared" si="106"/>
        <v>7.8708899999999957</v>
      </c>
      <c r="S380" s="435">
        <f t="shared" si="107"/>
        <v>0.35940727792785621</v>
      </c>
      <c r="T380" s="435">
        <f t="shared" si="108"/>
        <v>0.36786391976145277</v>
      </c>
      <c r="U380" s="435"/>
      <c r="V380" s="436"/>
      <c r="W380" s="437"/>
      <c r="X380" s="33"/>
      <c r="Y380" s="33"/>
      <c r="Z380" s="33"/>
      <c r="AA380" s="33"/>
      <c r="AB380" s="438"/>
    </row>
    <row r="381" spans="1:28" x14ac:dyDescent="0.3">
      <c r="A381" s="176">
        <v>44428.5625</v>
      </c>
      <c r="B381" s="176">
        <v>44428.7</v>
      </c>
      <c r="C381" s="23"/>
      <c r="D381" s="14"/>
      <c r="E381" s="35" t="s">
        <v>837</v>
      </c>
      <c r="F381" s="25" t="s">
        <v>91</v>
      </c>
      <c r="G381" s="433">
        <v>1200</v>
      </c>
      <c r="H381" s="433"/>
      <c r="I381" s="433">
        <v>178050</v>
      </c>
      <c r="J381" s="26">
        <f>G381-I381</f>
        <v>-176850</v>
      </c>
      <c r="K381" s="27">
        <f t="shared" si="103"/>
        <v>0.13749999999708962</v>
      </c>
      <c r="L381" s="27">
        <f>'[123]Cape Ride (4)'!$J$45</f>
        <v>4.1666666664241347E-2</v>
      </c>
      <c r="M381" s="434">
        <f t="shared" si="104"/>
        <v>8727.2727274574518</v>
      </c>
      <c r="N381" s="434">
        <f t="shared" si="105"/>
        <v>28800.000001676381</v>
      </c>
      <c r="O381" s="434">
        <v>25000</v>
      </c>
      <c r="P381" s="69">
        <f>((86795)/10000)*8.7</f>
        <v>75.511650000000003</v>
      </c>
      <c r="Q381" s="69">
        <f>((86085)/10000)*8.7</f>
        <v>74.89394999999999</v>
      </c>
      <c r="R381" s="69">
        <f t="shared" si="106"/>
        <v>0.61770000000001346</v>
      </c>
      <c r="S381" s="435">
        <f t="shared" si="107"/>
        <v>0.59166666666667955</v>
      </c>
      <c r="T381" s="435">
        <f t="shared" si="108"/>
        <v>0.60558823529413097</v>
      </c>
      <c r="U381" s="435"/>
      <c r="V381" s="436"/>
      <c r="W381" s="437"/>
      <c r="X381" s="33"/>
      <c r="Y381" s="33"/>
      <c r="Z381" s="33"/>
      <c r="AA381" s="33"/>
      <c r="AB381" s="438"/>
    </row>
    <row r="382" spans="1:28" x14ac:dyDescent="0.3">
      <c r="A382" s="176">
        <v>44433.133333333331</v>
      </c>
      <c r="B382" s="176">
        <v>44434.966666666667</v>
      </c>
      <c r="C382" s="23"/>
      <c r="D382" s="14"/>
      <c r="E382" s="35" t="s">
        <v>392</v>
      </c>
      <c r="F382" s="25" t="s">
        <v>91</v>
      </c>
      <c r="G382" s="433">
        <v>16932</v>
      </c>
      <c r="H382" s="433"/>
      <c r="I382" s="433">
        <v>169034</v>
      </c>
      <c r="J382" s="26">
        <f>G382-I382</f>
        <v>-152102</v>
      </c>
      <c r="K382" s="27">
        <f t="shared" si="103"/>
        <v>1.8333333333357587</v>
      </c>
      <c r="L382" s="27">
        <f>'[123]Berge Aoraki'!$J$211</f>
        <v>0.66250000002037268</v>
      </c>
      <c r="M382" s="434">
        <f t="shared" si="104"/>
        <v>9235.6363636241458</v>
      </c>
      <c r="N382" s="434">
        <f t="shared" si="105"/>
        <v>25557.735848270673</v>
      </c>
      <c r="O382" s="434">
        <v>25000</v>
      </c>
      <c r="P382" s="69">
        <f>((80195)/10000)*8.7</f>
        <v>69.769649999999999</v>
      </c>
      <c r="Q382" s="69">
        <f>((74060)/10000)*8.7</f>
        <v>64.432199999999995</v>
      </c>
      <c r="R382" s="69">
        <f t="shared" si="106"/>
        <v>5.337450000000004</v>
      </c>
      <c r="S382" s="435">
        <f t="shared" si="107"/>
        <v>0.362331679659816</v>
      </c>
      <c r="T382" s="435">
        <f t="shared" si="108"/>
        <v>0.37085713094592931</v>
      </c>
      <c r="U382" s="435"/>
      <c r="V382" s="436"/>
      <c r="W382" s="437"/>
      <c r="X382" s="33"/>
      <c r="Y382" s="33"/>
      <c r="Z382" s="33"/>
      <c r="AA382" s="33"/>
      <c r="AB382" s="438"/>
    </row>
    <row r="383" spans="1:28" x14ac:dyDescent="0.3">
      <c r="A383" s="439"/>
      <c r="B383" s="439"/>
      <c r="C383" s="23"/>
      <c r="D383" s="23"/>
      <c r="E383" s="35"/>
      <c r="F383" s="25"/>
      <c r="G383" s="433"/>
      <c r="H383" s="433"/>
      <c r="I383" s="433"/>
      <c r="J383" s="26"/>
      <c r="K383" s="27"/>
      <c r="L383" s="27"/>
      <c r="M383" s="434"/>
      <c r="N383" s="434"/>
      <c r="O383" s="434"/>
      <c r="P383" s="69"/>
      <c r="Q383" s="69"/>
      <c r="R383" s="69"/>
      <c r="S383" s="435"/>
      <c r="T383" s="435"/>
      <c r="U383" s="435"/>
      <c r="V383" s="436"/>
      <c r="W383" s="437"/>
      <c r="X383" s="33"/>
      <c r="Y383" s="33"/>
      <c r="Z383" s="33"/>
      <c r="AA383" s="33"/>
      <c r="AB383" s="438"/>
    </row>
    <row r="384" spans="1:28" x14ac:dyDescent="0.3">
      <c r="A384" s="20"/>
      <c r="B384" s="20"/>
      <c r="C384" s="20">
        <v>1000000001</v>
      </c>
      <c r="D384" s="20"/>
      <c r="E384" s="21" t="s">
        <v>72</v>
      </c>
      <c r="F384" s="21"/>
      <c r="G384" s="431">
        <f>SUM(G377:G383)</f>
        <v>64159</v>
      </c>
      <c r="H384" s="431"/>
      <c r="I384" s="431"/>
      <c r="J384" s="431"/>
      <c r="K384" s="431"/>
      <c r="L384" s="431"/>
      <c r="M384" s="431">
        <f>AVERAGE(M377:M383)</f>
        <v>8767.2132641776952</v>
      </c>
      <c r="N384" s="431">
        <f>AVERAGE(N377:N383)</f>
        <v>27904.517315927427</v>
      </c>
      <c r="O384" s="431"/>
      <c r="P384" s="431"/>
      <c r="Q384" s="431"/>
      <c r="R384" s="440">
        <f>SUM(R377:R383)</f>
        <v>22.151940000000003</v>
      </c>
      <c r="S384" s="441">
        <f>R384/8.7*10000/G384</f>
        <v>0.39685780638725676</v>
      </c>
      <c r="T384" s="440"/>
      <c r="U384" s="440"/>
      <c r="V384" s="442"/>
      <c r="W384" s="22"/>
      <c r="X384" s="22"/>
      <c r="Y384" s="432">
        <v>360000</v>
      </c>
      <c r="Z384" s="432"/>
      <c r="AA384" s="432"/>
      <c r="AB384" s="432"/>
    </row>
    <row r="385" spans="1:28" x14ac:dyDescent="0.3">
      <c r="A385" s="146"/>
      <c r="B385" s="146"/>
      <c r="C385" s="23"/>
      <c r="D385" s="14"/>
      <c r="E385" s="35"/>
      <c r="F385" s="25"/>
      <c r="G385" s="433"/>
      <c r="H385" s="433"/>
      <c r="I385" s="433"/>
      <c r="J385" s="26"/>
      <c r="K385" s="27"/>
      <c r="L385" s="27"/>
      <c r="M385" s="434"/>
      <c r="N385" s="434"/>
      <c r="O385" s="434"/>
      <c r="P385" s="69"/>
      <c r="Q385" s="69"/>
      <c r="R385" s="69"/>
      <c r="S385" s="435"/>
      <c r="T385" s="435"/>
      <c r="U385" s="435"/>
      <c r="V385" s="436"/>
      <c r="W385" s="437"/>
      <c r="X385" s="33"/>
      <c r="Y385" s="33"/>
      <c r="Z385" s="33"/>
      <c r="AA385" s="33"/>
      <c r="AB385" s="438"/>
    </row>
    <row r="386" spans="1:28" x14ac:dyDescent="0.3">
      <c r="A386" s="176">
        <v>44450.7</v>
      </c>
      <c r="B386" s="176">
        <v>44451.916666666664</v>
      </c>
      <c r="C386" s="23"/>
      <c r="D386" s="14"/>
      <c r="E386" s="35" t="s">
        <v>838</v>
      </c>
      <c r="F386" s="25" t="s">
        <v>91</v>
      </c>
      <c r="G386" s="433">
        <v>13864</v>
      </c>
      <c r="H386" s="433"/>
      <c r="I386" s="433">
        <v>173884</v>
      </c>
      <c r="J386" s="26">
        <f>G386-I386</f>
        <v>-160020</v>
      </c>
      <c r="K386" s="27">
        <f t="shared" ref="K386:K387" si="109">B386-A386</f>
        <v>1.2166666666671517</v>
      </c>
      <c r="L386" s="27">
        <f>[124]SHIOSHAI!$J$137</f>
        <v>0.49583333333430346</v>
      </c>
      <c r="M386" s="434">
        <f t="shared" ref="M386:M387" si="110">(G386)/K386</f>
        <v>11395.068493146142</v>
      </c>
      <c r="N386" s="434">
        <f t="shared" ref="N386:N387" si="111">G386/L386</f>
        <v>27961.008403306638</v>
      </c>
      <c r="O386" s="434">
        <v>25000</v>
      </c>
      <c r="P386" s="69">
        <f>((200233)/10000)*8.7</f>
        <v>174.20270999999997</v>
      </c>
      <c r="Q386" s="69">
        <f>((195670)/10000)*8.7</f>
        <v>170.2329</v>
      </c>
      <c r="R386" s="69">
        <f t="shared" ref="R386:R387" si="112">P386-Q386</f>
        <v>3.969809999999967</v>
      </c>
      <c r="S386" s="435">
        <f t="shared" ref="S386:S387" si="113">R386/8.7*10000/(G386)</f>
        <v>0.3291257934218092</v>
      </c>
      <c r="T386" s="435">
        <f t="shared" ref="T386:T387" si="114">R386/8.5*10000/(G386)</f>
        <v>0.33686992973761637</v>
      </c>
      <c r="U386" s="435"/>
      <c r="V386" s="436"/>
      <c r="W386" s="437"/>
      <c r="X386" s="33"/>
      <c r="Y386" s="33"/>
      <c r="Z386" s="33"/>
      <c r="AA386" s="33"/>
      <c r="AB386" s="438"/>
    </row>
    <row r="387" spans="1:28" x14ac:dyDescent="0.3">
      <c r="A387" s="176">
        <v>44455.883333333331</v>
      </c>
      <c r="B387" s="176">
        <v>44461.51666666667</v>
      </c>
      <c r="C387" s="23"/>
      <c r="D387" s="14"/>
      <c r="E387" s="35" t="s">
        <v>565</v>
      </c>
      <c r="F387" s="25" t="s">
        <v>91</v>
      </c>
      <c r="G387" s="433">
        <v>70568</v>
      </c>
      <c r="H387" s="433"/>
      <c r="I387" s="433">
        <v>171650</v>
      </c>
      <c r="J387" s="26">
        <f>G387-I387</f>
        <v>-101082</v>
      </c>
      <c r="K387" s="27">
        <f t="shared" si="109"/>
        <v>5.633333333338669</v>
      </c>
      <c r="L387" s="27">
        <f>'[124]WEST TRADER'!$J$515</f>
        <v>2.5124999999970896</v>
      </c>
      <c r="M387" s="434">
        <f t="shared" si="110"/>
        <v>12526.863905313579</v>
      </c>
      <c r="N387" s="434">
        <f t="shared" si="111"/>
        <v>28086.766169186765</v>
      </c>
      <c r="O387" s="434">
        <v>25000</v>
      </c>
      <c r="P387" s="69">
        <f>((190569)/10000)*8.7</f>
        <v>165.79502999999997</v>
      </c>
      <c r="Q387" s="69">
        <f>((170920)/10000)*8.7</f>
        <v>148.70039999999997</v>
      </c>
      <c r="R387" s="69">
        <f t="shared" si="112"/>
        <v>17.094629999999995</v>
      </c>
      <c r="S387" s="435">
        <f t="shared" si="113"/>
        <v>0.27844065298718962</v>
      </c>
      <c r="T387" s="435">
        <f t="shared" si="114"/>
        <v>0.28499219776335877</v>
      </c>
      <c r="U387" s="435"/>
      <c r="V387" s="436"/>
      <c r="W387" s="437"/>
      <c r="X387" s="33"/>
      <c r="Y387" s="33"/>
      <c r="Z387" s="33"/>
      <c r="AA387" s="33"/>
      <c r="AB387" s="438"/>
    </row>
    <row r="388" spans="1:28" x14ac:dyDescent="0.3">
      <c r="A388" s="439"/>
      <c r="B388" s="439"/>
      <c r="C388" s="23"/>
      <c r="D388" s="23"/>
      <c r="E388" s="35"/>
      <c r="F388" s="25"/>
      <c r="G388" s="433"/>
      <c r="H388" s="433"/>
      <c r="I388" s="433"/>
      <c r="J388" s="26"/>
      <c r="K388" s="27"/>
      <c r="L388" s="27"/>
      <c r="M388" s="434"/>
      <c r="N388" s="434"/>
      <c r="O388" s="434"/>
      <c r="P388" s="69"/>
      <c r="Q388" s="69"/>
      <c r="R388" s="69"/>
      <c r="S388" s="435"/>
      <c r="T388" s="435"/>
      <c r="U388" s="435"/>
      <c r="V388" s="436"/>
      <c r="W388" s="437"/>
      <c r="X388" s="33"/>
      <c r="Y388" s="33"/>
      <c r="Z388" s="33"/>
      <c r="AA388" s="33"/>
      <c r="AB388" s="438"/>
    </row>
    <row r="389" spans="1:28" x14ac:dyDescent="0.3">
      <c r="A389" s="20"/>
      <c r="B389" s="20"/>
      <c r="C389" s="20">
        <v>1000000001</v>
      </c>
      <c r="D389" s="20"/>
      <c r="E389" s="21" t="s">
        <v>78</v>
      </c>
      <c r="F389" s="21"/>
      <c r="G389" s="431">
        <f>SUM(G385:G388)</f>
        <v>84432</v>
      </c>
      <c r="H389" s="431"/>
      <c r="I389" s="431"/>
      <c r="J389" s="431"/>
      <c r="K389" s="431"/>
      <c r="L389" s="431"/>
      <c r="M389" s="431">
        <f>AVERAGE(M385:M388)</f>
        <v>11960.966199229861</v>
      </c>
      <c r="N389" s="431">
        <f>AVERAGE(N385:N388)</f>
        <v>28023.887286246703</v>
      </c>
      <c r="O389" s="431"/>
      <c r="P389" s="431"/>
      <c r="Q389" s="431"/>
      <c r="R389" s="440">
        <f>SUM(R385:R388)</f>
        <v>21.064439999999962</v>
      </c>
      <c r="S389" s="441">
        <f>R389/8.7*10000/G389</f>
        <v>0.28676331248815562</v>
      </c>
      <c r="T389" s="440"/>
      <c r="U389" s="440"/>
      <c r="V389" s="442"/>
      <c r="W389" s="22"/>
      <c r="X389" s="22"/>
      <c r="Y389" s="432">
        <v>360000</v>
      </c>
      <c r="Z389" s="432"/>
      <c r="AA389" s="432"/>
      <c r="AB389" s="432"/>
    </row>
    <row r="390" spans="1:28" x14ac:dyDescent="0.3">
      <c r="A390" s="146"/>
      <c r="B390" s="146"/>
      <c r="C390" s="23"/>
      <c r="D390" s="14"/>
      <c r="E390" s="35"/>
      <c r="F390" s="25"/>
      <c r="G390" s="433"/>
      <c r="H390" s="433"/>
      <c r="I390" s="433"/>
      <c r="J390" s="26"/>
      <c r="K390" s="27"/>
      <c r="L390" s="27"/>
      <c r="M390" s="434"/>
      <c r="N390" s="434"/>
      <c r="O390" s="434"/>
      <c r="P390" s="69"/>
      <c r="Q390" s="69"/>
      <c r="R390" s="69"/>
      <c r="S390" s="435"/>
      <c r="T390" s="435"/>
      <c r="U390" s="435"/>
      <c r="V390" s="436"/>
      <c r="W390" s="437"/>
      <c r="X390" s="33"/>
      <c r="Y390" s="33"/>
      <c r="Z390" s="33"/>
      <c r="AA390" s="33"/>
      <c r="AB390" s="438"/>
    </row>
    <row r="391" spans="1:28" x14ac:dyDescent="0.3">
      <c r="A391" s="176">
        <v>44465.92083333333</v>
      </c>
      <c r="B391" s="176">
        <v>44471.533333333333</v>
      </c>
      <c r="C391" s="23"/>
      <c r="D391" s="14"/>
      <c r="E391" s="35" t="s">
        <v>839</v>
      </c>
      <c r="F391" s="25" t="s">
        <v>91</v>
      </c>
      <c r="G391" s="433">
        <v>56512</v>
      </c>
      <c r="H391" s="433"/>
      <c r="I391" s="433">
        <v>170100</v>
      </c>
      <c r="J391" s="26">
        <f>G391-I391</f>
        <v>-113588</v>
      </c>
      <c r="K391" s="27">
        <f t="shared" ref="K391:K393" si="115">B391-A391</f>
        <v>5.6125000000029104</v>
      </c>
      <c r="L391" s="27">
        <f>'[125]BERGE CRISTOBAL'!$J$476</f>
        <v>1.7791666666380479</v>
      </c>
      <c r="M391" s="434">
        <f t="shared" ref="M391:M393" si="116">(G391)/K391</f>
        <v>10068.953229393443</v>
      </c>
      <c r="N391" s="434">
        <f t="shared" ref="N391:N393" si="117">G391/L391</f>
        <v>31763.185012220529</v>
      </c>
      <c r="O391" s="434">
        <v>25000</v>
      </c>
      <c r="P391" s="69">
        <f>((145771)/10000)*8.7</f>
        <v>126.82076999999998</v>
      </c>
      <c r="Q391" s="69">
        <f>((127010)/10000)*8.7</f>
        <v>110.4987</v>
      </c>
      <c r="R391" s="69">
        <f t="shared" ref="R391:R393" si="118">P391-Q391</f>
        <v>16.322069999999982</v>
      </c>
      <c r="S391" s="435">
        <f t="shared" ref="S391:S393" si="119">R391/8.7*10000/(G391)</f>
        <v>0.33198258776896911</v>
      </c>
      <c r="T391" s="435">
        <f t="shared" ref="T391:T393" si="120">R391/8.5*10000/(G391)</f>
        <v>0.33979394277529773</v>
      </c>
      <c r="U391" s="435"/>
      <c r="V391" s="436"/>
      <c r="W391" s="32"/>
      <c r="X391" s="33"/>
      <c r="Y391" s="33"/>
      <c r="Z391" s="33"/>
      <c r="AA391" s="33"/>
      <c r="AB391" s="438"/>
    </row>
    <row r="392" spans="1:28" x14ac:dyDescent="0.3">
      <c r="A392" s="176">
        <v>44474.091666666667</v>
      </c>
      <c r="B392" s="176">
        <v>44483.854166666664</v>
      </c>
      <c r="C392" s="23"/>
      <c r="D392" s="14"/>
      <c r="E392" s="35" t="s">
        <v>840</v>
      </c>
      <c r="F392" s="25" t="s">
        <v>91</v>
      </c>
      <c r="G392" s="433">
        <v>73984</v>
      </c>
      <c r="H392" s="433"/>
      <c r="I392" s="433">
        <v>177800</v>
      </c>
      <c r="J392" s="26">
        <f>G392-I392</f>
        <v>-103816</v>
      </c>
      <c r="K392" s="27">
        <f t="shared" si="115"/>
        <v>9.7624999999970896</v>
      </c>
      <c r="L392" s="27">
        <f>'[125]AM TARANG'!$J$893</f>
        <v>2.0812499999810825</v>
      </c>
      <c r="M392" s="434">
        <f t="shared" si="116"/>
        <v>7578.386683741056</v>
      </c>
      <c r="N392" s="434">
        <f t="shared" si="117"/>
        <v>35547.867868190981</v>
      </c>
      <c r="O392" s="434">
        <v>25000</v>
      </c>
      <c r="P392" s="69">
        <f>((123460)/10000)*8.7</f>
        <v>107.41019999999999</v>
      </c>
      <c r="Q392" s="69">
        <f>((89587)/10000)*8.7</f>
        <v>77.940690000000004</v>
      </c>
      <c r="R392" s="69">
        <f t="shared" si="118"/>
        <v>29.469509999999985</v>
      </c>
      <c r="S392" s="435">
        <f t="shared" si="119"/>
        <v>0.45784223615916936</v>
      </c>
      <c r="T392" s="435">
        <f t="shared" si="120"/>
        <v>0.4686149946570321</v>
      </c>
      <c r="U392" s="435"/>
      <c r="V392" s="436"/>
      <c r="W392" s="32"/>
      <c r="X392" s="33"/>
      <c r="Y392" s="33"/>
      <c r="Z392" s="33"/>
      <c r="AA392" s="33"/>
      <c r="AB392" s="438"/>
    </row>
    <row r="393" spans="1:28" x14ac:dyDescent="0.3">
      <c r="A393" s="176">
        <v>44491.833333333336</v>
      </c>
      <c r="B393" s="176">
        <v>44498.804166666669</v>
      </c>
      <c r="C393" s="23"/>
      <c r="D393" s="14"/>
      <c r="E393" s="35" t="s">
        <v>841</v>
      </c>
      <c r="F393" s="25" t="s">
        <v>91</v>
      </c>
      <c r="G393" s="433">
        <v>73310</v>
      </c>
      <c r="H393" s="433"/>
      <c r="I393" s="433">
        <v>199600</v>
      </c>
      <c r="J393" s="26">
        <f>G393-I393</f>
        <v>-126290</v>
      </c>
      <c r="K393" s="27">
        <f t="shared" si="115"/>
        <v>6.9708333333328483</v>
      </c>
      <c r="L393" s="27">
        <f>'[126]JIN NIU STAR'!$J$700</f>
        <v>3.0104166666557526</v>
      </c>
      <c r="M393" s="434">
        <f t="shared" si="116"/>
        <v>10516.676628811252</v>
      </c>
      <c r="N393" s="434">
        <f t="shared" si="117"/>
        <v>24352.110726731884</v>
      </c>
      <c r="O393" s="434">
        <v>25000</v>
      </c>
      <c r="P393" s="69">
        <f>((80358)/10000)*8.7</f>
        <v>69.911459999999991</v>
      </c>
      <c r="Q393" s="69">
        <f>((93415-39910)/10000)*8.7</f>
        <v>46.549349999999997</v>
      </c>
      <c r="R393" s="69">
        <f t="shared" si="118"/>
        <v>23.362109999999994</v>
      </c>
      <c r="S393" s="435">
        <f t="shared" si="119"/>
        <v>0.36629382076115119</v>
      </c>
      <c r="T393" s="435">
        <f t="shared" si="120"/>
        <v>0.37491249889670764</v>
      </c>
      <c r="U393" s="435"/>
      <c r="V393" s="436"/>
      <c r="W393" s="32"/>
      <c r="X393" s="33"/>
      <c r="Y393" s="33"/>
      <c r="Z393" s="33"/>
      <c r="AA393" s="33"/>
      <c r="AB393" s="438"/>
    </row>
    <row r="394" spans="1:28" x14ac:dyDescent="0.3">
      <c r="A394" s="439"/>
      <c r="B394" s="439"/>
      <c r="C394" s="23"/>
      <c r="D394" s="23"/>
      <c r="E394" s="35"/>
      <c r="F394" s="25"/>
      <c r="G394" s="433"/>
      <c r="H394" s="433"/>
      <c r="I394" s="433"/>
      <c r="J394" s="26"/>
      <c r="K394" s="27"/>
      <c r="L394" s="27"/>
      <c r="M394" s="434"/>
      <c r="N394" s="434"/>
      <c r="O394" s="434"/>
      <c r="P394" s="69"/>
      <c r="Q394" s="69"/>
      <c r="R394" s="69"/>
      <c r="S394" s="435"/>
      <c r="T394" s="435"/>
      <c r="U394" s="435"/>
      <c r="V394" s="436"/>
      <c r="W394" s="437"/>
      <c r="X394" s="33"/>
      <c r="Y394" s="33"/>
      <c r="Z394" s="33"/>
      <c r="AA394" s="33"/>
      <c r="AB394" s="438"/>
    </row>
    <row r="395" spans="1:28" x14ac:dyDescent="0.3">
      <c r="A395" s="20"/>
      <c r="B395" s="20"/>
      <c r="C395" s="20">
        <v>1000000001</v>
      </c>
      <c r="D395" s="20"/>
      <c r="E395" s="21" t="s">
        <v>84</v>
      </c>
      <c r="F395" s="21"/>
      <c r="G395" s="431">
        <f>SUM(G390:G394)</f>
        <v>203806</v>
      </c>
      <c r="H395" s="431"/>
      <c r="I395" s="431"/>
      <c r="J395" s="431"/>
      <c r="K395" s="431"/>
      <c r="L395" s="431"/>
      <c r="M395" s="431">
        <f>AVERAGE(M390:M394)</f>
        <v>9388.0055139819178</v>
      </c>
      <c r="N395" s="431">
        <f>AVERAGE(N390:N394)</f>
        <v>30554.387869047798</v>
      </c>
      <c r="O395" s="431"/>
      <c r="P395" s="431"/>
      <c r="Q395" s="431"/>
      <c r="R395" s="440">
        <f>SUM(R390:R394)</f>
        <v>69.153689999999955</v>
      </c>
      <c r="S395" s="441">
        <f>R395/8.7*10000/G395</f>
        <v>0.39001305162752792</v>
      </c>
      <c r="T395" s="440"/>
      <c r="U395" s="440"/>
      <c r="V395" s="442"/>
      <c r="W395" s="22"/>
      <c r="X395" s="22"/>
      <c r="Y395" s="432">
        <v>360000</v>
      </c>
      <c r="Z395" s="432"/>
      <c r="AA395" s="432"/>
      <c r="AB395" s="432"/>
    </row>
    <row r="396" spans="1:28" x14ac:dyDescent="0.3">
      <c r="A396" s="146"/>
      <c r="B396" s="146"/>
      <c r="C396" s="23"/>
      <c r="D396" s="14"/>
      <c r="E396" s="35"/>
      <c r="F396" s="25"/>
      <c r="G396" s="433"/>
      <c r="H396" s="433"/>
      <c r="I396" s="433"/>
      <c r="J396" s="26"/>
      <c r="K396" s="27"/>
      <c r="L396" s="27"/>
      <c r="M396" s="434"/>
      <c r="N396" s="434"/>
      <c r="O396" s="434"/>
      <c r="P396" s="69"/>
      <c r="Q396" s="69"/>
      <c r="R396" s="69"/>
      <c r="S396" s="435"/>
      <c r="T396" s="435"/>
      <c r="U396" s="435"/>
      <c r="V396" s="436"/>
      <c r="W396" s="437"/>
      <c r="X396" s="33"/>
      <c r="Y396" s="33"/>
      <c r="Z396" s="33"/>
      <c r="AA396" s="33"/>
      <c r="AB396" s="438"/>
    </row>
    <row r="397" spans="1:28" x14ac:dyDescent="0.3">
      <c r="A397" s="176">
        <v>44498.974999999999</v>
      </c>
      <c r="B397" s="176">
        <v>44506.383333333331</v>
      </c>
      <c r="C397" s="23"/>
      <c r="D397" s="14"/>
      <c r="E397" s="35" t="s">
        <v>842</v>
      </c>
      <c r="F397" s="36" t="s">
        <v>91</v>
      </c>
      <c r="G397" s="433">
        <v>60944</v>
      </c>
      <c r="H397" s="433"/>
      <c r="I397" s="433">
        <v>177800</v>
      </c>
      <c r="J397" s="26">
        <f>G397-I397</f>
        <v>-116856</v>
      </c>
      <c r="K397" s="27">
        <f t="shared" ref="K397:K400" si="121">B397-A397</f>
        <v>7.4083333333328483</v>
      </c>
      <c r="L397" s="27">
        <f>[127]MARIPERLA!$J$521</f>
        <v>2.3541666666678793</v>
      </c>
      <c r="M397" s="434">
        <f t="shared" ref="M397:M400" si="122">(G397)/K397</f>
        <v>8226.4116985382207</v>
      </c>
      <c r="N397" s="434">
        <f t="shared" ref="N397:N400" si="123">G397/L397</f>
        <v>25887.716814145959</v>
      </c>
      <c r="O397" s="434">
        <v>25000</v>
      </c>
      <c r="P397" s="69">
        <f>((93295)/10000)*8.7</f>
        <v>81.16664999999999</v>
      </c>
      <c r="Q397" s="69">
        <f>((69756)/10000)*8.7</f>
        <v>60.687719999999999</v>
      </c>
      <c r="R397" s="69">
        <f t="shared" ref="R397:R400" si="124">P397-Q397</f>
        <v>20.478929999999991</v>
      </c>
      <c r="S397" s="435">
        <f t="shared" ref="S397:S400" si="125">R397/8.7*10000/(G397)</f>
        <v>0.38623982672617468</v>
      </c>
      <c r="T397" s="435">
        <f t="shared" ref="T397:T400" si="126">R397/8.5*10000/(G397)</f>
        <v>0.39532782264914351</v>
      </c>
      <c r="U397" s="435"/>
      <c r="V397" s="436"/>
      <c r="W397" s="32"/>
      <c r="X397" s="33"/>
      <c r="Y397" s="33"/>
      <c r="Z397" s="33"/>
      <c r="AA397" s="33"/>
      <c r="AB397" s="438"/>
    </row>
    <row r="398" spans="1:28" x14ac:dyDescent="0.3">
      <c r="A398" s="176">
        <v>44506.533333333333</v>
      </c>
      <c r="B398" s="176">
        <v>44511.845833333333</v>
      </c>
      <c r="C398" s="23"/>
      <c r="D398" s="14"/>
      <c r="E398" s="35" t="s">
        <v>308</v>
      </c>
      <c r="F398" s="36" t="s">
        <v>91</v>
      </c>
      <c r="G398" s="433">
        <v>63271</v>
      </c>
      <c r="H398" s="433"/>
      <c r="I398" s="433">
        <v>179800</v>
      </c>
      <c r="J398" s="26">
        <f>G398-I398</f>
        <v>-116529</v>
      </c>
      <c r="K398" s="27">
        <f t="shared" si="121"/>
        <v>5.3125</v>
      </c>
      <c r="L398" s="27">
        <f>'[127]CAPE CLOVER'!$J$612</f>
        <v>2.6895833333255723</v>
      </c>
      <c r="M398" s="434">
        <f t="shared" si="122"/>
        <v>11909.835294117647</v>
      </c>
      <c r="N398" s="434">
        <f t="shared" si="123"/>
        <v>23524.461657697626</v>
      </c>
      <c r="O398" s="434">
        <v>25000</v>
      </c>
      <c r="P398" s="69">
        <f>((69526)/10000)*8.7</f>
        <v>60.48762</v>
      </c>
      <c r="Q398" s="69">
        <f>((48629)/10000)*8.7</f>
        <v>42.307229999999997</v>
      </c>
      <c r="R398" s="69">
        <f t="shared" si="124"/>
        <v>18.180390000000003</v>
      </c>
      <c r="S398" s="435">
        <f t="shared" si="125"/>
        <v>0.33027769436234622</v>
      </c>
      <c r="T398" s="435">
        <f t="shared" si="126"/>
        <v>0.33804893422969545</v>
      </c>
      <c r="U398" s="435"/>
      <c r="V398" s="436"/>
      <c r="W398" s="32"/>
      <c r="X398" s="33"/>
      <c r="Y398" s="33"/>
      <c r="Z398" s="33"/>
      <c r="AA398" s="33"/>
      <c r="AB398" s="438"/>
    </row>
    <row r="399" spans="1:28" x14ac:dyDescent="0.3">
      <c r="A399" s="176">
        <v>44518.408333333333</v>
      </c>
      <c r="B399" s="176">
        <v>44523.875</v>
      </c>
      <c r="C399" s="23"/>
      <c r="D399" s="14"/>
      <c r="E399" s="35" t="s">
        <v>843</v>
      </c>
      <c r="F399" s="36" t="s">
        <v>91</v>
      </c>
      <c r="G399" s="433">
        <v>102374</v>
      </c>
      <c r="H399" s="433"/>
      <c r="I399" s="433">
        <v>171830</v>
      </c>
      <c r="J399" s="26">
        <f>G399-I399</f>
        <v>-69456</v>
      </c>
      <c r="K399" s="27">
        <f t="shared" si="121"/>
        <v>5.4666666666671517</v>
      </c>
      <c r="L399" s="27">
        <f>'[127]JWS SALEM'!$J$198</f>
        <v>3.4854166666627862</v>
      </c>
      <c r="M399" s="434">
        <f t="shared" si="122"/>
        <v>18726.951219510534</v>
      </c>
      <c r="N399" s="434">
        <f t="shared" si="123"/>
        <v>29372.09802752822</v>
      </c>
      <c r="O399" s="434">
        <v>25000</v>
      </c>
      <c r="P399" s="69">
        <f>((69699)/10000)*8.7</f>
        <v>60.638129999999997</v>
      </c>
      <c r="Q399" s="69">
        <f>((48213)/10000)*8.7</f>
        <v>41.945309999999999</v>
      </c>
      <c r="R399" s="69">
        <f t="shared" si="124"/>
        <v>18.692819999999998</v>
      </c>
      <c r="S399" s="435">
        <f t="shared" si="125"/>
        <v>0.20987750796100571</v>
      </c>
      <c r="T399" s="435">
        <f t="shared" si="126"/>
        <v>0.21481580226597055</v>
      </c>
      <c r="U399" s="435"/>
      <c r="V399" s="436"/>
      <c r="W399" s="32"/>
      <c r="X399" s="33"/>
      <c r="Y399" s="33"/>
      <c r="Z399" s="33"/>
      <c r="AA399" s="33"/>
      <c r="AB399" s="438"/>
    </row>
    <row r="400" spans="1:28" x14ac:dyDescent="0.3">
      <c r="A400" s="176">
        <v>44524.5625</v>
      </c>
      <c r="B400" s="176">
        <v>44528.14166666667</v>
      </c>
      <c r="C400" s="23"/>
      <c r="D400" s="14"/>
      <c r="E400" s="35" t="s">
        <v>844</v>
      </c>
      <c r="F400" s="36" t="s">
        <v>91</v>
      </c>
      <c r="G400" s="433">
        <v>51273</v>
      </c>
      <c r="H400" s="433"/>
      <c r="I400" s="433">
        <v>170180</v>
      </c>
      <c r="J400" s="26">
        <f>G400-I400</f>
        <v>-118907</v>
      </c>
      <c r="K400" s="27">
        <f t="shared" si="121"/>
        <v>3.5791666666700621</v>
      </c>
      <c r="L400" s="27">
        <f>'[127]ORIENT ANGEL'!$J$276</f>
        <v>1.2145833333413369</v>
      </c>
      <c r="M400" s="434">
        <f t="shared" si="122"/>
        <v>14325.401629788505</v>
      </c>
      <c r="N400" s="434">
        <f t="shared" si="123"/>
        <v>42214.476843632627</v>
      </c>
      <c r="O400" s="434">
        <v>25000</v>
      </c>
      <c r="P400" s="69">
        <f>((47243)/10000)*8.7</f>
        <v>41.101410000000001</v>
      </c>
      <c r="Q400" s="69">
        <f>((33575)/10000)*8.7</f>
        <v>29.210249999999998</v>
      </c>
      <c r="R400" s="69">
        <f t="shared" si="124"/>
        <v>11.891160000000003</v>
      </c>
      <c r="S400" s="435">
        <f t="shared" si="125"/>
        <v>0.26657305014335042</v>
      </c>
      <c r="T400" s="435">
        <f t="shared" si="126"/>
        <v>0.27284535720554687</v>
      </c>
      <c r="U400" s="435"/>
      <c r="V400" s="31"/>
      <c r="W400" s="32"/>
      <c r="X400" s="33"/>
      <c r="Y400" s="33"/>
      <c r="Z400" s="33"/>
      <c r="AA400" s="33"/>
      <c r="AB400" s="438"/>
    </row>
    <row r="401" spans="1:29" x14ac:dyDescent="0.3">
      <c r="A401" s="439"/>
      <c r="B401" s="439"/>
      <c r="C401" s="23"/>
      <c r="D401" s="23"/>
      <c r="E401" s="35"/>
      <c r="F401" s="25"/>
      <c r="G401" s="433"/>
      <c r="H401" s="433"/>
      <c r="I401" s="433"/>
      <c r="J401" s="26"/>
      <c r="K401" s="27"/>
      <c r="L401" s="27"/>
      <c r="M401" s="434"/>
      <c r="N401" s="434"/>
      <c r="O401" s="434"/>
      <c r="P401" s="69"/>
      <c r="Q401" s="69"/>
      <c r="R401" s="69"/>
      <c r="S401" s="435"/>
      <c r="T401" s="435"/>
      <c r="U401" s="435"/>
      <c r="V401" s="436"/>
      <c r="W401" s="437"/>
      <c r="X401" s="33"/>
      <c r="Y401" s="33"/>
      <c r="Z401" s="33"/>
      <c r="AA401" s="33"/>
      <c r="AB401" s="438"/>
    </row>
    <row r="402" spans="1:29" x14ac:dyDescent="0.3">
      <c r="A402" s="20"/>
      <c r="B402" s="20"/>
      <c r="C402" s="20">
        <v>1000000001</v>
      </c>
      <c r="D402" s="20"/>
      <c r="E402" s="21" t="s">
        <v>89</v>
      </c>
      <c r="F402" s="21"/>
      <c r="G402" s="431">
        <f>SUM(G396:G401)</f>
        <v>277862</v>
      </c>
      <c r="H402" s="431"/>
      <c r="I402" s="431"/>
      <c r="J402" s="431"/>
      <c r="K402" s="431"/>
      <c r="L402" s="431"/>
      <c r="M402" s="431">
        <f>AVERAGE(M396:M401)</f>
        <v>13297.149960488727</v>
      </c>
      <c r="N402" s="431">
        <f>AVERAGE(N396:N400)</f>
        <v>30249.688335751107</v>
      </c>
      <c r="O402" s="431"/>
      <c r="P402" s="431"/>
      <c r="Q402" s="431"/>
      <c r="R402" s="440">
        <f>SUM(R396:R401)</f>
        <v>69.243299999999991</v>
      </c>
      <c r="S402" s="441">
        <f>R402/8.7*10000/G402</f>
        <v>0.28643715225543614</v>
      </c>
      <c r="T402" s="440"/>
      <c r="U402" s="440"/>
      <c r="V402" s="442"/>
      <c r="W402" s="22"/>
      <c r="X402" s="22"/>
      <c r="Y402" s="432">
        <v>360000</v>
      </c>
      <c r="Z402" s="432"/>
      <c r="AA402" s="432"/>
      <c r="AB402" s="432"/>
    </row>
    <row r="403" spans="1:29" x14ac:dyDescent="0.3">
      <c r="A403" s="146"/>
      <c r="B403" s="146"/>
      <c r="C403" s="23"/>
      <c r="D403" s="14"/>
      <c r="E403" s="35"/>
      <c r="F403" s="25"/>
      <c r="G403" s="433"/>
      <c r="H403" s="433"/>
      <c r="I403" s="433"/>
      <c r="J403" s="26"/>
      <c r="K403" s="27"/>
      <c r="L403" s="27"/>
      <c r="M403" s="434"/>
      <c r="N403" s="434"/>
      <c r="O403" s="434"/>
      <c r="P403" s="69"/>
      <c r="Q403" s="69"/>
      <c r="R403" s="69"/>
      <c r="S403" s="435"/>
      <c r="T403" s="435"/>
      <c r="U403" s="435"/>
      <c r="V403" s="436"/>
      <c r="W403" s="437"/>
      <c r="X403" s="33"/>
      <c r="Y403" s="33"/>
      <c r="Z403" s="33"/>
      <c r="AA403" s="33"/>
      <c r="AB403" s="438"/>
    </row>
    <row r="404" spans="1:29" x14ac:dyDescent="0.3">
      <c r="A404" s="176">
        <v>44528.987500000003</v>
      </c>
      <c r="B404" s="176">
        <v>44534.154166666667</v>
      </c>
      <c r="C404" s="23"/>
      <c r="D404" s="14"/>
      <c r="E404" s="35" t="s">
        <v>845</v>
      </c>
      <c r="F404" s="25" t="s">
        <v>91</v>
      </c>
      <c r="G404" s="433">
        <v>87531</v>
      </c>
      <c r="H404" s="433"/>
      <c r="I404" s="433">
        <v>171630</v>
      </c>
      <c r="J404" s="26">
        <f t="shared" ref="J404:J409" si="127">G404-I404</f>
        <v>-84099</v>
      </c>
      <c r="K404" s="27">
        <f t="shared" ref="K404:K409" si="128">B404-A404</f>
        <v>5.1666666666642413</v>
      </c>
      <c r="L404" s="27">
        <f>'[128]CAPE VIOLET'!$J$190</f>
        <v>2.4645833333670453</v>
      </c>
      <c r="M404" s="434">
        <f t="shared" ref="M404:M409" si="129">(G404)/K404</f>
        <v>16941.483870975695</v>
      </c>
      <c r="N404" s="434">
        <f t="shared" ref="N404:N409" si="130">G404/L404</f>
        <v>35515.536770435589</v>
      </c>
      <c r="O404" s="434">
        <v>25000</v>
      </c>
      <c r="P404" s="69">
        <f>((32315+149162)/10000)*8.7</f>
        <v>157.88498999999999</v>
      </c>
      <c r="Q404" s="69">
        <f>((162255)/10000)*8.7</f>
        <v>141.16184999999999</v>
      </c>
      <c r="R404" s="69">
        <f t="shared" ref="R404:R409" si="131">P404-Q404</f>
        <v>16.723140000000001</v>
      </c>
      <c r="S404" s="435">
        <f t="shared" ref="S404:S409" si="132">R404/8.7*10000/(G404)</f>
        <v>0.21960219807839512</v>
      </c>
      <c r="T404" s="435">
        <f t="shared" ref="T404:T409" si="133">R404/8.5*10000/(G404)</f>
        <v>0.22476930862141614</v>
      </c>
      <c r="U404" s="435"/>
      <c r="V404" s="436"/>
      <c r="W404" s="32"/>
      <c r="X404" s="33"/>
      <c r="Y404" s="33"/>
      <c r="Z404" s="33"/>
      <c r="AA404" s="33"/>
      <c r="AB404" s="438"/>
    </row>
    <row r="405" spans="1:29" x14ac:dyDescent="0.3">
      <c r="A405" s="176">
        <v>44536.558333333334</v>
      </c>
      <c r="B405" s="176">
        <v>44540.791666666664</v>
      </c>
      <c r="C405" s="23"/>
      <c r="D405" s="14"/>
      <c r="E405" s="35" t="s">
        <v>828</v>
      </c>
      <c r="F405" s="36" t="s">
        <v>91</v>
      </c>
      <c r="G405" s="433">
        <v>78238</v>
      </c>
      <c r="H405" s="433"/>
      <c r="I405" s="433">
        <v>167759</v>
      </c>
      <c r="J405" s="26">
        <f t="shared" si="127"/>
        <v>-89521</v>
      </c>
      <c r="K405" s="27">
        <f t="shared" si="128"/>
        <v>4.2333333333299379</v>
      </c>
      <c r="L405" s="27">
        <f>'[128]XIN MAY'!$J$159</f>
        <v>2.7305555555063217</v>
      </c>
      <c r="M405" s="434">
        <f t="shared" si="129"/>
        <v>18481.417322849469</v>
      </c>
      <c r="N405" s="434">
        <f t="shared" si="130"/>
        <v>28652.777213131074</v>
      </c>
      <c r="O405" s="434">
        <v>25000</v>
      </c>
      <c r="P405" s="69">
        <f>((159080)/10000)*8.7</f>
        <v>138.39959999999999</v>
      </c>
      <c r="Q405" s="69">
        <f>((141620)/10000)*8.7</f>
        <v>123.2094</v>
      </c>
      <c r="R405" s="69">
        <f t="shared" si="131"/>
        <v>15.19019999999999</v>
      </c>
      <c r="S405" s="435">
        <f t="shared" si="132"/>
        <v>0.22316521383470939</v>
      </c>
      <c r="T405" s="435">
        <f t="shared" si="133"/>
        <v>0.22841616004258483</v>
      </c>
      <c r="U405" s="435"/>
      <c r="V405" s="31"/>
      <c r="W405" s="32"/>
      <c r="X405" s="33"/>
      <c r="Y405" s="33"/>
      <c r="Z405" s="33"/>
      <c r="AA405" s="33"/>
      <c r="AB405" s="438"/>
    </row>
    <row r="406" spans="1:29" x14ac:dyDescent="0.3">
      <c r="A406" s="176">
        <v>44541.154166666667</v>
      </c>
      <c r="B406" s="176">
        <v>44543.695833333331</v>
      </c>
      <c r="C406" s="23"/>
      <c r="D406" s="23"/>
      <c r="E406" s="35" t="s">
        <v>846</v>
      </c>
      <c r="F406" s="25" t="s">
        <v>91</v>
      </c>
      <c r="G406" s="433">
        <v>53040</v>
      </c>
      <c r="H406" s="433"/>
      <c r="I406" s="433">
        <v>198000</v>
      </c>
      <c r="J406" s="26">
        <f t="shared" si="127"/>
        <v>-144960</v>
      </c>
      <c r="K406" s="27">
        <f t="shared" si="128"/>
        <v>2.5416666666642413</v>
      </c>
      <c r="L406" s="27">
        <f>'[128]KATIE K 1ST'!$J$154</f>
        <v>1.7368055555667121</v>
      </c>
      <c r="M406" s="434">
        <f t="shared" si="129"/>
        <v>20868.196721331387</v>
      </c>
      <c r="N406" s="434">
        <f t="shared" si="130"/>
        <v>30538.824470015745</v>
      </c>
      <c r="O406" s="434">
        <v>25000</v>
      </c>
      <c r="P406" s="69">
        <f>((141288)/10000)*8.7</f>
        <v>122.92055999999999</v>
      </c>
      <c r="Q406" s="69">
        <f>((130308)/10000)*8.7</f>
        <v>113.36795999999998</v>
      </c>
      <c r="R406" s="69">
        <f t="shared" si="131"/>
        <v>9.5526000000000124</v>
      </c>
      <c r="S406" s="435">
        <f t="shared" si="132"/>
        <v>0.20701357466063375</v>
      </c>
      <c r="T406" s="435">
        <f t="shared" si="133"/>
        <v>0.21188448229970752</v>
      </c>
      <c r="U406" s="69"/>
      <c r="V406" s="436"/>
      <c r="W406" s="437"/>
      <c r="X406" s="33"/>
      <c r="Y406" s="33"/>
      <c r="Z406" s="33"/>
      <c r="AA406" s="33"/>
      <c r="AB406" s="438"/>
    </row>
    <row r="407" spans="1:29" x14ac:dyDescent="0.3">
      <c r="A407" s="176">
        <v>44545.395833333336</v>
      </c>
      <c r="B407" s="176">
        <v>44547.491666666669</v>
      </c>
      <c r="C407" s="23"/>
      <c r="D407" s="23"/>
      <c r="E407" s="35" t="s">
        <v>847</v>
      </c>
      <c r="F407" s="25" t="s">
        <v>91</v>
      </c>
      <c r="G407" s="433">
        <v>35460</v>
      </c>
      <c r="H407" s="433"/>
      <c r="I407" s="433">
        <v>198000</v>
      </c>
      <c r="J407" s="26">
        <f t="shared" si="127"/>
        <v>-162540</v>
      </c>
      <c r="K407" s="27">
        <f t="shared" si="128"/>
        <v>2.0958333333328483</v>
      </c>
      <c r="L407" s="27">
        <f>'[128]KATIE K 2ND'!$J$92</f>
        <v>1.0979166666826736</v>
      </c>
      <c r="M407" s="434">
        <f t="shared" si="129"/>
        <v>16919.284294238507</v>
      </c>
      <c r="N407" s="434">
        <f t="shared" si="130"/>
        <v>32297.53320636024</v>
      </c>
      <c r="O407" s="434">
        <v>25000</v>
      </c>
      <c r="P407" s="69">
        <f>((127838)/10000)*8.7</f>
        <v>111.21905999999998</v>
      </c>
      <c r="Q407" s="69">
        <f>((119675)/10000)*8.7</f>
        <v>104.11724999999998</v>
      </c>
      <c r="R407" s="69">
        <f t="shared" si="131"/>
        <v>7.1018100000000004</v>
      </c>
      <c r="S407" s="435">
        <f t="shared" si="132"/>
        <v>0.23020304568527925</v>
      </c>
      <c r="T407" s="435">
        <f t="shared" si="133"/>
        <v>0.23561958793669752</v>
      </c>
      <c r="U407" s="435"/>
      <c r="V407" s="436"/>
      <c r="W407" s="437"/>
      <c r="X407" s="33"/>
      <c r="Y407" s="33"/>
      <c r="Z407" s="33"/>
      <c r="AA407" s="33"/>
      <c r="AB407" s="438"/>
    </row>
    <row r="408" spans="1:29" x14ac:dyDescent="0.3">
      <c r="A408" s="176">
        <v>44550.166666666664</v>
      </c>
      <c r="B408" s="176">
        <v>44550.695833333331</v>
      </c>
      <c r="C408" s="23"/>
      <c r="D408" s="23"/>
      <c r="E408" s="35" t="s">
        <v>848</v>
      </c>
      <c r="F408" s="25" t="s">
        <v>91</v>
      </c>
      <c r="G408" s="433">
        <v>12875</v>
      </c>
      <c r="H408" s="433"/>
      <c r="I408" s="433">
        <v>167625</v>
      </c>
      <c r="J408" s="26">
        <f t="shared" si="127"/>
        <v>-154750</v>
      </c>
      <c r="K408" s="27">
        <f t="shared" si="128"/>
        <v>0.52916666666715173</v>
      </c>
      <c r="L408" s="27">
        <f>[128]CHAMPIONSHIP!$J$40</f>
        <v>0.42430555555337279</v>
      </c>
      <c r="M408" s="434">
        <f t="shared" si="129"/>
        <v>24330.70866139502</v>
      </c>
      <c r="N408" s="434">
        <f t="shared" si="130"/>
        <v>30343.69885449325</v>
      </c>
      <c r="O408" s="434">
        <v>25000</v>
      </c>
      <c r="P408" s="69">
        <f>((115917)/10000)*8.7</f>
        <v>100.84778999999999</v>
      </c>
      <c r="Q408" s="69">
        <f>((113057)/10000)*8.7</f>
        <v>98.359589999999997</v>
      </c>
      <c r="R408" s="69">
        <f t="shared" si="131"/>
        <v>2.488199999999992</v>
      </c>
      <c r="S408" s="435">
        <f t="shared" si="132"/>
        <v>0.22213592233009638</v>
      </c>
      <c r="T408" s="435">
        <f t="shared" si="133"/>
        <v>0.22736264991433394</v>
      </c>
      <c r="U408" s="435"/>
      <c r="V408" s="436"/>
      <c r="W408" s="437"/>
      <c r="X408" s="33"/>
      <c r="Y408" s="33"/>
      <c r="Z408" s="33"/>
      <c r="AA408" s="33"/>
      <c r="AB408" s="438"/>
    </row>
    <row r="409" spans="1:29" x14ac:dyDescent="0.3">
      <c r="A409" s="176">
        <v>44551.091666666667</v>
      </c>
      <c r="B409" s="176">
        <v>44557.375</v>
      </c>
      <c r="C409" s="23"/>
      <c r="D409" s="23"/>
      <c r="E409" s="35" t="s">
        <v>849</v>
      </c>
      <c r="F409" s="25" t="s">
        <v>91</v>
      </c>
      <c r="G409" s="433">
        <v>97584</v>
      </c>
      <c r="H409" s="433"/>
      <c r="I409" s="433">
        <v>179580</v>
      </c>
      <c r="J409" s="26">
        <f t="shared" si="127"/>
        <v>-81996</v>
      </c>
      <c r="K409" s="27">
        <f t="shared" si="128"/>
        <v>6.2833333333328483</v>
      </c>
      <c r="L409" s="27">
        <f>'[128]CAPE AMAL'!$J$188</f>
        <v>3.2215277777993632</v>
      </c>
      <c r="M409" s="434">
        <f t="shared" si="129"/>
        <v>15530.610079576796</v>
      </c>
      <c r="N409" s="434">
        <f t="shared" si="130"/>
        <v>30291.217934696801</v>
      </c>
      <c r="O409" s="434">
        <v>25000</v>
      </c>
      <c r="P409" s="69">
        <f>((112817)/10000)*8.7</f>
        <v>98.150790000000001</v>
      </c>
      <c r="Q409" s="69">
        <f>((88576)/10000)*8.7</f>
        <v>77.061119999999988</v>
      </c>
      <c r="R409" s="69">
        <f t="shared" si="131"/>
        <v>21.089670000000012</v>
      </c>
      <c r="S409" s="435">
        <f t="shared" si="132"/>
        <v>0.24841162485653401</v>
      </c>
      <c r="T409" s="435">
        <f t="shared" si="133"/>
        <v>0.25425660426492303</v>
      </c>
      <c r="U409" s="435"/>
      <c r="V409" s="436"/>
      <c r="W409" s="437"/>
      <c r="X409" s="33"/>
      <c r="Y409" s="33"/>
      <c r="Z409" s="33"/>
      <c r="AA409" s="33"/>
      <c r="AB409" s="438"/>
    </row>
    <row r="410" spans="1:29" x14ac:dyDescent="0.3">
      <c r="A410" s="439"/>
      <c r="B410" s="439"/>
      <c r="C410" s="23"/>
      <c r="D410" s="23"/>
      <c r="E410" s="35"/>
      <c r="F410" s="25"/>
      <c r="G410" s="433"/>
      <c r="H410" s="433"/>
      <c r="I410" s="433"/>
      <c r="J410" s="26"/>
      <c r="K410" s="27"/>
      <c r="L410" s="27"/>
      <c r="M410" s="434"/>
      <c r="N410" s="434"/>
      <c r="O410" s="434"/>
      <c r="P410" s="69"/>
      <c r="Q410" s="69"/>
      <c r="R410" s="69"/>
      <c r="S410" s="435"/>
      <c r="T410" s="435"/>
      <c r="U410" s="435"/>
      <c r="V410" s="436"/>
      <c r="W410" s="437"/>
      <c r="X410" s="33"/>
      <c r="Y410" s="33"/>
      <c r="Z410" s="33"/>
      <c r="AA410" s="33"/>
      <c r="AB410" s="438"/>
    </row>
    <row r="411" spans="1:29" x14ac:dyDescent="0.3">
      <c r="A411" s="20"/>
      <c r="B411" s="20"/>
      <c r="C411" s="20">
        <v>1000000001</v>
      </c>
      <c r="D411" s="20"/>
      <c r="E411" s="21" t="s">
        <v>95</v>
      </c>
      <c r="F411" s="21"/>
      <c r="G411" s="431">
        <f>SUM(G403:G410)</f>
        <v>364728</v>
      </c>
      <c r="H411" s="431"/>
      <c r="I411" s="431"/>
      <c r="J411" s="431"/>
      <c r="K411" s="431"/>
      <c r="L411" s="431"/>
      <c r="M411" s="431">
        <f>AVERAGE(M403:M410)</f>
        <v>18845.283491727812</v>
      </c>
      <c r="N411" s="431">
        <f>AVERAGE(N403:N410)</f>
        <v>31273.264741522114</v>
      </c>
      <c r="O411" s="431"/>
      <c r="P411" s="431"/>
      <c r="Q411" s="431"/>
      <c r="R411" s="440">
        <f>SUM(R403:R410)</f>
        <v>72.145620000000008</v>
      </c>
      <c r="S411" s="441">
        <f>R411/8.7*10000/G411</f>
        <v>0.22736395341185764</v>
      </c>
      <c r="T411" s="440"/>
      <c r="U411" s="440"/>
      <c r="V411" s="442"/>
      <c r="W411" s="22"/>
      <c r="X411" s="22"/>
      <c r="Y411" s="432">
        <v>360000</v>
      </c>
      <c r="Z411" s="432"/>
      <c r="AA411" s="432"/>
      <c r="AB411" s="432"/>
    </row>
    <row r="414" spans="1:29" x14ac:dyDescent="0.3">
      <c r="A414" s="90" t="s">
        <v>98</v>
      </c>
      <c r="H414" s="662"/>
    </row>
    <row r="415" spans="1:29" ht="41.4" x14ac:dyDescent="0.3">
      <c r="A415" s="4" t="s">
        <v>0</v>
      </c>
      <c r="B415" s="4" t="s">
        <v>1</v>
      </c>
      <c r="C415" s="4" t="s">
        <v>2</v>
      </c>
      <c r="D415" s="4" t="s">
        <v>3</v>
      </c>
      <c r="E415" s="5" t="s">
        <v>4</v>
      </c>
      <c r="F415" s="5" t="s">
        <v>5</v>
      </c>
      <c r="G415" s="426" t="s">
        <v>6</v>
      </c>
      <c r="H415" s="426" t="s">
        <v>990</v>
      </c>
      <c r="I415" s="426" t="s">
        <v>8</v>
      </c>
      <c r="J415" s="426" t="s">
        <v>9</v>
      </c>
      <c r="K415" s="426" t="s">
        <v>10</v>
      </c>
      <c r="L415" s="426" t="s">
        <v>11</v>
      </c>
      <c r="M415" s="426" t="s">
        <v>12</v>
      </c>
      <c r="N415" s="426" t="s">
        <v>13</v>
      </c>
      <c r="O415" s="426" t="s">
        <v>14</v>
      </c>
      <c r="P415" s="426" t="s">
        <v>15</v>
      </c>
      <c r="Q415" s="426" t="s">
        <v>16</v>
      </c>
      <c r="R415" s="466" t="s">
        <v>17</v>
      </c>
      <c r="S415" s="426" t="s">
        <v>18</v>
      </c>
      <c r="T415" s="426" t="s">
        <v>19</v>
      </c>
      <c r="U415" s="426" t="s">
        <v>20</v>
      </c>
      <c r="V415" s="426" t="s">
        <v>21</v>
      </c>
      <c r="W415" s="427" t="s">
        <v>22</v>
      </c>
      <c r="X415" s="427" t="s">
        <v>23</v>
      </c>
      <c r="Y415" s="428" t="s">
        <v>24</v>
      </c>
      <c r="Z415" s="428" t="s">
        <v>26</v>
      </c>
      <c r="AA415" s="429" t="s">
        <v>27</v>
      </c>
      <c r="AB415" s="430" t="s">
        <v>28</v>
      </c>
      <c r="AC415" s="12"/>
    </row>
    <row r="416" spans="1:29" x14ac:dyDescent="0.3">
      <c r="A416" s="146"/>
      <c r="B416" s="146"/>
      <c r="C416" s="23"/>
      <c r="D416" s="14"/>
      <c r="E416" s="35"/>
      <c r="F416" s="25"/>
      <c r="G416" s="433"/>
      <c r="H416" s="548"/>
      <c r="I416" s="433"/>
      <c r="J416" s="26"/>
      <c r="K416" s="27"/>
      <c r="L416" s="27"/>
      <c r="M416" s="434"/>
      <c r="N416" s="434"/>
      <c r="O416" s="434"/>
      <c r="P416" s="69"/>
      <c r="Q416" s="69"/>
      <c r="R416" s="69"/>
      <c r="S416" s="435"/>
      <c r="T416" s="435"/>
      <c r="U416" s="435"/>
      <c r="V416" s="436"/>
      <c r="W416" s="437"/>
      <c r="X416" s="33"/>
      <c r="Y416" s="33"/>
      <c r="Z416" s="33"/>
      <c r="AA416" s="33"/>
      <c r="AB416" s="438"/>
      <c r="AC416" s="33"/>
    </row>
    <row r="417" spans="1:29" x14ac:dyDescent="0.3">
      <c r="A417" s="146">
        <v>44558.92083333333</v>
      </c>
      <c r="B417" s="146">
        <v>44562.291666666664</v>
      </c>
      <c r="C417" s="23"/>
      <c r="D417" s="14"/>
      <c r="E417" s="35" t="s">
        <v>565</v>
      </c>
      <c r="F417" s="25" t="s">
        <v>91</v>
      </c>
      <c r="G417" s="433">
        <v>70641</v>
      </c>
      <c r="H417" s="548"/>
      <c r="I417" s="433">
        <v>173000</v>
      </c>
      <c r="J417" s="26">
        <f>G417-I417</f>
        <v>-102359</v>
      </c>
      <c r="K417" s="27">
        <f>B417-A417</f>
        <v>3.3708333333343035</v>
      </c>
      <c r="L417" s="27">
        <f>'[129]WEST TRADER'!$J$102</f>
        <v>2.555555555550705</v>
      </c>
      <c r="M417" s="434">
        <f>(G417)/K417</f>
        <v>20956.538936953177</v>
      </c>
      <c r="N417" s="434">
        <f>G417/L417</f>
        <v>27642.130434835075</v>
      </c>
      <c r="O417" s="434">
        <v>25000</v>
      </c>
      <c r="P417" s="648">
        <f>((86456))</f>
        <v>86456</v>
      </c>
      <c r="Q417" s="648">
        <f>((71386))</f>
        <v>71386</v>
      </c>
      <c r="R417" s="648">
        <f>P417-Q417</f>
        <v>15070</v>
      </c>
      <c r="S417" s="435">
        <f>R417/(G417)</f>
        <v>0.21333220084653387</v>
      </c>
      <c r="T417" s="435">
        <f>R417/(G417)</f>
        <v>0.21333220084653387</v>
      </c>
      <c r="U417" s="435"/>
      <c r="V417" s="436"/>
      <c r="W417" s="32"/>
      <c r="X417" s="33"/>
      <c r="Y417" s="33"/>
      <c r="Z417" s="33"/>
      <c r="AA417" s="33"/>
      <c r="AB417" s="438"/>
      <c r="AC417" s="33"/>
    </row>
    <row r="418" spans="1:29" x14ac:dyDescent="0.3">
      <c r="A418" s="146"/>
      <c r="B418" s="146"/>
      <c r="C418" s="23"/>
      <c r="D418" s="14"/>
      <c r="E418" s="24"/>
      <c r="F418" s="24"/>
      <c r="G418" s="24"/>
      <c r="H418" s="25"/>
      <c r="I418" s="24"/>
      <c r="J418" s="24"/>
      <c r="K418" s="27"/>
      <c r="L418" s="27"/>
      <c r="M418" s="434"/>
      <c r="N418" s="434"/>
      <c r="O418" s="434"/>
      <c r="P418" s="648"/>
      <c r="Q418" s="648"/>
      <c r="R418" s="648"/>
      <c r="S418" s="435"/>
      <c r="T418" s="435"/>
      <c r="U418" s="435"/>
      <c r="V418" s="31"/>
      <c r="W418" s="32"/>
      <c r="X418" s="33"/>
      <c r="Y418" s="33"/>
      <c r="Z418" s="33"/>
      <c r="AA418" s="33"/>
      <c r="AB418" s="438"/>
      <c r="AC418" s="33"/>
    </row>
    <row r="419" spans="1:29" x14ac:dyDescent="0.3">
      <c r="A419" s="439"/>
      <c r="B419" s="439"/>
      <c r="C419" s="23"/>
      <c r="D419" s="23"/>
      <c r="E419" s="35"/>
      <c r="F419" s="25"/>
      <c r="G419" s="433"/>
      <c r="H419" s="548"/>
      <c r="I419" s="433"/>
      <c r="J419" s="26"/>
      <c r="K419" s="27"/>
      <c r="L419" s="27"/>
      <c r="M419" s="434"/>
      <c r="N419" s="434"/>
      <c r="O419" s="434"/>
      <c r="P419" s="648"/>
      <c r="Q419" s="648"/>
      <c r="R419" s="648"/>
      <c r="S419" s="435"/>
      <c r="T419" s="435"/>
      <c r="U419" s="435"/>
      <c r="V419" s="436"/>
      <c r="W419" s="437"/>
      <c r="X419" s="33"/>
      <c r="Y419" s="33"/>
      <c r="Z419" s="33"/>
      <c r="AA419" s="33"/>
      <c r="AB419" s="438"/>
      <c r="AC419" s="33"/>
    </row>
    <row r="420" spans="1:29" x14ac:dyDescent="0.3">
      <c r="A420" s="20"/>
      <c r="B420" s="20"/>
      <c r="C420" s="20">
        <v>1000000001</v>
      </c>
      <c r="D420" s="20"/>
      <c r="E420" s="21" t="s">
        <v>30</v>
      </c>
      <c r="F420" s="21"/>
      <c r="G420" s="431">
        <f>SUM(G416:G419)</f>
        <v>70641</v>
      </c>
      <c r="H420" s="482"/>
      <c r="I420" s="431"/>
      <c r="J420" s="431"/>
      <c r="K420" s="431"/>
      <c r="L420" s="431"/>
      <c r="M420" s="431">
        <f>AVERAGE(M417:M418)</f>
        <v>20956.538936953177</v>
      </c>
      <c r="N420" s="431">
        <f>AVERAGE(N417:N418)</f>
        <v>27642.130434835075</v>
      </c>
      <c r="O420" s="431"/>
      <c r="P420" s="663"/>
      <c r="Q420" s="663"/>
      <c r="R420" s="663">
        <f>SUM(R416:R419)</f>
        <v>15070</v>
      </c>
      <c r="S420" s="441">
        <f>R420/G420</f>
        <v>0.21333220084653387</v>
      </c>
      <c r="T420" s="440"/>
      <c r="U420" s="440"/>
      <c r="V420" s="442"/>
      <c r="W420" s="22"/>
      <c r="X420" s="22"/>
      <c r="Y420" s="432">
        <v>360000</v>
      </c>
      <c r="Z420" s="432"/>
      <c r="AA420" s="432"/>
      <c r="AB420" s="432"/>
      <c r="AC420" s="432"/>
    </row>
    <row r="421" spans="1:29" x14ac:dyDescent="0.3">
      <c r="A421" s="146"/>
      <c r="B421" s="146"/>
      <c r="C421" s="23"/>
      <c r="D421" s="14"/>
      <c r="E421" s="24"/>
      <c r="F421" s="24"/>
      <c r="G421" s="24"/>
      <c r="H421" s="25"/>
      <c r="I421" s="24"/>
      <c r="J421" s="26"/>
      <c r="K421" s="27"/>
      <c r="L421" s="27"/>
      <c r="M421" s="434"/>
      <c r="N421" s="434"/>
      <c r="O421" s="434"/>
      <c r="P421" s="69"/>
      <c r="Q421" s="69"/>
      <c r="R421" s="69"/>
      <c r="S421" s="435"/>
      <c r="T421" s="435"/>
      <c r="U421" s="435"/>
      <c r="V421" s="436"/>
      <c r="W421" s="437"/>
      <c r="X421" s="33"/>
      <c r="Y421" s="33"/>
      <c r="Z421" s="33"/>
      <c r="AA421" s="33"/>
      <c r="AB421" s="438"/>
      <c r="AC421" s="33"/>
    </row>
    <row r="422" spans="1:29" x14ac:dyDescent="0.3">
      <c r="A422" s="439"/>
      <c r="B422" s="439"/>
      <c r="C422" s="23"/>
      <c r="D422" s="23"/>
      <c r="E422" s="35"/>
      <c r="F422" s="25"/>
      <c r="G422" s="433"/>
      <c r="H422" s="548"/>
      <c r="I422" s="433"/>
      <c r="J422" s="26"/>
      <c r="K422" s="27"/>
      <c r="L422" s="27"/>
      <c r="M422" s="434"/>
      <c r="N422" s="434"/>
      <c r="O422" s="434"/>
      <c r="P422" s="69"/>
      <c r="Q422" s="69"/>
      <c r="R422" s="69"/>
      <c r="S422" s="435"/>
      <c r="T422" s="435"/>
      <c r="U422" s="435"/>
      <c r="V422" s="436"/>
      <c r="W422" s="437"/>
      <c r="X422" s="33"/>
      <c r="Y422" s="33"/>
      <c r="Z422" s="33"/>
      <c r="AA422" s="33"/>
      <c r="AB422" s="438"/>
      <c r="AC422" s="33"/>
    </row>
    <row r="423" spans="1:29" x14ac:dyDescent="0.3">
      <c r="A423" s="20"/>
      <c r="B423" s="20"/>
      <c r="C423" s="20">
        <v>1000000001</v>
      </c>
      <c r="D423" s="20"/>
      <c r="E423" s="21" t="s">
        <v>37</v>
      </c>
      <c r="F423" s="21"/>
      <c r="G423" s="431">
        <f>SUM(G422:G422)</f>
        <v>0</v>
      </c>
      <c r="H423" s="482"/>
      <c r="I423" s="431"/>
      <c r="J423" s="431"/>
      <c r="K423" s="431"/>
      <c r="L423" s="431"/>
      <c r="M423" s="431">
        <v>0</v>
      </c>
      <c r="N423" s="431">
        <v>0</v>
      </c>
      <c r="O423" s="431"/>
      <c r="P423" s="431"/>
      <c r="Q423" s="431"/>
      <c r="R423" s="440">
        <f>SUM(R421:R422)</f>
        <v>0</v>
      </c>
      <c r="S423" s="441">
        <v>0</v>
      </c>
      <c r="T423" s="440"/>
      <c r="U423" s="440"/>
      <c r="V423" s="442"/>
      <c r="W423" s="22"/>
      <c r="X423" s="22"/>
      <c r="Y423" s="432">
        <v>360000</v>
      </c>
      <c r="Z423" s="432"/>
      <c r="AA423" s="432"/>
      <c r="AB423" s="432"/>
      <c r="AC423" s="432"/>
    </row>
    <row r="424" spans="1:29" x14ac:dyDescent="0.3">
      <c r="A424" s="146"/>
      <c r="B424" s="146"/>
      <c r="C424" s="23"/>
      <c r="D424" s="14"/>
      <c r="E424" s="35"/>
      <c r="F424" s="25"/>
      <c r="G424" s="433"/>
      <c r="H424" s="548"/>
      <c r="I424" s="433"/>
      <c r="J424" s="26"/>
      <c r="K424" s="27"/>
      <c r="L424" s="27"/>
      <c r="M424" s="434"/>
      <c r="N424" s="434"/>
      <c r="O424" s="434"/>
      <c r="P424" s="69"/>
      <c r="Q424" s="69"/>
      <c r="R424" s="69"/>
      <c r="S424" s="435"/>
      <c r="T424" s="435"/>
      <c r="U424" s="435"/>
      <c r="V424" s="436"/>
      <c r="W424" s="437"/>
      <c r="X424" s="33"/>
      <c r="Y424" s="33"/>
      <c r="Z424" s="33"/>
      <c r="AA424" s="33"/>
      <c r="AB424" s="438"/>
      <c r="AC424" s="33"/>
    </row>
    <row r="425" spans="1:29" x14ac:dyDescent="0.3">
      <c r="A425" s="146">
        <v>44583.908333333333</v>
      </c>
      <c r="B425" s="146">
        <v>44641.966666666667</v>
      </c>
      <c r="C425" s="23"/>
      <c r="D425" s="14"/>
      <c r="E425" s="35" t="s">
        <v>1098</v>
      </c>
      <c r="F425" s="36" t="s">
        <v>91</v>
      </c>
      <c r="G425" s="433">
        <v>186248</v>
      </c>
      <c r="H425" s="548" t="s">
        <v>1099</v>
      </c>
      <c r="I425" s="433">
        <v>202150</v>
      </c>
      <c r="J425" s="26">
        <f>G425-I425</f>
        <v>-15902</v>
      </c>
      <c r="K425" s="27">
        <f>B425-A425</f>
        <v>58.058333333334303</v>
      </c>
      <c r="L425" s="27">
        <f>'[130]SAMC TRANSPORTER'!$J$653</f>
        <v>14.404861111100196</v>
      </c>
      <c r="M425" s="434">
        <f>(G425)/K425</f>
        <v>3207.9460312903152</v>
      </c>
      <c r="N425" s="434">
        <f>G425/L425</f>
        <v>12929.524176840536</v>
      </c>
      <c r="O425" s="434">
        <v>25000</v>
      </c>
      <c r="P425" s="648">
        <f>83861+113173</f>
        <v>197034</v>
      </c>
      <c r="Q425" s="648">
        <v>64229</v>
      </c>
      <c r="R425" s="648">
        <f t="shared" ref="R425" si="134">P425-Q425</f>
        <v>132805</v>
      </c>
      <c r="S425" s="435">
        <f>R425/(G425)</f>
        <v>0.71305463682831494</v>
      </c>
      <c r="T425" s="435">
        <f>R425/(G425)</f>
        <v>0.71305463682831494</v>
      </c>
      <c r="U425" s="435"/>
      <c r="V425" s="436"/>
      <c r="W425" s="32"/>
      <c r="X425" s="33"/>
      <c r="Y425" s="33"/>
      <c r="Z425" s="33"/>
      <c r="AA425" s="33"/>
      <c r="AB425" s="438"/>
      <c r="AC425" s="33"/>
    </row>
    <row r="426" spans="1:29" x14ac:dyDescent="0.3">
      <c r="A426" s="439"/>
      <c r="B426" s="439"/>
      <c r="C426" s="23"/>
      <c r="D426" s="23"/>
      <c r="E426" s="35"/>
      <c r="F426" s="25"/>
      <c r="G426" s="433"/>
      <c r="H426" s="548"/>
      <c r="I426" s="433"/>
      <c r="J426" s="26"/>
      <c r="K426" s="27"/>
      <c r="L426" s="27"/>
      <c r="M426" s="434"/>
      <c r="N426" s="434"/>
      <c r="O426" s="434"/>
      <c r="P426" s="69"/>
      <c r="Q426" s="69"/>
      <c r="R426" s="69"/>
      <c r="S426" s="435"/>
      <c r="T426" s="435"/>
      <c r="U426" s="435"/>
      <c r="V426" s="436"/>
      <c r="W426" s="437"/>
      <c r="X426" s="33"/>
      <c r="Y426" s="33"/>
      <c r="Z426" s="33"/>
      <c r="AA426" s="33"/>
      <c r="AB426" s="438"/>
      <c r="AC426" s="33"/>
    </row>
    <row r="427" spans="1:29" x14ac:dyDescent="0.3">
      <c r="A427" s="20"/>
      <c r="B427" s="20"/>
      <c r="C427" s="20">
        <v>1000000001</v>
      </c>
      <c r="D427" s="20"/>
      <c r="E427" s="21" t="s">
        <v>42</v>
      </c>
      <c r="F427" s="21"/>
      <c r="G427" s="431">
        <f>SUM(G424:G426)</f>
        <v>186248</v>
      </c>
      <c r="H427" s="482"/>
      <c r="I427" s="431"/>
      <c r="J427" s="431"/>
      <c r="K427" s="431"/>
      <c r="L427" s="431"/>
      <c r="M427" s="431">
        <f>AVERAGE(M425:M425)</f>
        <v>3207.9460312903152</v>
      </c>
      <c r="N427" s="431">
        <f>AVERAGE(N425:N425)</f>
        <v>12929.524176840536</v>
      </c>
      <c r="O427" s="431"/>
      <c r="P427" s="431"/>
      <c r="Q427" s="431"/>
      <c r="R427" s="663">
        <f>SUM(R424:R426)</f>
        <v>132805</v>
      </c>
      <c r="S427" s="441">
        <f>R427/G427</f>
        <v>0.71305463682831494</v>
      </c>
      <c r="T427" s="440"/>
      <c r="U427" s="440"/>
      <c r="V427" s="442"/>
      <c r="W427" s="22"/>
      <c r="X427" s="22"/>
      <c r="Y427" s="432">
        <v>360000</v>
      </c>
      <c r="Z427" s="432"/>
      <c r="AA427" s="432"/>
      <c r="AB427" s="432"/>
      <c r="AC427" s="432"/>
    </row>
    <row r="428" spans="1:29" x14ac:dyDescent="0.3">
      <c r="A428" s="146"/>
      <c r="B428" s="146"/>
      <c r="C428" s="23"/>
      <c r="D428" s="14"/>
      <c r="E428" s="35"/>
      <c r="F428" s="25"/>
      <c r="G428" s="433"/>
      <c r="H428" s="548"/>
      <c r="I428" s="433"/>
      <c r="J428" s="26"/>
      <c r="K428" s="27"/>
      <c r="L428" s="27"/>
      <c r="M428" s="434"/>
      <c r="N428" s="434"/>
      <c r="O428" s="434"/>
      <c r="P428" s="69"/>
      <c r="Q428" s="69"/>
      <c r="R428" s="69"/>
      <c r="S428" s="435"/>
      <c r="T428" s="435"/>
      <c r="U428" s="435"/>
      <c r="V428" s="436"/>
      <c r="W428" s="437"/>
      <c r="X428" s="33"/>
      <c r="Y428" s="33"/>
      <c r="Z428" s="33"/>
      <c r="AA428" s="33"/>
      <c r="AB428" s="438"/>
      <c r="AC428" s="33"/>
    </row>
    <row r="429" spans="1:29" x14ac:dyDescent="0.3">
      <c r="A429" s="146"/>
      <c r="B429" s="146"/>
      <c r="C429" s="23"/>
      <c r="D429" s="14"/>
      <c r="E429" s="35"/>
      <c r="F429" s="25"/>
      <c r="G429" s="433"/>
      <c r="H429" s="548"/>
      <c r="I429" s="433"/>
      <c r="J429" s="26"/>
      <c r="K429" s="27"/>
      <c r="L429" s="27"/>
      <c r="M429" s="434"/>
      <c r="N429" s="434"/>
      <c r="O429" s="434"/>
      <c r="P429" s="69"/>
      <c r="Q429" s="69"/>
      <c r="R429" s="69"/>
      <c r="S429" s="435"/>
      <c r="T429" s="435"/>
      <c r="U429" s="435"/>
      <c r="V429" s="436"/>
      <c r="W429" s="437"/>
      <c r="X429" s="33"/>
      <c r="Y429" s="33"/>
      <c r="Z429" s="33"/>
      <c r="AA429" s="33"/>
      <c r="AB429" s="438"/>
      <c r="AC429" s="33"/>
    </row>
    <row r="430" spans="1:29" x14ac:dyDescent="0.3">
      <c r="A430" s="146"/>
      <c r="B430" s="146"/>
      <c r="C430" s="23"/>
      <c r="D430" s="14"/>
      <c r="E430" s="35"/>
      <c r="F430" s="25"/>
      <c r="G430" s="433"/>
      <c r="H430" s="548"/>
      <c r="I430" s="433"/>
      <c r="J430" s="26"/>
      <c r="K430" s="27"/>
      <c r="L430" s="27"/>
      <c r="M430" s="434"/>
      <c r="N430" s="434"/>
      <c r="O430" s="434"/>
      <c r="P430" s="69"/>
      <c r="Q430" s="69"/>
      <c r="R430" s="69"/>
      <c r="S430" s="435"/>
      <c r="T430" s="435"/>
      <c r="U430" s="435"/>
      <c r="V430" s="436"/>
      <c r="W430" s="437"/>
      <c r="X430" s="33"/>
      <c r="Y430" s="33"/>
      <c r="Z430" s="33"/>
      <c r="AA430" s="33"/>
      <c r="AB430" s="438"/>
      <c r="AC430" s="33"/>
    </row>
    <row r="431" spans="1:29" x14ac:dyDescent="0.3">
      <c r="A431" s="146">
        <v>44655.791666666664</v>
      </c>
      <c r="B431" s="146">
        <v>44676.333333333336</v>
      </c>
      <c r="C431" s="23"/>
      <c r="D431" s="23"/>
      <c r="E431" s="35" t="s">
        <v>1100</v>
      </c>
      <c r="F431" s="25" t="s">
        <v>91</v>
      </c>
      <c r="G431" s="433">
        <v>0</v>
      </c>
      <c r="H431" s="548" t="s">
        <v>1101</v>
      </c>
      <c r="I431" s="433">
        <v>178204</v>
      </c>
      <c r="J431" s="26">
        <f>G431-I431</f>
        <v>-178204</v>
      </c>
      <c r="K431" s="27">
        <f>B431-A431</f>
        <v>20.541666666671517</v>
      </c>
      <c r="L431" s="483"/>
      <c r="M431" s="434">
        <f>(G431)/K431</f>
        <v>0</v>
      </c>
      <c r="N431" s="434" t="e">
        <f>G431/L431</f>
        <v>#DIV/0!</v>
      </c>
      <c r="O431" s="434">
        <v>25000</v>
      </c>
      <c r="P431" s="648">
        <v>65081</v>
      </c>
      <c r="Q431" s="648">
        <v>40610</v>
      </c>
      <c r="R431" s="648">
        <f t="shared" ref="R431" si="135">P431-Q431</f>
        <v>24471</v>
      </c>
      <c r="S431" s="435" t="e">
        <f>R431/(G431)</f>
        <v>#DIV/0!</v>
      </c>
      <c r="T431" s="435" t="e">
        <f>R431/(G431)</f>
        <v>#DIV/0!</v>
      </c>
      <c r="U431" s="435"/>
      <c r="V431" s="436"/>
      <c r="W431" s="32"/>
      <c r="X431" s="33"/>
      <c r="Y431" s="33"/>
      <c r="Z431" s="33"/>
      <c r="AA431" s="33"/>
      <c r="AB431" s="438"/>
      <c r="AC431" s="33"/>
    </row>
    <row r="432" spans="1:29" x14ac:dyDescent="0.3">
      <c r="A432" s="439"/>
      <c r="B432" s="439"/>
      <c r="C432" s="23"/>
      <c r="D432" s="23"/>
      <c r="E432" s="35"/>
      <c r="F432" s="25"/>
      <c r="G432" s="433"/>
      <c r="H432" s="548"/>
      <c r="I432" s="433"/>
      <c r="J432" s="26"/>
      <c r="K432" s="27"/>
      <c r="L432" s="27"/>
      <c r="M432" s="434"/>
      <c r="N432" s="434"/>
      <c r="O432" s="434"/>
      <c r="P432" s="69"/>
      <c r="Q432" s="69"/>
      <c r="R432" s="69"/>
      <c r="S432" s="435"/>
      <c r="T432" s="435"/>
      <c r="U432" s="435"/>
      <c r="V432" s="436"/>
      <c r="W432" s="437"/>
      <c r="X432" s="33"/>
      <c r="Y432" s="33"/>
      <c r="Z432" s="33"/>
      <c r="AA432" s="33"/>
      <c r="AB432" s="438"/>
      <c r="AC432" s="33"/>
    </row>
    <row r="433" spans="1:29" x14ac:dyDescent="0.3">
      <c r="A433" s="20"/>
      <c r="B433" s="20"/>
      <c r="C433" s="20">
        <v>1000000001</v>
      </c>
      <c r="D433" s="20"/>
      <c r="E433" s="21" t="s">
        <v>43</v>
      </c>
      <c r="F433" s="21"/>
      <c r="G433" s="431">
        <f>SUM(G428:G432)</f>
        <v>0</v>
      </c>
      <c r="H433" s="482"/>
      <c r="I433" s="431"/>
      <c r="J433" s="431"/>
      <c r="K433" s="431"/>
      <c r="L433" s="431"/>
      <c r="M433" s="431">
        <f>AVERAGE(M431:M432)</f>
        <v>0</v>
      </c>
      <c r="N433" s="431" t="e">
        <f>AVERAGE(N431:N432)</f>
        <v>#DIV/0!</v>
      </c>
      <c r="O433" s="431"/>
      <c r="P433" s="431"/>
      <c r="Q433" s="431"/>
      <c r="R433" s="663">
        <f>SUM(R428:R432)</f>
        <v>24471</v>
      </c>
      <c r="S433" s="441" t="e">
        <f>R433/8.7*10000/G433</f>
        <v>#DIV/0!</v>
      </c>
      <c r="T433" s="440"/>
      <c r="U433" s="440"/>
      <c r="V433" s="442"/>
      <c r="W433" s="22"/>
      <c r="X433" s="22"/>
      <c r="Y433" s="432">
        <v>360000</v>
      </c>
      <c r="Z433" s="432"/>
      <c r="AA433" s="432"/>
      <c r="AB433" s="432"/>
      <c r="AC433" s="432"/>
    </row>
    <row r="434" spans="1:29" x14ac:dyDescent="0.3">
      <c r="A434" s="146"/>
      <c r="B434" s="146"/>
      <c r="C434" s="23"/>
      <c r="D434" s="14"/>
      <c r="E434" s="35"/>
      <c r="F434" s="25"/>
      <c r="G434" s="433"/>
      <c r="H434" s="548"/>
      <c r="I434" s="433"/>
      <c r="J434" s="26"/>
      <c r="K434" s="27"/>
      <c r="L434" s="27"/>
      <c r="M434" s="434"/>
      <c r="N434" s="434"/>
      <c r="O434" s="434"/>
      <c r="P434" s="69"/>
      <c r="Q434" s="69"/>
      <c r="R434" s="69"/>
      <c r="S434" s="435"/>
      <c r="T434" s="435"/>
      <c r="U434" s="435"/>
      <c r="V434" s="436"/>
      <c r="W434" s="437"/>
      <c r="X434" s="33"/>
      <c r="Y434" s="33"/>
      <c r="Z434" s="33"/>
      <c r="AA434" s="33"/>
      <c r="AB434" s="438"/>
      <c r="AC434" s="33"/>
    </row>
    <row r="435" spans="1:29" x14ac:dyDescent="0.3">
      <c r="A435" s="146">
        <v>44688.55</v>
      </c>
      <c r="B435" s="146">
        <v>44710.770833333336</v>
      </c>
      <c r="C435" s="23"/>
      <c r="D435" s="14"/>
      <c r="E435" s="35" t="s">
        <v>1102</v>
      </c>
      <c r="F435" s="25" t="s">
        <v>91</v>
      </c>
      <c r="G435" s="433">
        <v>52089</v>
      </c>
      <c r="H435" s="548" t="s">
        <v>1099</v>
      </c>
      <c r="I435" s="433">
        <v>179610</v>
      </c>
      <c r="J435" s="26">
        <f>G435-I435</f>
        <v>-127521</v>
      </c>
      <c r="K435" s="27">
        <f>B435-A435</f>
        <v>22.220833333332848</v>
      </c>
      <c r="L435" s="565">
        <f>'[131]GEORGE ISLAND'!$J$389</f>
        <v>2.9874999999434912</v>
      </c>
      <c r="M435" s="434">
        <f>(G435)/K435</f>
        <v>2344.1515094693932</v>
      </c>
      <c r="N435" s="434">
        <f>G435/L435</f>
        <v>17435.648535894648</v>
      </c>
      <c r="O435" s="434">
        <v>25000</v>
      </c>
      <c r="P435" s="648">
        <f>24490+68508</f>
        <v>92998</v>
      </c>
      <c r="Q435" s="648">
        <v>47196</v>
      </c>
      <c r="R435" s="648">
        <f t="shared" ref="R435" si="136">P435-Q435</f>
        <v>45802</v>
      </c>
      <c r="S435" s="435">
        <f>R435/(G435)</f>
        <v>0.8793027318627733</v>
      </c>
      <c r="T435" s="435">
        <f>R435/(G435)</f>
        <v>0.8793027318627733</v>
      </c>
      <c r="U435" s="435"/>
      <c r="V435" s="436"/>
      <c r="W435" s="32"/>
      <c r="X435" s="33"/>
      <c r="Y435" s="33"/>
      <c r="Z435" s="33"/>
      <c r="AA435" s="33"/>
      <c r="AB435" s="438"/>
      <c r="AC435" s="33"/>
    </row>
    <row r="436" spans="1:29" x14ac:dyDescent="0.3">
      <c r="A436" s="439"/>
      <c r="B436" s="439"/>
      <c r="C436" s="23"/>
      <c r="D436" s="23"/>
      <c r="E436" s="35"/>
      <c r="F436" s="25"/>
      <c r="G436" s="433"/>
      <c r="H436" s="548"/>
      <c r="I436" s="433"/>
      <c r="J436" s="26"/>
      <c r="K436" s="27"/>
      <c r="L436" s="27"/>
      <c r="M436" s="434"/>
      <c r="N436" s="434"/>
      <c r="O436" s="434"/>
      <c r="P436" s="69"/>
      <c r="Q436" s="69"/>
      <c r="R436" s="69"/>
      <c r="S436" s="435"/>
      <c r="T436" s="435"/>
      <c r="U436" s="435"/>
      <c r="V436" s="436"/>
      <c r="W436" s="437"/>
      <c r="X436" s="33"/>
      <c r="Y436" s="33"/>
      <c r="Z436" s="33"/>
      <c r="AA436" s="33"/>
      <c r="AB436" s="438"/>
      <c r="AC436" s="33"/>
    </row>
    <row r="437" spans="1:29" x14ac:dyDescent="0.3">
      <c r="A437" s="20"/>
      <c r="B437" s="20"/>
      <c r="C437" s="20">
        <v>1000000001</v>
      </c>
      <c r="D437" s="20"/>
      <c r="E437" s="21" t="s">
        <v>52</v>
      </c>
      <c r="F437" s="21"/>
      <c r="G437" s="431">
        <f>SUM(G434:G436)</f>
        <v>52089</v>
      </c>
      <c r="H437" s="482"/>
      <c r="I437" s="431"/>
      <c r="J437" s="431"/>
      <c r="K437" s="431"/>
      <c r="L437" s="431"/>
      <c r="M437" s="431">
        <f>AVERAGE(M435:M435)</f>
        <v>2344.1515094693932</v>
      </c>
      <c r="N437" s="431">
        <f>AVERAGE(N435:N436)</f>
        <v>17435.648535894648</v>
      </c>
      <c r="O437" s="431"/>
      <c r="P437" s="431"/>
      <c r="Q437" s="431"/>
      <c r="R437" s="663">
        <f>SUM(R434:R436)</f>
        <v>45802</v>
      </c>
      <c r="S437" s="441">
        <f>R437/G437</f>
        <v>0.8793027318627733</v>
      </c>
      <c r="T437" s="440"/>
      <c r="U437" s="440"/>
      <c r="V437" s="442"/>
      <c r="W437" s="22"/>
      <c r="X437" s="22"/>
      <c r="Y437" s="432">
        <v>360000</v>
      </c>
      <c r="Z437" s="432"/>
      <c r="AA437" s="432"/>
      <c r="AB437" s="432"/>
      <c r="AC437" s="432"/>
    </row>
    <row r="438" spans="1:29" x14ac:dyDescent="0.3">
      <c r="A438" s="146"/>
      <c r="B438" s="146"/>
      <c r="C438" s="23"/>
      <c r="D438" s="14"/>
      <c r="E438" s="35"/>
      <c r="F438" s="25"/>
      <c r="G438" s="433"/>
      <c r="H438" s="548"/>
      <c r="I438" s="433"/>
      <c r="J438" s="26"/>
      <c r="K438" s="27"/>
      <c r="L438" s="27"/>
      <c r="M438" s="434"/>
      <c r="N438" s="434"/>
      <c r="O438" s="434"/>
      <c r="P438" s="69"/>
      <c r="Q438" s="69"/>
      <c r="R438" s="69"/>
      <c r="S438" s="435"/>
      <c r="T438" s="435"/>
      <c r="U438" s="435"/>
      <c r="V438" s="436"/>
      <c r="W438" s="437"/>
      <c r="X438" s="33"/>
      <c r="Y438" s="33"/>
      <c r="Z438" s="33"/>
      <c r="AA438" s="33"/>
      <c r="AB438" s="438"/>
      <c r="AC438" s="33"/>
    </row>
    <row r="439" spans="1:29" x14ac:dyDescent="0.3">
      <c r="A439" s="146">
        <v>44714.783333333333</v>
      </c>
      <c r="B439" s="146">
        <v>44739.633333333331</v>
      </c>
      <c r="C439" s="24"/>
      <c r="D439" s="24"/>
      <c r="E439" s="24" t="s">
        <v>301</v>
      </c>
      <c r="F439" s="25" t="s">
        <v>91</v>
      </c>
      <c r="G439" s="433">
        <v>171166</v>
      </c>
      <c r="H439" s="548" t="s">
        <v>1103</v>
      </c>
      <c r="I439" s="433">
        <v>171150</v>
      </c>
      <c r="J439" s="26">
        <f>G439-I439</f>
        <v>16</v>
      </c>
      <c r="K439" s="27">
        <f>B439-A439</f>
        <v>24.849999999998545</v>
      </c>
      <c r="L439" s="565">
        <f>'[132]STAR ANGIE'!$J$924</f>
        <v>16.465277777777779</v>
      </c>
      <c r="M439" s="434">
        <f>(G439)/K439</f>
        <v>6887.9678068414496</v>
      </c>
      <c r="N439" s="434">
        <f>G439/L439</f>
        <v>10395.573175875157</v>
      </c>
      <c r="O439" s="434">
        <v>25000</v>
      </c>
      <c r="P439" s="648">
        <f>43006+50669</f>
        <v>93675</v>
      </c>
      <c r="Q439" s="648">
        <v>23844</v>
      </c>
      <c r="R439" s="648">
        <f t="shared" ref="R439" si="137">P439-Q439</f>
        <v>69831</v>
      </c>
      <c r="S439" s="435">
        <f>R439/(G439)</f>
        <v>0.40797237769183131</v>
      </c>
      <c r="T439" s="435">
        <f>R439/(G439)</f>
        <v>0.40797237769183131</v>
      </c>
      <c r="U439" s="435"/>
      <c r="V439" s="436"/>
      <c r="W439" s="32"/>
      <c r="X439" s="33"/>
      <c r="Y439" s="33"/>
      <c r="Z439" s="33"/>
      <c r="AA439" s="33"/>
      <c r="AB439" s="438"/>
      <c r="AC439" s="33"/>
    </row>
    <row r="440" spans="1:29" x14ac:dyDescent="0.3">
      <c r="A440" s="439"/>
      <c r="B440" s="439"/>
      <c r="C440" s="23"/>
      <c r="D440" s="23"/>
      <c r="E440" s="35"/>
      <c r="F440" s="25"/>
      <c r="G440" s="433"/>
      <c r="H440" s="548"/>
      <c r="I440" s="433"/>
      <c r="J440" s="26"/>
      <c r="K440" s="27"/>
      <c r="L440" s="27"/>
      <c r="M440" s="434"/>
      <c r="N440" s="434"/>
      <c r="O440" s="434"/>
      <c r="P440" s="69"/>
      <c r="Q440" s="69"/>
      <c r="R440" s="69"/>
      <c r="S440" s="435"/>
      <c r="T440" s="435"/>
      <c r="U440" s="435"/>
      <c r="V440" s="436"/>
      <c r="W440" s="437"/>
      <c r="X440" s="33"/>
      <c r="Y440" s="33"/>
      <c r="Z440" s="33"/>
      <c r="AA440" s="33"/>
      <c r="AB440" s="438"/>
      <c r="AC440" s="33"/>
    </row>
    <row r="441" spans="1:29" x14ac:dyDescent="0.3">
      <c r="A441" s="20"/>
      <c r="B441" s="20"/>
      <c r="C441" s="20">
        <v>1000000001</v>
      </c>
      <c r="D441" s="20"/>
      <c r="E441" s="21" t="s">
        <v>60</v>
      </c>
      <c r="F441" s="21"/>
      <c r="G441" s="431">
        <f>SUM(G438:G440)</f>
        <v>171166</v>
      </c>
      <c r="H441" s="482"/>
      <c r="I441" s="431"/>
      <c r="J441" s="431"/>
      <c r="K441" s="431"/>
      <c r="L441" s="431"/>
      <c r="M441" s="431">
        <f>AVERAGE(M439:M439)</f>
        <v>6887.9678068414496</v>
      </c>
      <c r="N441" s="431">
        <f>AVERAGE(N439:N440)</f>
        <v>10395.573175875157</v>
      </c>
      <c r="O441" s="431"/>
      <c r="P441" s="431"/>
      <c r="Q441" s="431"/>
      <c r="R441" s="663">
        <f>SUM(R439:R440)</f>
        <v>69831</v>
      </c>
      <c r="S441" s="441">
        <f>R441/G441</f>
        <v>0.40797237769183131</v>
      </c>
      <c r="T441" s="440"/>
      <c r="U441" s="440"/>
      <c r="V441" s="442"/>
      <c r="W441" s="22"/>
      <c r="X441" s="22"/>
      <c r="Y441" s="432">
        <v>360000</v>
      </c>
      <c r="Z441" s="432"/>
      <c r="AA441" s="432"/>
      <c r="AB441" s="432"/>
      <c r="AC441" s="432"/>
    </row>
    <row r="442" spans="1:29" x14ac:dyDescent="0.3">
      <c r="A442" s="146"/>
      <c r="B442" s="146"/>
      <c r="C442" s="23"/>
      <c r="D442" s="14"/>
      <c r="E442" s="35"/>
      <c r="F442" s="25"/>
      <c r="G442" s="433"/>
      <c r="H442" s="548"/>
      <c r="I442" s="433"/>
      <c r="J442" s="26"/>
      <c r="K442" s="27"/>
      <c r="L442" s="27"/>
      <c r="M442" s="434"/>
      <c r="N442" s="434"/>
      <c r="O442" s="434"/>
      <c r="P442" s="69"/>
      <c r="Q442" s="69"/>
      <c r="R442" s="69"/>
      <c r="S442" s="435"/>
      <c r="T442" s="435"/>
      <c r="U442" s="435"/>
      <c r="V442" s="436"/>
      <c r="W442" s="437"/>
      <c r="X442" s="33"/>
      <c r="Y442" s="33"/>
      <c r="Z442" s="33"/>
      <c r="AA442" s="33"/>
      <c r="AB442" s="438"/>
      <c r="AC442" s="33"/>
    </row>
    <row r="443" spans="1:29" x14ac:dyDescent="0.3">
      <c r="A443" s="146">
        <v>44740.6</v>
      </c>
      <c r="B443" s="146">
        <v>44767.908333333333</v>
      </c>
      <c r="C443" s="23"/>
      <c r="D443" s="23"/>
      <c r="E443" s="35" t="s">
        <v>1104</v>
      </c>
      <c r="F443" s="25" t="s">
        <v>91</v>
      </c>
      <c r="G443" s="433">
        <v>198000</v>
      </c>
      <c r="H443" s="548" t="s">
        <v>1103</v>
      </c>
      <c r="I443" s="433">
        <v>198000</v>
      </c>
      <c r="J443" s="26">
        <f>G443-I443</f>
        <v>0</v>
      </c>
      <c r="K443" s="27">
        <f>B443-A443</f>
        <v>27.308333333334303</v>
      </c>
      <c r="L443" s="565">
        <f>[133]MAHARAJ!$J$1274</f>
        <v>9.1229166666004566</v>
      </c>
      <c r="M443" s="434">
        <f>(G443)/K443</f>
        <v>7250.5340250226291</v>
      </c>
      <c r="N443" s="434">
        <f>G443/L443</f>
        <v>21703.585293603508</v>
      </c>
      <c r="O443" s="434">
        <v>25000</v>
      </c>
      <c r="P443" s="648">
        <f>22694+76742</f>
        <v>99436</v>
      </c>
      <c r="Q443" s="648">
        <v>17836</v>
      </c>
      <c r="R443" s="648">
        <f t="shared" ref="R443" si="138">P443-Q443</f>
        <v>81600</v>
      </c>
      <c r="S443" s="435">
        <f>R443/(G443)</f>
        <v>0.41212121212121211</v>
      </c>
      <c r="T443" s="435">
        <f>R443/(G443)</f>
        <v>0.41212121212121211</v>
      </c>
      <c r="U443" s="435"/>
      <c r="V443" s="436"/>
      <c r="W443" s="32"/>
      <c r="X443" s="33"/>
      <c r="Y443" s="33"/>
      <c r="Z443" s="33"/>
      <c r="AA443" s="33"/>
      <c r="AB443" s="438"/>
      <c r="AC443" s="33"/>
    </row>
    <row r="444" spans="1:29" x14ac:dyDescent="0.3">
      <c r="A444" s="439" t="s">
        <v>536</v>
      </c>
      <c r="B444" s="439"/>
      <c r="C444" s="23"/>
      <c r="D444" s="23"/>
      <c r="E444" s="35"/>
      <c r="F444" s="25"/>
      <c r="G444" s="433"/>
      <c r="H444" s="548"/>
      <c r="I444" s="433"/>
      <c r="J444" s="26"/>
      <c r="K444" s="27"/>
      <c r="L444" s="27"/>
      <c r="M444" s="434"/>
      <c r="N444" s="434"/>
      <c r="O444" s="434"/>
      <c r="P444" s="69"/>
      <c r="Q444" s="69"/>
      <c r="R444" s="69"/>
      <c r="S444" s="435"/>
      <c r="T444" s="435"/>
      <c r="U444" s="435"/>
      <c r="V444" s="436"/>
      <c r="W444" s="437"/>
      <c r="X444" s="33"/>
      <c r="Y444" s="33"/>
      <c r="Z444" s="33"/>
      <c r="AA444" s="33"/>
      <c r="AB444" s="438"/>
      <c r="AC444" s="33"/>
    </row>
    <row r="445" spans="1:29" x14ac:dyDescent="0.3">
      <c r="A445" s="20"/>
      <c r="B445" s="20"/>
      <c r="C445" s="20">
        <v>1000000001</v>
      </c>
      <c r="D445" s="20"/>
      <c r="E445" s="21" t="s">
        <v>67</v>
      </c>
      <c r="F445" s="21"/>
      <c r="G445" s="431">
        <f>SUM(G442:G444)</f>
        <v>198000</v>
      </c>
      <c r="H445" s="482"/>
      <c r="I445" s="431"/>
      <c r="J445" s="431"/>
      <c r="K445" s="431"/>
      <c r="L445" s="431"/>
      <c r="M445" s="431">
        <f>AVERAGE(M442:M443)</f>
        <v>7250.5340250226291</v>
      </c>
      <c r="N445" s="431">
        <f>AVERAGE(N442:N443)</f>
        <v>21703.585293603508</v>
      </c>
      <c r="O445" s="431"/>
      <c r="P445" s="431"/>
      <c r="Q445" s="431"/>
      <c r="R445" s="663">
        <f>SUM(R442:R444)</f>
        <v>81600</v>
      </c>
      <c r="S445" s="441">
        <f>R445/G445</f>
        <v>0.41212121212121211</v>
      </c>
      <c r="T445" s="440"/>
      <c r="U445" s="440"/>
      <c r="V445" s="442"/>
      <c r="W445" s="22"/>
      <c r="X445" s="22"/>
      <c r="Y445" s="432">
        <v>360000</v>
      </c>
      <c r="Z445" s="432"/>
      <c r="AA445" s="432"/>
      <c r="AB445" s="432"/>
      <c r="AC445" s="432"/>
    </row>
    <row r="446" spans="1:29" x14ac:dyDescent="0.3">
      <c r="A446" s="146"/>
      <c r="B446" s="146"/>
      <c r="C446" s="23"/>
      <c r="D446" s="14"/>
      <c r="E446" s="35"/>
      <c r="F446" s="25"/>
      <c r="G446" s="433"/>
      <c r="H446" s="548"/>
      <c r="I446" s="433"/>
      <c r="J446" s="26"/>
      <c r="K446" s="27"/>
      <c r="L446" s="27"/>
      <c r="M446" s="434"/>
      <c r="N446" s="434"/>
      <c r="O446" s="434"/>
      <c r="P446" s="69"/>
      <c r="Q446" s="69"/>
      <c r="R446" s="69"/>
      <c r="S446" s="435"/>
      <c r="T446" s="435"/>
      <c r="U446" s="435"/>
      <c r="V446" s="436"/>
      <c r="W446" s="437"/>
      <c r="X446" s="33"/>
      <c r="Y446" s="33"/>
      <c r="Z446" s="33"/>
      <c r="AA446" s="33"/>
      <c r="AB446" s="438"/>
      <c r="AC446" s="33"/>
    </row>
    <row r="447" spans="1:29" x14ac:dyDescent="0.3">
      <c r="A447" s="439"/>
      <c r="B447" s="439"/>
      <c r="C447" s="23"/>
      <c r="D447" s="23"/>
      <c r="E447" s="35"/>
      <c r="F447" s="25"/>
      <c r="G447" s="433"/>
      <c r="H447" s="548"/>
      <c r="I447" s="433"/>
      <c r="J447" s="26"/>
      <c r="K447" s="27"/>
      <c r="L447" s="27"/>
      <c r="M447" s="434"/>
      <c r="N447" s="434"/>
      <c r="O447" s="434"/>
      <c r="P447" s="69"/>
      <c r="Q447" s="69"/>
      <c r="R447" s="69"/>
      <c r="S447" s="435"/>
      <c r="T447" s="435"/>
      <c r="U447" s="435"/>
      <c r="V447" s="436"/>
      <c r="W447" s="437"/>
      <c r="X447" s="33"/>
      <c r="Y447" s="33"/>
      <c r="Z447" s="33"/>
      <c r="AA447" s="33"/>
      <c r="AB447" s="438"/>
      <c r="AC447" s="33"/>
    </row>
    <row r="448" spans="1:29" x14ac:dyDescent="0.3">
      <c r="A448" s="20"/>
      <c r="B448" s="20"/>
      <c r="C448" s="20">
        <v>1000000001</v>
      </c>
      <c r="D448" s="20"/>
      <c r="E448" s="21" t="s">
        <v>72</v>
      </c>
      <c r="F448" s="21"/>
      <c r="G448" s="431">
        <f>SUM(G446:G447)</f>
        <v>0</v>
      </c>
      <c r="H448" s="482"/>
      <c r="I448" s="431"/>
      <c r="J448" s="431"/>
      <c r="K448" s="431"/>
      <c r="L448" s="431"/>
      <c r="M448" s="431">
        <v>0</v>
      </c>
      <c r="N448" s="431">
        <v>0</v>
      </c>
      <c r="O448" s="431"/>
      <c r="P448" s="431"/>
      <c r="Q448" s="431"/>
      <c r="R448" s="663">
        <f>SUM(R447:R447)</f>
        <v>0</v>
      </c>
      <c r="S448" s="441">
        <v>0</v>
      </c>
      <c r="T448" s="440"/>
      <c r="U448" s="440"/>
      <c r="V448" s="442"/>
      <c r="W448" s="22"/>
      <c r="X448" s="22"/>
      <c r="Y448" s="432">
        <v>360000</v>
      </c>
      <c r="Z448" s="432"/>
      <c r="AA448" s="432"/>
      <c r="AB448" s="432"/>
      <c r="AC448" s="432"/>
    </row>
    <row r="449" spans="1:29" x14ac:dyDescent="0.3">
      <c r="A449" s="176" t="s">
        <v>1105</v>
      </c>
      <c r="B449" s="176"/>
      <c r="C449" s="23"/>
      <c r="D449" s="14"/>
      <c r="E449" s="35"/>
      <c r="F449" s="25"/>
      <c r="G449" s="433"/>
      <c r="H449" s="548"/>
      <c r="I449" s="433"/>
      <c r="J449" s="26"/>
      <c r="K449" s="27"/>
      <c r="L449" s="27"/>
      <c r="M449" s="434"/>
      <c r="N449" s="434"/>
      <c r="O449" s="434"/>
      <c r="P449" s="69"/>
      <c r="Q449" s="69"/>
      <c r="R449" s="69"/>
      <c r="S449" s="435"/>
      <c r="T449" s="435"/>
      <c r="U449" s="435"/>
      <c r="V449" s="436"/>
      <c r="W449" s="437"/>
      <c r="X449" s="33"/>
      <c r="Y449" s="33"/>
      <c r="Z449" s="33"/>
      <c r="AA449" s="33"/>
      <c r="AB449" s="438"/>
      <c r="AC449" s="33"/>
    </row>
    <row r="450" spans="1:29" x14ac:dyDescent="0.3">
      <c r="A450" s="176" t="s">
        <v>1106</v>
      </c>
      <c r="B450" s="176"/>
      <c r="C450" s="23"/>
      <c r="D450" s="14"/>
      <c r="E450" s="35"/>
      <c r="F450" s="25"/>
      <c r="G450" s="433"/>
      <c r="H450" s="548"/>
      <c r="I450" s="433"/>
      <c r="J450" s="26"/>
      <c r="K450" s="27"/>
      <c r="L450" s="27"/>
      <c r="M450" s="434"/>
      <c r="N450" s="434"/>
      <c r="O450" s="434"/>
      <c r="P450" s="69"/>
      <c r="Q450" s="69"/>
      <c r="R450" s="69"/>
      <c r="S450" s="435"/>
      <c r="T450" s="435"/>
      <c r="U450" s="435"/>
      <c r="V450" s="436"/>
      <c r="W450" s="437"/>
      <c r="X450" s="33"/>
      <c r="Y450" s="33"/>
      <c r="Z450" s="33"/>
      <c r="AA450" s="33"/>
      <c r="AB450" s="438"/>
      <c r="AC450" s="33"/>
    </row>
    <row r="451" spans="1:29" x14ac:dyDescent="0.3">
      <c r="A451" s="176" t="s">
        <v>1107</v>
      </c>
      <c r="B451" s="176"/>
      <c r="C451" s="23"/>
      <c r="D451" s="14"/>
      <c r="E451" s="35"/>
      <c r="F451" s="25"/>
      <c r="G451" s="433"/>
      <c r="H451" s="548"/>
      <c r="I451" s="433"/>
      <c r="J451" s="26"/>
      <c r="K451" s="27"/>
      <c r="L451" s="27"/>
      <c r="M451" s="434"/>
      <c r="N451" s="434"/>
      <c r="O451" s="434"/>
      <c r="P451" s="69"/>
      <c r="Q451" s="69"/>
      <c r="R451" s="69"/>
      <c r="S451" s="435"/>
      <c r="T451" s="435"/>
      <c r="U451" s="435"/>
      <c r="V451" s="436"/>
      <c r="W451" s="437"/>
      <c r="X451" s="33"/>
      <c r="Y451" s="33"/>
      <c r="Z451" s="33"/>
      <c r="AA451" s="33"/>
      <c r="AB451" s="438"/>
      <c r="AC451" s="33"/>
    </row>
    <row r="452" spans="1:29" x14ac:dyDescent="0.3">
      <c r="A452" s="176"/>
      <c r="B452" s="176"/>
      <c r="C452" s="23"/>
      <c r="D452" s="14"/>
      <c r="E452" s="35"/>
      <c r="F452" s="25"/>
      <c r="G452" s="433"/>
      <c r="H452" s="548"/>
      <c r="I452" s="433"/>
      <c r="J452" s="26"/>
      <c r="K452" s="27"/>
      <c r="L452" s="27"/>
      <c r="M452" s="434"/>
      <c r="N452" s="434"/>
      <c r="O452" s="434"/>
      <c r="P452" s="69"/>
      <c r="Q452" s="69"/>
      <c r="R452" s="69"/>
      <c r="S452" s="435"/>
      <c r="T452" s="435"/>
      <c r="U452" s="435"/>
      <c r="V452" s="436"/>
      <c r="W452" s="437"/>
      <c r="X452" s="33"/>
      <c r="Y452" s="33"/>
      <c r="Z452" s="33"/>
      <c r="AA452" s="33"/>
      <c r="AB452" s="438"/>
      <c r="AC452" s="33"/>
    </row>
    <row r="453" spans="1:29" x14ac:dyDescent="0.3">
      <c r="A453" s="146">
        <v>44820.0625</v>
      </c>
      <c r="B453" s="146">
        <v>44823.395833333336</v>
      </c>
      <c r="C453" s="23"/>
      <c r="D453" s="14"/>
      <c r="E453" s="35" t="s">
        <v>841</v>
      </c>
      <c r="F453" s="25" t="s">
        <v>91</v>
      </c>
      <c r="G453" s="433">
        <v>6708</v>
      </c>
      <c r="H453" s="548" t="s">
        <v>1101</v>
      </c>
      <c r="I453" s="433">
        <v>199867</v>
      </c>
      <c r="J453" s="26">
        <f>G453-I453</f>
        <v>-193159</v>
      </c>
      <c r="K453" s="27">
        <f>B453-A453</f>
        <v>3.3333333333357587</v>
      </c>
      <c r="L453" s="565">
        <f>'[134]JIN NIU STAR '!$F$118</f>
        <v>0.65416666665987577</v>
      </c>
      <c r="M453" s="434">
        <f>(G453)/K453</f>
        <v>2012.3999999985358</v>
      </c>
      <c r="N453" s="462">
        <f>G453/L453</f>
        <v>10254.267516030017</v>
      </c>
      <c r="O453" s="434">
        <v>25000</v>
      </c>
      <c r="P453" s="648">
        <f>36170+38365</f>
        <v>74535</v>
      </c>
      <c r="Q453" s="648">
        <v>67897</v>
      </c>
      <c r="R453" s="648">
        <f t="shared" ref="R453:R454" si="139">P453-Q453</f>
        <v>6638</v>
      </c>
      <c r="S453" s="435">
        <f>R453/(G453)</f>
        <v>0.98956469886702447</v>
      </c>
      <c r="T453" s="435">
        <f>R453/(G453)</f>
        <v>0.98956469886702447</v>
      </c>
      <c r="U453" s="435"/>
      <c r="V453" s="436"/>
      <c r="W453" s="437"/>
      <c r="X453" s="33"/>
      <c r="Y453" s="33"/>
      <c r="Z453" s="33"/>
      <c r="AA453" s="33"/>
      <c r="AB453" s="438"/>
      <c r="AC453" s="33"/>
    </row>
    <row r="454" spans="1:29" x14ac:dyDescent="0.3">
      <c r="A454" s="146">
        <v>44825.470833333333</v>
      </c>
      <c r="B454" s="146">
        <v>44828.925000000003</v>
      </c>
      <c r="C454" s="23"/>
      <c r="D454" s="14"/>
      <c r="E454" s="35" t="s">
        <v>1108</v>
      </c>
      <c r="F454" s="25" t="s">
        <v>91</v>
      </c>
      <c r="G454" s="433">
        <v>17760</v>
      </c>
      <c r="H454" s="548" t="s">
        <v>1101</v>
      </c>
      <c r="I454" s="433">
        <v>175250</v>
      </c>
      <c r="J454" s="26">
        <f>G454-I454</f>
        <v>-157490</v>
      </c>
      <c r="K454" s="27">
        <f>B454-A454</f>
        <v>3.4541666666700621</v>
      </c>
      <c r="L454" s="565">
        <f>'[134]MARAN HOPE'!$F$428</f>
        <v>1.1166666666831588</v>
      </c>
      <c r="M454" s="434">
        <f>(G454)/K454</f>
        <v>5141.616405302545</v>
      </c>
      <c r="N454" s="462">
        <f>G454/L454</f>
        <v>15904.477611705404</v>
      </c>
      <c r="O454" s="434">
        <v>25000</v>
      </c>
      <c r="P454" s="648">
        <v>67657</v>
      </c>
      <c r="Q454" s="648">
        <v>54797</v>
      </c>
      <c r="R454" s="648">
        <f t="shared" si="139"/>
        <v>12860</v>
      </c>
      <c r="S454" s="435">
        <f>R454/(G454)</f>
        <v>0.72409909909909909</v>
      </c>
      <c r="T454" s="435">
        <f>R454/(G454)</f>
        <v>0.72409909909909909</v>
      </c>
      <c r="U454" s="435"/>
      <c r="V454" s="436"/>
      <c r="W454" s="437"/>
      <c r="X454" s="33"/>
      <c r="Y454" s="33"/>
      <c r="Z454" s="33"/>
      <c r="AA454" s="33"/>
      <c r="AB454" s="438"/>
      <c r="AC454" s="33"/>
    </row>
    <row r="455" spans="1:29" x14ac:dyDescent="0.3">
      <c r="A455" s="439"/>
      <c r="B455" s="439"/>
      <c r="C455" s="23"/>
      <c r="D455" s="23"/>
      <c r="E455" s="35"/>
      <c r="F455" s="25"/>
      <c r="G455" s="433"/>
      <c r="H455" s="548"/>
      <c r="I455" s="433"/>
      <c r="J455" s="26"/>
      <c r="K455" s="27"/>
      <c r="L455" s="27"/>
      <c r="M455" s="434"/>
      <c r="N455" s="434"/>
      <c r="O455" s="434"/>
      <c r="P455" s="69"/>
      <c r="Q455" s="69"/>
      <c r="R455" s="69"/>
      <c r="S455" s="435"/>
      <c r="T455" s="435"/>
      <c r="U455" s="435"/>
      <c r="V455" s="436"/>
      <c r="W455" s="437"/>
      <c r="X455" s="33"/>
      <c r="Y455" s="33"/>
      <c r="Z455" s="33"/>
      <c r="AA455" s="33"/>
      <c r="AB455" s="438"/>
      <c r="AC455" s="33"/>
    </row>
    <row r="456" spans="1:29" x14ac:dyDescent="0.3">
      <c r="A456" s="20"/>
      <c r="B456" s="20"/>
      <c r="C456" s="20">
        <v>1000000001</v>
      </c>
      <c r="D456" s="20"/>
      <c r="E456" s="21" t="s">
        <v>78</v>
      </c>
      <c r="F456" s="21"/>
      <c r="G456" s="431">
        <f>SUM(G449:G455)</f>
        <v>24468</v>
      </c>
      <c r="H456" s="482"/>
      <c r="I456" s="431"/>
      <c r="J456" s="431"/>
      <c r="K456" s="431"/>
      <c r="L456" s="431"/>
      <c r="M456" s="431">
        <f>AVERAGE(M449:M455)</f>
        <v>3577.0082026505406</v>
      </c>
      <c r="N456" s="431">
        <f>AVERAGE(N449:N455)</f>
        <v>13079.37256386771</v>
      </c>
      <c r="O456" s="431"/>
      <c r="P456" s="431"/>
      <c r="Q456" s="431"/>
      <c r="R456" s="663">
        <f>SUM(R453:R455)</f>
        <v>19498</v>
      </c>
      <c r="S456" s="441">
        <f>R456/G456</f>
        <v>0.79687755435671082</v>
      </c>
      <c r="T456" s="440"/>
      <c r="U456" s="440"/>
      <c r="V456" s="442"/>
      <c r="W456" s="22"/>
      <c r="X456" s="22"/>
      <c r="Y456" s="432">
        <v>360000</v>
      </c>
      <c r="Z456" s="432"/>
      <c r="AA456" s="432"/>
      <c r="AB456" s="432"/>
      <c r="AC456" s="432"/>
    </row>
    <row r="457" spans="1:29" x14ac:dyDescent="0.3">
      <c r="A457" s="146"/>
      <c r="B457" s="146"/>
      <c r="C457" s="23"/>
      <c r="D457" s="14"/>
      <c r="E457" s="35"/>
      <c r="F457" s="25"/>
      <c r="G457" s="433"/>
      <c r="H457" s="548"/>
      <c r="I457" s="433"/>
      <c r="J457" s="26"/>
      <c r="K457" s="27"/>
      <c r="L457" s="27"/>
      <c r="M457" s="434"/>
      <c r="N457" s="434"/>
      <c r="O457" s="434"/>
      <c r="P457" s="69"/>
      <c r="Q457" s="69"/>
      <c r="R457" s="69"/>
      <c r="S457" s="435"/>
      <c r="T457" s="435"/>
      <c r="U457" s="435"/>
      <c r="V457" s="436"/>
      <c r="W457" s="437"/>
      <c r="X457" s="33"/>
      <c r="Y457" s="33"/>
      <c r="Z457" s="33"/>
      <c r="AA457" s="33"/>
      <c r="AB457" s="438"/>
      <c r="AC457" s="33"/>
    </row>
    <row r="458" spans="1:29" x14ac:dyDescent="0.3">
      <c r="A458" s="146">
        <v>44839.033333333333</v>
      </c>
      <c r="B458" s="146">
        <v>44842.275000000001</v>
      </c>
      <c r="C458" s="23"/>
      <c r="D458" s="14"/>
      <c r="E458" s="35" t="s">
        <v>810</v>
      </c>
      <c r="F458" s="25" t="s">
        <v>91</v>
      </c>
      <c r="G458" s="433">
        <v>24632</v>
      </c>
      <c r="H458" s="548" t="s">
        <v>1101</v>
      </c>
      <c r="I458" s="433">
        <v>199670</v>
      </c>
      <c r="J458" s="26">
        <f>G458-I458</f>
        <v>-175038</v>
      </c>
      <c r="K458" s="27">
        <f>B458-A458</f>
        <v>3.2416666666686069</v>
      </c>
      <c r="L458" s="565">
        <f>'[135]QI MING STAR'!$F$452</f>
        <v>1.1645833333168412</v>
      </c>
      <c r="M458" s="434">
        <f>(G458)/K458</f>
        <v>7598.5604113065056</v>
      </c>
      <c r="N458" s="567">
        <f>G458/L458</f>
        <v>21150.912343770011</v>
      </c>
      <c r="O458" s="434">
        <v>25000</v>
      </c>
      <c r="P458" s="648">
        <v>51068</v>
      </c>
      <c r="Q458" s="648">
        <v>39938</v>
      </c>
      <c r="R458" s="648">
        <f t="shared" ref="R458" si="140">P458-Q458</f>
        <v>11130</v>
      </c>
      <c r="S458" s="435">
        <f>R458/(G458)</f>
        <v>0.45185125040597596</v>
      </c>
      <c r="T458" s="435">
        <f>R458/(G458)</f>
        <v>0.45185125040597596</v>
      </c>
      <c r="U458" s="435"/>
      <c r="V458" s="436"/>
      <c r="W458" s="32"/>
      <c r="X458" s="33"/>
      <c r="Y458" s="33"/>
      <c r="Z458" s="33"/>
      <c r="AA458" s="33"/>
      <c r="AB458" s="438"/>
      <c r="AC458" s="33"/>
    </row>
    <row r="459" spans="1:29" x14ac:dyDescent="0.3">
      <c r="A459" s="439"/>
      <c r="B459" s="439"/>
      <c r="C459" s="23"/>
      <c r="D459" s="23"/>
      <c r="E459" s="35"/>
      <c r="F459" s="25"/>
      <c r="G459" s="433"/>
      <c r="H459" s="548"/>
      <c r="I459" s="433"/>
      <c r="J459" s="26"/>
      <c r="K459" s="27"/>
      <c r="L459" s="27"/>
      <c r="M459" s="434"/>
      <c r="N459" s="434"/>
      <c r="O459" s="434"/>
      <c r="P459" s="69"/>
      <c r="Q459" s="69"/>
      <c r="R459" s="69"/>
      <c r="S459" s="435"/>
      <c r="T459" s="435"/>
      <c r="U459" s="435"/>
      <c r="V459" s="436"/>
      <c r="W459" s="437"/>
      <c r="X459" s="33"/>
      <c r="Y459" s="33"/>
      <c r="Z459" s="33"/>
      <c r="AA459" s="33"/>
      <c r="AB459" s="438"/>
      <c r="AC459" s="33"/>
    </row>
    <row r="460" spans="1:29" x14ac:dyDescent="0.3">
      <c r="A460" s="20"/>
      <c r="B460" s="20"/>
      <c r="C460" s="20">
        <v>1000000001</v>
      </c>
      <c r="D460" s="20"/>
      <c r="E460" s="21" t="s">
        <v>84</v>
      </c>
      <c r="F460" s="21"/>
      <c r="G460" s="431">
        <f>SUM(G457:G459)</f>
        <v>24632</v>
      </c>
      <c r="H460" s="482"/>
      <c r="I460" s="431"/>
      <c r="J460" s="431"/>
      <c r="K460" s="431"/>
      <c r="L460" s="431"/>
      <c r="M460" s="431">
        <f>AVERAGE(M457:M459)</f>
        <v>7598.5604113065056</v>
      </c>
      <c r="N460" s="431">
        <f>AVERAGE(N457:N459)</f>
        <v>21150.912343770011</v>
      </c>
      <c r="O460" s="431"/>
      <c r="P460" s="431"/>
      <c r="Q460" s="431"/>
      <c r="R460" s="663">
        <f>SUM(R458:R459)</f>
        <v>11130</v>
      </c>
      <c r="S460" s="441">
        <f>R460/G460</f>
        <v>0.45185125040597596</v>
      </c>
      <c r="T460" s="440"/>
      <c r="U460" s="440"/>
      <c r="V460" s="442"/>
      <c r="W460" s="22"/>
      <c r="X460" s="22"/>
      <c r="Y460" s="432">
        <v>360000</v>
      </c>
      <c r="Z460" s="432"/>
      <c r="AA460" s="432"/>
      <c r="AB460" s="432"/>
      <c r="AC460" s="432"/>
    </row>
    <row r="461" spans="1:29" x14ac:dyDescent="0.3">
      <c r="A461" s="146"/>
      <c r="B461" s="146"/>
      <c r="C461" s="23"/>
      <c r="D461" s="14"/>
      <c r="E461" s="35"/>
      <c r="F461" s="25"/>
      <c r="G461" s="433"/>
      <c r="H461" s="548"/>
      <c r="I461" s="433"/>
      <c r="J461" s="26"/>
      <c r="K461" s="27"/>
      <c r="L461" s="27"/>
      <c r="M461" s="434"/>
      <c r="N461" s="434"/>
      <c r="O461" s="434"/>
      <c r="P461" s="69"/>
      <c r="Q461" s="69"/>
      <c r="R461" s="69"/>
      <c r="S461" s="435"/>
      <c r="T461" s="435"/>
      <c r="U461" s="435"/>
      <c r="V461" s="436"/>
      <c r="W461" s="437"/>
      <c r="X461" s="33"/>
      <c r="Y461" s="33"/>
      <c r="Z461" s="33"/>
      <c r="AA461" s="33"/>
      <c r="AB461" s="438"/>
      <c r="AC461" s="33"/>
    </row>
    <row r="462" spans="1:29" x14ac:dyDescent="0.3">
      <c r="A462" s="439"/>
      <c r="B462" s="439"/>
      <c r="C462" s="23"/>
      <c r="D462" s="23"/>
      <c r="E462" s="35"/>
      <c r="F462" s="25"/>
      <c r="G462" s="433"/>
      <c r="H462" s="548"/>
      <c r="I462" s="433"/>
      <c r="J462" s="26"/>
      <c r="K462" s="27"/>
      <c r="L462" s="27"/>
      <c r="M462" s="434"/>
      <c r="N462" s="434"/>
      <c r="O462" s="434"/>
      <c r="P462" s="69"/>
      <c r="Q462" s="69"/>
      <c r="R462" s="69"/>
      <c r="S462" s="435"/>
      <c r="T462" s="435"/>
      <c r="U462" s="435"/>
      <c r="V462" s="436"/>
      <c r="W462" s="437"/>
      <c r="X462" s="33"/>
      <c r="Y462" s="33"/>
      <c r="Z462" s="33"/>
      <c r="AA462" s="33"/>
      <c r="AB462" s="438"/>
      <c r="AC462" s="33"/>
    </row>
    <row r="463" spans="1:29" x14ac:dyDescent="0.3">
      <c r="A463" s="20"/>
      <c r="B463" s="20"/>
      <c r="C463" s="20">
        <v>1000000001</v>
      </c>
      <c r="D463" s="20"/>
      <c r="E463" s="21" t="s">
        <v>89</v>
      </c>
      <c r="F463" s="21"/>
      <c r="G463" s="431">
        <f>SUM(G461:G462)</f>
        <v>0</v>
      </c>
      <c r="H463" s="482"/>
      <c r="I463" s="431"/>
      <c r="J463" s="431"/>
      <c r="K463" s="431"/>
      <c r="L463" s="431"/>
      <c r="M463" s="431" t="e">
        <f>AVERAGE(M461:M462)</f>
        <v>#DIV/0!</v>
      </c>
      <c r="N463" s="431" t="e">
        <f>AVERAGE(N461:N461)</f>
        <v>#DIV/0!</v>
      </c>
      <c r="O463" s="431"/>
      <c r="P463" s="431"/>
      <c r="Q463" s="431"/>
      <c r="R463" s="440">
        <f>SUM(R461:R462)</f>
        <v>0</v>
      </c>
      <c r="S463" s="441" t="e">
        <f>R463/8.7*10000/G463</f>
        <v>#DIV/0!</v>
      </c>
      <c r="T463" s="440"/>
      <c r="U463" s="440"/>
      <c r="V463" s="442"/>
      <c r="W463" s="22"/>
      <c r="X463" s="22"/>
      <c r="Y463" s="432">
        <v>360000</v>
      </c>
      <c r="Z463" s="432"/>
      <c r="AA463" s="432"/>
      <c r="AB463" s="432"/>
      <c r="AC463" s="432"/>
    </row>
    <row r="464" spans="1:29" x14ac:dyDescent="0.3">
      <c r="A464" s="146"/>
      <c r="B464" s="146"/>
      <c r="C464" s="23"/>
      <c r="D464" s="14"/>
      <c r="E464" s="35"/>
      <c r="F464" s="25"/>
      <c r="G464" s="433"/>
      <c r="H464" s="548"/>
      <c r="I464" s="433"/>
      <c r="J464" s="26"/>
      <c r="K464" s="27"/>
      <c r="L464" s="27"/>
      <c r="M464" s="434"/>
      <c r="N464" s="434"/>
      <c r="O464" s="434"/>
      <c r="P464" s="69"/>
      <c r="Q464" s="69"/>
      <c r="R464" s="69"/>
      <c r="S464" s="435"/>
      <c r="T464" s="435"/>
      <c r="U464" s="435"/>
      <c r="V464" s="436"/>
      <c r="W464" s="437"/>
      <c r="X464" s="33"/>
      <c r="Y464" s="33"/>
      <c r="Z464" s="33"/>
      <c r="AA464" s="33"/>
      <c r="AB464" s="438"/>
      <c r="AC464" s="33"/>
    </row>
    <row r="465" spans="1:29" x14ac:dyDescent="0.3">
      <c r="A465" s="146">
        <v>44859.116666666669</v>
      </c>
      <c r="B465" s="146">
        <v>44898.25</v>
      </c>
      <c r="C465" s="23"/>
      <c r="D465" s="14"/>
      <c r="E465" s="35" t="s">
        <v>1109</v>
      </c>
      <c r="F465" s="25" t="s">
        <v>91</v>
      </c>
      <c r="G465" s="433">
        <v>181617</v>
      </c>
      <c r="H465" s="548" t="s">
        <v>1110</v>
      </c>
      <c r="I465" s="433">
        <v>181550</v>
      </c>
      <c r="J465" s="26">
        <f>I465-G465</f>
        <v>-67</v>
      </c>
      <c r="K465" s="27">
        <f>B465-A465</f>
        <v>39.133333333331393</v>
      </c>
      <c r="L465" s="565">
        <f>'[136]Agios Charalambos'!$F$1440</f>
        <v>8.7458333333051996</v>
      </c>
      <c r="M465" s="434">
        <f>(G465)/K465</f>
        <v>4640.9795570700771</v>
      </c>
      <c r="N465" s="567">
        <f>G465/L465</f>
        <v>20766.117198732831</v>
      </c>
      <c r="O465" s="434">
        <v>25000</v>
      </c>
      <c r="P465" s="664">
        <v>121539</v>
      </c>
      <c r="Q465" s="648">
        <v>24917</v>
      </c>
      <c r="R465" s="648">
        <f>P465-Q465</f>
        <v>96622</v>
      </c>
      <c r="S465" s="435">
        <f>R465/(G465)</f>
        <v>0.53200966869841482</v>
      </c>
      <c r="T465" s="435">
        <f>R465/(G465)</f>
        <v>0.53200966869841482</v>
      </c>
      <c r="U465" s="435"/>
      <c r="V465" s="436"/>
      <c r="W465" s="32"/>
      <c r="X465" s="33"/>
      <c r="Y465" s="33"/>
      <c r="Z465" s="33"/>
      <c r="AA465" s="33"/>
      <c r="AB465" s="438"/>
      <c r="AC465" s="33"/>
    </row>
    <row r="466" spans="1:29" x14ac:dyDescent="0.3">
      <c r="A466" s="439"/>
      <c r="B466" s="439"/>
      <c r="C466" s="23"/>
      <c r="D466" s="23"/>
      <c r="E466" s="35"/>
      <c r="F466" s="25"/>
      <c r="G466" s="433"/>
      <c r="H466" s="548"/>
      <c r="I466" s="433"/>
      <c r="J466" s="26"/>
      <c r="K466" s="27"/>
      <c r="L466" s="27"/>
      <c r="M466" s="434"/>
      <c r="N466" s="434"/>
      <c r="O466" s="434"/>
      <c r="P466" s="69"/>
      <c r="Q466" s="69"/>
      <c r="R466" s="69"/>
      <c r="S466" s="435"/>
      <c r="T466" s="435"/>
      <c r="U466" s="435"/>
      <c r="V466" s="436"/>
      <c r="W466" s="437"/>
      <c r="X466" s="33"/>
      <c r="Y466" s="33"/>
      <c r="Z466" s="33"/>
      <c r="AA466" s="33"/>
      <c r="AB466" s="438"/>
      <c r="AC466" s="33"/>
    </row>
    <row r="467" spans="1:29" x14ac:dyDescent="0.3">
      <c r="A467" s="20"/>
      <c r="B467" s="20"/>
      <c r="C467" s="20">
        <v>1000000001</v>
      </c>
      <c r="D467" s="20"/>
      <c r="E467" s="21" t="s">
        <v>95</v>
      </c>
      <c r="F467" s="21"/>
      <c r="G467" s="431">
        <f>SUM(G464:G466)</f>
        <v>181617</v>
      </c>
      <c r="H467" s="482"/>
      <c r="I467" s="431"/>
      <c r="J467" s="431"/>
      <c r="K467" s="431"/>
      <c r="L467" s="431"/>
      <c r="M467" s="431">
        <f>AVERAGE(M464:M466)</f>
        <v>4640.9795570700771</v>
      </c>
      <c r="N467" s="431">
        <f>AVERAGE(N464:N466)</f>
        <v>20766.117198732831</v>
      </c>
      <c r="O467" s="431"/>
      <c r="P467" s="431"/>
      <c r="Q467" s="431"/>
      <c r="R467" s="663">
        <f>SUM(R465:R466)</f>
        <v>96622</v>
      </c>
      <c r="S467" s="441">
        <f>R467/G467</f>
        <v>0.53200966869841482</v>
      </c>
      <c r="T467" s="440"/>
      <c r="U467" s="440"/>
      <c r="V467" s="442"/>
      <c r="W467" s="22"/>
      <c r="X467" s="22"/>
      <c r="Y467" s="432">
        <v>360000</v>
      </c>
      <c r="Z467" s="432"/>
      <c r="AA467" s="432"/>
      <c r="AB467" s="432"/>
      <c r="AC467" s="432"/>
    </row>
  </sheetData>
  <autoFilter ref="A7:AC98" xr:uid="{29E04C6F-FFE6-4937-BCDE-61094D7FD696}"/>
  <mergeCells count="66">
    <mergeCell ref="N33:N34"/>
    <mergeCell ref="A33:A34"/>
    <mergeCell ref="B33:B34"/>
    <mergeCell ref="D33:D34"/>
    <mergeCell ref="E33:E34"/>
    <mergeCell ref="F33:F34"/>
    <mergeCell ref="H33:H34"/>
    <mergeCell ref="I33:I34"/>
    <mergeCell ref="J33:J34"/>
    <mergeCell ref="K33:K34"/>
    <mergeCell ref="L33:L34"/>
    <mergeCell ref="M33:M34"/>
    <mergeCell ref="AA33:AA34"/>
    <mergeCell ref="A50:A51"/>
    <mergeCell ref="B50:B51"/>
    <mergeCell ref="D50:D51"/>
    <mergeCell ref="E50:E51"/>
    <mergeCell ref="F50:F51"/>
    <mergeCell ref="H50:H51"/>
    <mergeCell ref="I50:I51"/>
    <mergeCell ref="J50:J51"/>
    <mergeCell ref="K50:K51"/>
    <mergeCell ref="O33:O34"/>
    <mergeCell ref="P33:P34"/>
    <mergeCell ref="Q33:Q34"/>
    <mergeCell ref="R33:R34"/>
    <mergeCell ref="S33:S34"/>
    <mergeCell ref="T33:T34"/>
    <mergeCell ref="H64:H65"/>
    <mergeCell ref="L50:L51"/>
    <mergeCell ref="M50:M51"/>
    <mergeCell ref="N50:N51"/>
    <mergeCell ref="O50:O51"/>
    <mergeCell ref="N64:N65"/>
    <mergeCell ref="I64:I65"/>
    <mergeCell ref="J64:J65"/>
    <mergeCell ref="K64:K65"/>
    <mergeCell ref="L64:L65"/>
    <mergeCell ref="M64:M65"/>
    <mergeCell ref="A64:A65"/>
    <mergeCell ref="B64:B65"/>
    <mergeCell ref="D64:D65"/>
    <mergeCell ref="E64:E65"/>
    <mergeCell ref="F64:F65"/>
    <mergeCell ref="R50:R51"/>
    <mergeCell ref="S50:S51"/>
    <mergeCell ref="T50:T51"/>
    <mergeCell ref="AA50:AA51"/>
    <mergeCell ref="P50:P51"/>
    <mergeCell ref="Q50:Q51"/>
    <mergeCell ref="A204:T204"/>
    <mergeCell ref="A209:V209"/>
    <mergeCell ref="E233:X233"/>
    <mergeCell ref="E235:X235"/>
    <mergeCell ref="AA64:AA65"/>
    <mergeCell ref="F74:F75"/>
    <mergeCell ref="F82:F83"/>
    <mergeCell ref="F86:F87"/>
    <mergeCell ref="D178:D179"/>
    <mergeCell ref="AA178:AA179"/>
    <mergeCell ref="O64:O65"/>
    <mergeCell ref="P64:P65"/>
    <mergeCell ref="Q64:Q65"/>
    <mergeCell ref="R64:R65"/>
    <mergeCell ref="S64:S65"/>
    <mergeCell ref="T64:T65"/>
  </mergeCells>
  <pageMargins left="0.70866141732283472" right="0.70866141732283472" top="0.74803149606299213" bottom="0.74803149606299213" header="0.31496062992125984" footer="0.31496062992125984"/>
  <pageSetup scale="46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2EF7-BAB5-41F6-B13D-AFA8FD9FF9BE}">
  <sheetPr>
    <tabColor theme="9"/>
    <pageSetUpPr fitToPage="1"/>
  </sheetPr>
  <dimension ref="A3:AD887"/>
  <sheetViews>
    <sheetView zoomScale="70" zoomScaleNormal="70" workbookViewId="0">
      <pane ySplit="7" topLeftCell="A8" activePane="bottomLeft" state="frozen"/>
      <selection pane="bottomLeft" activeCell="A833" sqref="A833:AD887"/>
    </sheetView>
  </sheetViews>
  <sheetFormatPr defaultRowHeight="14.4" x14ac:dyDescent="0.3"/>
  <cols>
    <col min="1" max="1" width="17.109375" bestFit="1" customWidth="1"/>
    <col min="2" max="2" width="15.88671875" bestFit="1" customWidth="1"/>
    <col min="3" max="4" width="14.5546875" hidden="1" customWidth="1"/>
    <col min="5" max="5" width="20.5546875" bestFit="1" customWidth="1"/>
    <col min="6" max="6" width="9" customWidth="1"/>
    <col min="7" max="7" width="7.88671875" customWidth="1"/>
    <col min="8" max="8" width="11.44140625" style="1" customWidth="1"/>
    <col min="9" max="9" width="11.88671875" style="1" bestFit="1" customWidth="1"/>
    <col min="10" max="10" width="9" style="1" customWidth="1"/>
    <col min="11" max="11" width="9.6640625" style="1" customWidth="1"/>
    <col min="12" max="12" width="12.33203125" style="1" customWidth="1"/>
    <col min="13" max="13" width="8.6640625" style="1" bestFit="1" customWidth="1"/>
    <col min="14" max="14" width="10.6640625" style="1" customWidth="1"/>
    <col min="15" max="15" width="10.44140625" style="1" customWidth="1"/>
    <col min="16" max="16" width="11.5546875" style="1" customWidth="1"/>
    <col min="17" max="17" width="8.6640625" style="1" customWidth="1"/>
    <col min="18" max="18" width="10.33203125" style="1" bestFit="1" customWidth="1"/>
    <col min="19" max="22" width="11.6640625" style="1" customWidth="1"/>
    <col min="23" max="23" width="10" style="1" customWidth="1"/>
    <col min="24" max="24" width="9.6640625" customWidth="1"/>
    <col min="25" max="25" width="11.5546875" customWidth="1"/>
    <col min="26" max="26" width="15.33203125" style="3" customWidth="1"/>
    <col min="27" max="27" width="11.44140625" style="3" customWidth="1"/>
    <col min="28" max="28" width="13" style="3" customWidth="1"/>
    <col min="29" max="29" width="12.109375" customWidth="1"/>
  </cols>
  <sheetData>
    <row r="3" spans="1:29" ht="18" x14ac:dyDescent="0.35">
      <c r="X3" s="2" t="s">
        <v>270</v>
      </c>
      <c r="Y3" s="2"/>
      <c r="AC3" s="3"/>
    </row>
    <row r="4" spans="1:29" ht="18" customHeight="1" x14ac:dyDescent="0.35">
      <c r="X4" s="2"/>
      <c r="Y4" s="2"/>
      <c r="AC4" s="3"/>
    </row>
    <row r="5" spans="1:29" ht="15.75" customHeight="1" x14ac:dyDescent="0.35">
      <c r="X5" s="2"/>
      <c r="Y5" s="2"/>
      <c r="AC5" s="3"/>
    </row>
    <row r="6" spans="1:29" x14ac:dyDescent="0.3">
      <c r="A6" s="90" t="s">
        <v>269</v>
      </c>
      <c r="AC6" s="3"/>
    </row>
    <row r="7" spans="1:29" s="12" customFormat="1" ht="41.4" x14ac:dyDescent="0.3">
      <c r="A7" s="4" t="s">
        <v>0</v>
      </c>
      <c r="B7" s="4" t="s">
        <v>1</v>
      </c>
      <c r="C7" s="4" t="s">
        <v>2</v>
      </c>
      <c r="D7" s="4" t="s">
        <v>3</v>
      </c>
      <c r="E7" s="5" t="s">
        <v>4</v>
      </c>
      <c r="F7" s="5" t="s">
        <v>5</v>
      </c>
      <c r="G7" s="5" t="s">
        <v>268</v>
      </c>
      <c r="H7" s="370" t="s">
        <v>6</v>
      </c>
      <c r="I7" s="370" t="s">
        <v>7</v>
      </c>
      <c r="J7" s="370" t="s">
        <v>8</v>
      </c>
      <c r="K7" s="370" t="s">
        <v>9</v>
      </c>
      <c r="L7" s="370" t="s">
        <v>10</v>
      </c>
      <c r="M7" s="370" t="s">
        <v>11</v>
      </c>
      <c r="N7" s="370" t="s">
        <v>12</v>
      </c>
      <c r="O7" s="370" t="s">
        <v>13</v>
      </c>
      <c r="P7" s="370" t="s">
        <v>14</v>
      </c>
      <c r="Q7" s="370" t="s">
        <v>15</v>
      </c>
      <c r="R7" s="370" t="s">
        <v>16</v>
      </c>
      <c r="S7" s="370" t="s">
        <v>17</v>
      </c>
      <c r="T7" s="370" t="s">
        <v>18</v>
      </c>
      <c r="U7" s="370" t="s">
        <v>19</v>
      </c>
      <c r="V7" s="370" t="s">
        <v>20</v>
      </c>
      <c r="W7" s="370" t="s">
        <v>21</v>
      </c>
      <c r="X7" s="369" t="s">
        <v>22</v>
      </c>
      <c r="Y7" s="369" t="s">
        <v>23</v>
      </c>
      <c r="Z7" s="368" t="s">
        <v>24</v>
      </c>
      <c r="AA7" s="368" t="s">
        <v>26</v>
      </c>
      <c r="AB7" s="367" t="s">
        <v>27</v>
      </c>
      <c r="AC7" s="366" t="s">
        <v>28</v>
      </c>
    </row>
    <row r="8" spans="1:29" s="24" customFormat="1" ht="12.9" customHeight="1" x14ac:dyDescent="0.3">
      <c r="A8" s="23">
        <v>43102.739583333336</v>
      </c>
      <c r="B8" s="23">
        <v>43104.225694444445</v>
      </c>
      <c r="C8" s="23"/>
      <c r="D8" s="14">
        <v>2000000001</v>
      </c>
      <c r="E8" s="97" t="s">
        <v>99</v>
      </c>
      <c r="F8" s="25" t="s">
        <v>32</v>
      </c>
      <c r="G8" s="25" t="s">
        <v>213</v>
      </c>
      <c r="H8" s="365">
        <v>39436</v>
      </c>
      <c r="I8" s="334" t="s">
        <v>100</v>
      </c>
      <c r="J8" s="365">
        <v>80323</v>
      </c>
      <c r="K8" s="265">
        <f t="shared" ref="K8:K15" si="0">H8-J8</f>
        <v>-40887</v>
      </c>
      <c r="L8" s="267">
        <f>[137]Yokohama!$F$48</f>
        <v>1.4861111111094942</v>
      </c>
      <c r="M8" s="267">
        <f>[138]Yokohama!$F$48-[138]Yokohama!$F$44</f>
        <v>0.83506944445252884</v>
      </c>
      <c r="N8" s="269">
        <f t="shared" ref="N8:N15" si="1">H8/L8</f>
        <v>26536.373831804573</v>
      </c>
      <c r="O8" s="269">
        <f t="shared" ref="O8:O15" si="2">H8/M8</f>
        <v>47224.814968357779</v>
      </c>
      <c r="P8" s="265">
        <v>30000</v>
      </c>
      <c r="Q8" s="354">
        <v>177.69</v>
      </c>
      <c r="R8" s="354">
        <v>170.29</v>
      </c>
      <c r="S8" s="354">
        <f t="shared" ref="S8:S16" si="3">Q8-R8</f>
        <v>7.4000000000000057</v>
      </c>
      <c r="T8" s="288">
        <f t="shared" ref="T8:T15" si="4">S8/8.7*10000/H8</f>
        <v>0.21568483432490082</v>
      </c>
      <c r="U8" s="288">
        <f t="shared" ref="U8:U15" si="5">S8/8.5*10000/H8</f>
        <v>0.22075977160313379</v>
      </c>
      <c r="V8" s="288"/>
      <c r="W8" s="288"/>
      <c r="X8" s="332"/>
      <c r="Y8" s="287">
        <v>2.15</v>
      </c>
      <c r="Z8" s="263">
        <f t="shared" ref="Z8:Z19" si="6">H8*Y8</f>
        <v>84787.4</v>
      </c>
      <c r="AA8" s="263"/>
      <c r="AB8" s="331">
        <v>4794.6388888080446</v>
      </c>
      <c r="AC8" s="326">
        <f t="shared" ref="AC8:AC19" si="7">(H8*-0.02)</f>
        <v>-788.72</v>
      </c>
    </row>
    <row r="9" spans="1:29" s="24" customFormat="1" ht="12.9" customHeight="1" x14ac:dyDescent="0.3">
      <c r="A9" s="23">
        <v>43106.145833333336</v>
      </c>
      <c r="B9" s="23">
        <v>43107.833333333336</v>
      </c>
      <c r="C9" s="23"/>
      <c r="D9" s="14">
        <v>2000000002</v>
      </c>
      <c r="E9" s="97" t="s">
        <v>50</v>
      </c>
      <c r="F9" s="25" t="s">
        <v>32</v>
      </c>
      <c r="G9" s="25" t="s">
        <v>213</v>
      </c>
      <c r="H9" s="265">
        <v>38042</v>
      </c>
      <c r="I9" s="334" t="s">
        <v>33</v>
      </c>
      <c r="J9" s="265">
        <v>75340</v>
      </c>
      <c r="K9" s="265">
        <f t="shared" si="0"/>
        <v>-37298</v>
      </c>
      <c r="L9" s="267">
        <f>'[137]Tuo Fu 11'!$F$47</f>
        <v>1.6875</v>
      </c>
      <c r="M9" s="267">
        <f>'[137]Tuo Fu 11'!$F$47-'[137]Tuo Fu 11'!$F$43</f>
        <v>0.78472222221535048</v>
      </c>
      <c r="N9" s="269">
        <f t="shared" si="1"/>
        <v>22543.407407407409</v>
      </c>
      <c r="O9" s="269">
        <f t="shared" si="2"/>
        <v>48478.300885380275</v>
      </c>
      <c r="P9" s="265">
        <v>30000</v>
      </c>
      <c r="Q9" s="224">
        <v>167.35</v>
      </c>
      <c r="R9" s="224">
        <v>159.36000000000001</v>
      </c>
      <c r="S9" s="354">
        <f t="shared" si="3"/>
        <v>7.9899999999999807</v>
      </c>
      <c r="T9" s="288">
        <f t="shared" si="4"/>
        <v>0.24141496361855291</v>
      </c>
      <c r="U9" s="288">
        <f t="shared" si="5"/>
        <v>0.24709531570369533</v>
      </c>
      <c r="V9" s="288"/>
      <c r="W9" s="288"/>
      <c r="X9" s="332"/>
      <c r="Y9" s="287">
        <v>2.15</v>
      </c>
      <c r="Z9" s="263">
        <f t="shared" si="6"/>
        <v>81790.3</v>
      </c>
      <c r="AA9" s="263"/>
      <c r="AB9" s="331">
        <v>4833.4444445131621</v>
      </c>
      <c r="AC9" s="326">
        <f t="shared" si="7"/>
        <v>-760.84</v>
      </c>
    </row>
    <row r="10" spans="1:29" s="24" customFormat="1" ht="12.9" customHeight="1" x14ac:dyDescent="0.3">
      <c r="A10" s="23">
        <v>43108.916666666664</v>
      </c>
      <c r="B10" s="23">
        <v>43109.694444444445</v>
      </c>
      <c r="C10" s="23"/>
      <c r="D10" s="14">
        <v>2000000003</v>
      </c>
      <c r="E10" s="97" t="s">
        <v>113</v>
      </c>
      <c r="F10" s="25" t="s">
        <v>32</v>
      </c>
      <c r="G10" s="25" t="s">
        <v>213</v>
      </c>
      <c r="H10" s="265">
        <v>26821</v>
      </c>
      <c r="I10" s="334" t="s">
        <v>33</v>
      </c>
      <c r="J10" s="265">
        <v>75200</v>
      </c>
      <c r="K10" s="265">
        <f t="shared" si="0"/>
        <v>-48379</v>
      </c>
      <c r="L10" s="267">
        <f>'[138]Chang Ming'!$F$34</f>
        <v>0.77777777778101154</v>
      </c>
      <c r="M10" s="267">
        <f>'[138]Chang Ming'!$F$34-'[138]Chang Ming'!$F$30</f>
        <v>0.51388888889050577</v>
      </c>
      <c r="N10" s="269">
        <f t="shared" si="1"/>
        <v>34484.142856999482</v>
      </c>
      <c r="O10" s="269">
        <f t="shared" si="2"/>
        <v>52192.216216052002</v>
      </c>
      <c r="P10" s="265">
        <v>30000</v>
      </c>
      <c r="Q10" s="224">
        <v>157.11000000000001</v>
      </c>
      <c r="R10" s="224">
        <v>153.09</v>
      </c>
      <c r="S10" s="354">
        <f t="shared" si="3"/>
        <v>4.0200000000000102</v>
      </c>
      <c r="T10" s="288">
        <f t="shared" si="4"/>
        <v>0.1722787985225169</v>
      </c>
      <c r="U10" s="288">
        <f t="shared" si="5"/>
        <v>0.17633241731128196</v>
      </c>
      <c r="V10" s="288"/>
      <c r="W10" s="288"/>
      <c r="X10" s="332"/>
      <c r="Y10" s="287">
        <v>2.15</v>
      </c>
      <c r="Z10" s="263">
        <f t="shared" si="6"/>
        <v>57665.149999999994</v>
      </c>
      <c r="AA10" s="263"/>
      <c r="AB10" s="331">
        <v>3801.4444444282758</v>
      </c>
      <c r="AC10" s="326">
        <f t="shared" si="7"/>
        <v>-536.41999999999996</v>
      </c>
    </row>
    <row r="11" spans="1:29" s="24" customFormat="1" ht="12.9" customHeight="1" x14ac:dyDescent="0.3">
      <c r="A11" s="23">
        <v>43109.875</v>
      </c>
      <c r="B11" s="23">
        <v>43111.208333333336</v>
      </c>
      <c r="C11" s="23"/>
      <c r="D11" s="14">
        <v>2000000004</v>
      </c>
      <c r="E11" s="24" t="s">
        <v>101</v>
      </c>
      <c r="F11" s="25" t="s">
        <v>32</v>
      </c>
      <c r="G11" s="25" t="s">
        <v>213</v>
      </c>
      <c r="H11" s="266">
        <v>43769</v>
      </c>
      <c r="I11" s="334" t="s">
        <v>100</v>
      </c>
      <c r="J11" s="265">
        <v>79600</v>
      </c>
      <c r="K11" s="265">
        <f t="shared" si="0"/>
        <v>-35831</v>
      </c>
      <c r="L11" s="267">
        <f>'[138]Ocean Carrier'!$F$45</f>
        <v>1.3333333333357587</v>
      </c>
      <c r="M11" s="267">
        <f>'[138]Ocean Carrier'!$F$45-'[138]Ocean Carrier'!$F$41</f>
        <v>0.87499999998181011</v>
      </c>
      <c r="N11" s="269">
        <f t="shared" si="1"/>
        <v>32826.749999940286</v>
      </c>
      <c r="O11" s="269">
        <f t="shared" si="2"/>
        <v>50021.714286754162</v>
      </c>
      <c r="P11" s="265">
        <v>30000</v>
      </c>
      <c r="Q11" s="224">
        <v>152.37</v>
      </c>
      <c r="R11" s="224">
        <v>145.91999999999999</v>
      </c>
      <c r="S11" s="354">
        <f t="shared" si="3"/>
        <v>6.4500000000000171</v>
      </c>
      <c r="T11" s="288">
        <f t="shared" si="4"/>
        <v>0.16938456678124464</v>
      </c>
      <c r="U11" s="288">
        <f t="shared" si="5"/>
        <v>0.17337008599962683</v>
      </c>
      <c r="V11" s="288"/>
      <c r="W11" s="288"/>
      <c r="X11" s="332"/>
      <c r="Y11" s="287">
        <v>2.15</v>
      </c>
      <c r="Z11" s="263">
        <f t="shared" si="6"/>
        <v>94103.349999999991</v>
      </c>
      <c r="AA11" s="263"/>
      <c r="AB11" s="331">
        <v>5839.6666668485668</v>
      </c>
      <c r="AC11" s="326">
        <f t="shared" si="7"/>
        <v>-875.38</v>
      </c>
    </row>
    <row r="12" spans="1:29" s="24" customFormat="1" ht="12.9" customHeight="1" x14ac:dyDescent="0.3">
      <c r="A12" s="23">
        <v>43111.729166666664</v>
      </c>
      <c r="B12" s="23">
        <v>43113.173611111109</v>
      </c>
      <c r="C12" s="23"/>
      <c r="D12" s="14">
        <v>2000000005</v>
      </c>
      <c r="E12" s="97" t="s">
        <v>102</v>
      </c>
      <c r="F12" s="25" t="s">
        <v>32</v>
      </c>
      <c r="G12" s="25" t="s">
        <v>213</v>
      </c>
      <c r="H12" s="265">
        <v>40599</v>
      </c>
      <c r="I12" s="334" t="s">
        <v>33</v>
      </c>
      <c r="J12" s="265">
        <v>67150</v>
      </c>
      <c r="K12" s="265">
        <f t="shared" si="0"/>
        <v>-26551</v>
      </c>
      <c r="L12" s="267">
        <f>'[138]Shao Shan 1'!$F$46</f>
        <v>1.4444444444452529</v>
      </c>
      <c r="M12" s="267">
        <f>'[138]Shao Shan 1'!$F$46-'[138]Shao Shan 1'!$F$42</f>
        <v>0.78993055554747116</v>
      </c>
      <c r="N12" s="269">
        <f t="shared" si="1"/>
        <v>28106.999999984269</v>
      </c>
      <c r="O12" s="269">
        <f t="shared" si="2"/>
        <v>51395.657143383141</v>
      </c>
      <c r="P12" s="265">
        <v>30000</v>
      </c>
      <c r="Q12" s="224">
        <v>144.37</v>
      </c>
      <c r="R12" s="224">
        <v>137.43</v>
      </c>
      <c r="S12" s="354">
        <f t="shared" si="3"/>
        <v>6.9399999999999977</v>
      </c>
      <c r="T12" s="288">
        <f t="shared" si="4"/>
        <v>0.19648295510364472</v>
      </c>
      <c r="U12" s="288">
        <f t="shared" si="5"/>
        <v>0.20110608345902459</v>
      </c>
      <c r="V12" s="288"/>
      <c r="W12" s="288"/>
      <c r="X12" s="332"/>
      <c r="Y12" s="287">
        <v>2.15</v>
      </c>
      <c r="Z12" s="263">
        <f t="shared" si="6"/>
        <v>87287.849999999991</v>
      </c>
      <c r="AA12" s="263"/>
      <c r="AB12" s="331">
        <v>5633.6944445252875</v>
      </c>
      <c r="AC12" s="326">
        <f t="shared" si="7"/>
        <v>-811.98</v>
      </c>
    </row>
    <row r="13" spans="1:29" s="24" customFormat="1" ht="12.9" customHeight="1" x14ac:dyDescent="0.3">
      <c r="A13" s="23">
        <v>43113.673611111109</v>
      </c>
      <c r="B13" s="23">
        <v>43114.680555555555</v>
      </c>
      <c r="C13" s="23"/>
      <c r="D13" s="14">
        <v>2000000006</v>
      </c>
      <c r="E13" s="97" t="s">
        <v>267</v>
      </c>
      <c r="F13" s="25" t="s">
        <v>32</v>
      </c>
      <c r="G13" s="25" t="s">
        <v>213</v>
      </c>
      <c r="H13" s="265">
        <v>36177</v>
      </c>
      <c r="I13" s="334" t="s">
        <v>93</v>
      </c>
      <c r="J13" s="265">
        <v>88000</v>
      </c>
      <c r="K13" s="265">
        <f t="shared" si="0"/>
        <v>-51823</v>
      </c>
      <c r="L13" s="267">
        <f>'[138]SM Challenger'!$F$39</f>
        <v>1.0069444444452529</v>
      </c>
      <c r="M13" s="267">
        <f>'[138]SM Challenger'!$F$39-'[138]SM Challenger'!$F$35</f>
        <v>0.69618055555110914</v>
      </c>
      <c r="N13" s="269">
        <f t="shared" si="1"/>
        <v>35927.503448247015</v>
      </c>
      <c r="O13" s="269">
        <f t="shared" si="2"/>
        <v>51964.967581379278</v>
      </c>
      <c r="P13" s="265">
        <v>30000</v>
      </c>
      <c r="Q13" s="224">
        <v>135.57</v>
      </c>
      <c r="R13" s="224">
        <v>130.59</v>
      </c>
      <c r="S13" s="224">
        <f t="shared" si="3"/>
        <v>4.9799999999999898</v>
      </c>
      <c r="T13" s="288">
        <f t="shared" si="4"/>
        <v>0.15822588747089233</v>
      </c>
      <c r="U13" s="288">
        <f t="shared" si="5"/>
        <v>0.16194884952903096</v>
      </c>
      <c r="V13" s="288"/>
      <c r="W13" s="288"/>
      <c r="X13" s="332"/>
      <c r="Y13" s="287">
        <v>2.15</v>
      </c>
      <c r="Z13" s="263">
        <f t="shared" si="6"/>
        <v>77780.55</v>
      </c>
      <c r="AA13" s="263"/>
      <c r="AB13" s="331">
        <v>5097.1944444889086</v>
      </c>
      <c r="AC13" s="326">
        <f t="shared" si="7"/>
        <v>-723.54</v>
      </c>
    </row>
    <row r="14" spans="1:29" s="24" customFormat="1" ht="12.9" customHeight="1" x14ac:dyDescent="0.3">
      <c r="A14" s="23">
        <v>43115.395833333336</v>
      </c>
      <c r="B14" s="23">
        <v>43117.555555555555</v>
      </c>
      <c r="C14" s="23"/>
      <c r="D14" s="14">
        <v>2000000007</v>
      </c>
      <c r="E14" s="109" t="s">
        <v>103</v>
      </c>
      <c r="F14" s="110" t="s">
        <v>32</v>
      </c>
      <c r="G14" s="110" t="s">
        <v>213</v>
      </c>
      <c r="H14" s="265">
        <v>50990</v>
      </c>
      <c r="I14" s="364" t="s">
        <v>36</v>
      </c>
      <c r="J14" s="362">
        <v>67000</v>
      </c>
      <c r="K14" s="362">
        <f t="shared" si="0"/>
        <v>-16010</v>
      </c>
      <c r="L14" s="363">
        <f>'[138]Dewi Parwati'!$F$61</f>
        <v>2.1597222222189885</v>
      </c>
      <c r="M14" s="363">
        <f>'[138]Dewi Parwati'!$F$61-'[138]Dewi Parwati'!$F$57</f>
        <v>0.99999999997453415</v>
      </c>
      <c r="N14" s="269">
        <f t="shared" si="1"/>
        <v>23609.517684922812</v>
      </c>
      <c r="O14" s="269">
        <f t="shared" si="2"/>
        <v>50990.000001298504</v>
      </c>
      <c r="P14" s="265">
        <v>30000</v>
      </c>
      <c r="Q14" s="313">
        <v>128.9</v>
      </c>
      <c r="R14" s="313">
        <v>118.92</v>
      </c>
      <c r="S14" s="313">
        <f t="shared" si="3"/>
        <v>9.980000000000004</v>
      </c>
      <c r="T14" s="288">
        <f t="shared" si="4"/>
        <v>0.22497086424428508</v>
      </c>
      <c r="U14" s="288">
        <f t="shared" si="5"/>
        <v>0.2302642963441506</v>
      </c>
      <c r="V14" s="288"/>
      <c r="W14" s="288"/>
      <c r="X14" s="332"/>
      <c r="Y14" s="287">
        <v>2.15</v>
      </c>
      <c r="Z14" s="263">
        <f t="shared" si="6"/>
        <v>109628.5</v>
      </c>
      <c r="AA14" s="263"/>
      <c r="AB14" s="352">
        <v>6996.6666669213255</v>
      </c>
      <c r="AC14" s="326">
        <f t="shared" si="7"/>
        <v>-1019.8000000000001</v>
      </c>
    </row>
    <row r="15" spans="1:29" s="24" customFormat="1" ht="12.9" customHeight="1" x14ac:dyDescent="0.3">
      <c r="A15" s="23">
        <v>43117.777777777781</v>
      </c>
      <c r="B15" s="23">
        <v>43119.34375</v>
      </c>
      <c r="C15" s="23"/>
      <c r="D15" s="14">
        <v>2000000008</v>
      </c>
      <c r="E15" s="109" t="s">
        <v>61</v>
      </c>
      <c r="F15" s="110" t="s">
        <v>32</v>
      </c>
      <c r="G15" s="110" t="s">
        <v>213</v>
      </c>
      <c r="H15" s="265">
        <v>40537</v>
      </c>
      <c r="I15" s="364" t="s">
        <v>100</v>
      </c>
      <c r="J15" s="362">
        <v>88000</v>
      </c>
      <c r="K15" s="362">
        <f t="shared" si="0"/>
        <v>-47463</v>
      </c>
      <c r="L15" s="363">
        <f>'[138]Sea Honesty'!$F$45</f>
        <v>1.5659722222189885</v>
      </c>
      <c r="M15" s="363">
        <f>'[138]Sea Honesty'!$F$45-'[138]Sea Honesty'!$F$41</f>
        <v>0.72395833332120674</v>
      </c>
      <c r="N15" s="269">
        <f t="shared" si="1"/>
        <v>25886.15521069647</v>
      </c>
      <c r="O15" s="316">
        <f t="shared" si="2"/>
        <v>55993.553957772448</v>
      </c>
      <c r="P15" s="362">
        <v>30000</v>
      </c>
      <c r="Q15" s="313">
        <v>118.15</v>
      </c>
      <c r="R15" s="313">
        <v>110.42</v>
      </c>
      <c r="S15" s="313">
        <f t="shared" si="3"/>
        <v>7.730000000000004</v>
      </c>
      <c r="T15" s="288">
        <f t="shared" si="4"/>
        <v>0.21918389301784474</v>
      </c>
      <c r="U15" s="288">
        <f t="shared" si="5"/>
        <v>0.22434116108885288</v>
      </c>
      <c r="V15" s="288"/>
      <c r="W15" s="288"/>
      <c r="X15" s="332"/>
      <c r="Y15" s="287">
        <v>2.15</v>
      </c>
      <c r="Z15" s="263">
        <f t="shared" si="6"/>
        <v>87154.55</v>
      </c>
      <c r="AA15" s="263"/>
      <c r="AB15" s="352">
        <v>6272.7500001212657</v>
      </c>
      <c r="AC15" s="326">
        <f t="shared" si="7"/>
        <v>-810.74</v>
      </c>
    </row>
    <row r="16" spans="1:29" s="35" customFormat="1" ht="12.9" customHeight="1" x14ac:dyDescent="0.3">
      <c r="A16" s="740">
        <v>43119.777777777781</v>
      </c>
      <c r="B16" s="740">
        <v>43124.958333333336</v>
      </c>
      <c r="C16" s="59"/>
      <c r="D16" s="694">
        <v>2000000009</v>
      </c>
      <c r="E16" s="342" t="s">
        <v>266</v>
      </c>
      <c r="F16" s="700" t="s">
        <v>58</v>
      </c>
      <c r="G16" s="700" t="s">
        <v>213</v>
      </c>
      <c r="H16" s="323">
        <v>58629</v>
      </c>
      <c r="I16" s="732" t="s">
        <v>49</v>
      </c>
      <c r="J16" s="729">
        <v>165000</v>
      </c>
      <c r="K16" s="729">
        <f>(H16+H17)-J16</f>
        <v>-80616</v>
      </c>
      <c r="L16" s="734">
        <f>[138]Marivictoria!$F$78</f>
        <v>5.1805555555547471</v>
      </c>
      <c r="M16" s="734">
        <f>[138]Marivictoria!$F$78-[138]Marivictoria!$F$74</f>
        <v>1.5208333332921029</v>
      </c>
      <c r="N16" s="729">
        <f>(H16+H17)/L16</f>
        <v>16288.600536195572</v>
      </c>
      <c r="O16" s="729">
        <f>(H16+H17)/M16</f>
        <v>55485.369864517932</v>
      </c>
      <c r="P16" s="729">
        <v>30000</v>
      </c>
      <c r="Q16" s="731">
        <v>109.58</v>
      </c>
      <c r="R16" s="731">
        <v>90.73</v>
      </c>
      <c r="S16" s="731">
        <f t="shared" si="3"/>
        <v>18.849999999999994</v>
      </c>
      <c r="T16" s="728">
        <f>S16/8.7*10000/(H16+H17)</f>
        <v>0.25676273543167732</v>
      </c>
      <c r="U16" s="746">
        <f>S16/8.5*10000/(H16+H17)</f>
        <v>0.26280421155948147</v>
      </c>
      <c r="V16" s="329"/>
      <c r="W16" s="361"/>
      <c r="X16" s="360"/>
      <c r="Y16" s="320">
        <v>2.15</v>
      </c>
      <c r="Z16" s="262">
        <f t="shared" si="6"/>
        <v>126052.34999999999</v>
      </c>
      <c r="AA16" s="262"/>
      <c r="AB16" s="744">
        <v>12919.67</v>
      </c>
      <c r="AC16" s="306">
        <f t="shared" si="7"/>
        <v>-1172.58</v>
      </c>
    </row>
    <row r="17" spans="1:29" s="35" customFormat="1" ht="12.9" customHeight="1" x14ac:dyDescent="0.3">
      <c r="A17" s="740"/>
      <c r="B17" s="740"/>
      <c r="C17" s="59"/>
      <c r="D17" s="694"/>
      <c r="E17" s="342" t="s">
        <v>266</v>
      </c>
      <c r="F17" s="700"/>
      <c r="G17" s="700"/>
      <c r="H17" s="323">
        <v>25755</v>
      </c>
      <c r="I17" s="732"/>
      <c r="J17" s="729"/>
      <c r="K17" s="729"/>
      <c r="L17" s="734"/>
      <c r="M17" s="734"/>
      <c r="N17" s="729"/>
      <c r="O17" s="729"/>
      <c r="P17" s="729"/>
      <c r="Q17" s="731"/>
      <c r="R17" s="731"/>
      <c r="S17" s="731"/>
      <c r="T17" s="728"/>
      <c r="U17" s="746"/>
      <c r="V17" s="329"/>
      <c r="W17" s="361"/>
      <c r="X17" s="360"/>
      <c r="Y17" s="320">
        <v>2.15</v>
      </c>
      <c r="Z17" s="262">
        <f t="shared" si="6"/>
        <v>55373.25</v>
      </c>
      <c r="AA17" s="262"/>
      <c r="AB17" s="744"/>
      <c r="AC17" s="306">
        <f t="shared" si="7"/>
        <v>-515.1</v>
      </c>
    </row>
    <row r="18" spans="1:29" s="35" customFormat="1" ht="12.9" customHeight="1" x14ac:dyDescent="0.3">
      <c r="A18" s="740">
        <v>43129.0625</v>
      </c>
      <c r="B18" s="740">
        <v>43130.847222222219</v>
      </c>
      <c r="C18" s="59"/>
      <c r="D18" s="694">
        <v>2000000010</v>
      </c>
      <c r="E18" s="342" t="s">
        <v>106</v>
      </c>
      <c r="F18" s="36" t="s">
        <v>32</v>
      </c>
      <c r="G18" s="36" t="s">
        <v>213</v>
      </c>
      <c r="H18" s="323">
        <v>21120</v>
      </c>
      <c r="I18" s="732" t="s">
        <v>33</v>
      </c>
      <c r="J18" s="729">
        <v>65804</v>
      </c>
      <c r="K18" s="729">
        <f>H18-J18</f>
        <v>-44684</v>
      </c>
      <c r="L18" s="735">
        <f>'[138]Well Deep'!$F$47</f>
        <v>1.7847222222189885</v>
      </c>
      <c r="M18" s="735">
        <f>'[138]Well Deep'!$F$47-'[138]Well Deep'!$F$43</f>
        <v>0.61631944443070097</v>
      </c>
      <c r="N18" s="729">
        <f>(H18+H19)/L18</f>
        <v>19086.443579801118</v>
      </c>
      <c r="O18" s="729">
        <f>(H18+H19)/M18</f>
        <v>55270.039437852203</v>
      </c>
      <c r="P18" s="729">
        <v>30000</v>
      </c>
      <c r="Q18" s="731">
        <v>84.17</v>
      </c>
      <c r="R18" s="731">
        <v>77.64</v>
      </c>
      <c r="S18" s="731">
        <f>Q18-R18</f>
        <v>6.5300000000000011</v>
      </c>
      <c r="T18" s="728">
        <f>S18/8.7*10000/H18</f>
        <v>0.35538575409265072</v>
      </c>
      <c r="U18" s="746">
        <f>S18/8.5*10000/(H18+H19)</f>
        <v>0.22552703561462165</v>
      </c>
      <c r="V18" s="329"/>
      <c r="W18" s="361"/>
      <c r="X18" s="360"/>
      <c r="Y18" s="320">
        <v>2.15</v>
      </c>
      <c r="Z18" s="262">
        <f t="shared" si="6"/>
        <v>45408</v>
      </c>
      <c r="AA18" s="262"/>
      <c r="AB18" s="305">
        <v>5191.47</v>
      </c>
      <c r="AC18" s="306">
        <f t="shared" si="7"/>
        <v>-422.40000000000003</v>
      </c>
    </row>
    <row r="19" spans="1:29" s="35" customFormat="1" ht="12.9" customHeight="1" x14ac:dyDescent="0.3">
      <c r="A19" s="740"/>
      <c r="B19" s="740"/>
      <c r="C19" s="59"/>
      <c r="D19" s="694"/>
      <c r="E19" s="342" t="s">
        <v>106</v>
      </c>
      <c r="F19" s="36"/>
      <c r="G19" s="36"/>
      <c r="H19" s="323">
        <v>12944</v>
      </c>
      <c r="I19" s="732"/>
      <c r="J19" s="729"/>
      <c r="K19" s="729"/>
      <c r="L19" s="735"/>
      <c r="M19" s="735"/>
      <c r="N19" s="729"/>
      <c r="O19" s="729"/>
      <c r="P19" s="729"/>
      <c r="Q19" s="731"/>
      <c r="R19" s="731"/>
      <c r="S19" s="731"/>
      <c r="T19" s="728"/>
      <c r="U19" s="746"/>
      <c r="V19" s="329"/>
      <c r="W19" s="361"/>
      <c r="X19" s="360"/>
      <c r="Y19" s="320">
        <v>1.82</v>
      </c>
      <c r="Z19" s="262">
        <f t="shared" si="6"/>
        <v>23558.080000000002</v>
      </c>
      <c r="AA19" s="262"/>
      <c r="AB19" s="305"/>
      <c r="AC19" s="306">
        <f t="shared" si="7"/>
        <v>-258.88</v>
      </c>
    </row>
    <row r="20" spans="1:29" s="20" customFormat="1" ht="12.9" customHeight="1" x14ac:dyDescent="0.3">
      <c r="A20" s="359"/>
      <c r="B20" s="359"/>
      <c r="C20" s="358">
        <v>1000000003</v>
      </c>
      <c r="D20" s="358"/>
      <c r="E20" s="21" t="s">
        <v>30</v>
      </c>
      <c r="F20" s="21"/>
      <c r="G20" s="21"/>
      <c r="H20" s="356">
        <f>SUM(H8:H19)</f>
        <v>434819</v>
      </c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09">
        <f>SUM(S8:S19)</f>
        <v>80.87</v>
      </c>
      <c r="T20" s="271">
        <f>S20/8.7*10000/H20</f>
        <v>0.2137763597922486</v>
      </c>
      <c r="U20" s="271">
        <f>S20/8.5*10000/H20</f>
        <v>0.21880639178736039</v>
      </c>
      <c r="V20" s="43">
        <f>(U20-T20)/U20</f>
        <v>2.2988505747126693E-2</v>
      </c>
      <c r="W20" s="275">
        <v>421875</v>
      </c>
      <c r="X20" s="275">
        <f>H20-W20</f>
        <v>12944</v>
      </c>
      <c r="Y20" s="130"/>
      <c r="Z20" s="273">
        <f>SUM(Z8:Z19)</f>
        <v>930589.33</v>
      </c>
      <c r="AA20" s="273"/>
      <c r="AB20" s="357">
        <f>SUM(AB8:AB18)</f>
        <v>61380.640000654836</v>
      </c>
      <c r="AC20" s="344">
        <f>SUM(AC8:AC19)</f>
        <v>-8696.3799999999992</v>
      </c>
    </row>
    <row r="21" spans="1:29" s="35" customFormat="1" ht="12.9" customHeight="1" x14ac:dyDescent="0.3">
      <c r="A21" s="23">
        <v>43133.791666666664</v>
      </c>
      <c r="B21" s="23">
        <v>43137.982638888891</v>
      </c>
      <c r="C21" s="23"/>
      <c r="D21" s="14">
        <v>2000000033</v>
      </c>
      <c r="E21" s="24" t="s">
        <v>265</v>
      </c>
      <c r="F21" s="25" t="s">
        <v>32</v>
      </c>
      <c r="G21" s="25" t="s">
        <v>213</v>
      </c>
      <c r="H21" s="26">
        <v>72300</v>
      </c>
      <c r="I21" s="26" t="s">
        <v>33</v>
      </c>
      <c r="J21" s="26">
        <v>71700</v>
      </c>
      <c r="K21" s="265">
        <f>H21-J21</f>
        <v>600</v>
      </c>
      <c r="L21" s="267">
        <f>'[139]Ju Yuan'!$F$69</f>
        <v>4.1909722222262644</v>
      </c>
      <c r="M21" s="267">
        <f>'[139]Ju Yuan'!$F$69-'[139]Ju Yuan'!$F$65</f>
        <v>1.2743055555583851</v>
      </c>
      <c r="N21" s="266">
        <f>H21/L21</f>
        <v>17251.367025666874</v>
      </c>
      <c r="O21" s="266">
        <f>H21/M21</f>
        <v>56736.784741018433</v>
      </c>
      <c r="P21" s="265">
        <v>30000</v>
      </c>
      <c r="Q21" s="224">
        <v>72.95</v>
      </c>
      <c r="R21" s="224">
        <v>58.85</v>
      </c>
      <c r="S21" s="354">
        <f>Q21-R21</f>
        <v>14.100000000000001</v>
      </c>
      <c r="T21" s="288">
        <f>S21/8.7*10000/H21</f>
        <v>0.22416177803214579</v>
      </c>
      <c r="U21" s="288">
        <f>S21/8.5*10000/H21</f>
        <v>0.2294361728093727</v>
      </c>
      <c r="V21" s="288"/>
      <c r="W21" s="308"/>
      <c r="X21" s="32"/>
      <c r="Y21" s="287">
        <v>2.15</v>
      </c>
      <c r="Z21" s="263">
        <f t="shared" ref="Z21:Z27" si="8">H21*Y21</f>
        <v>155445</v>
      </c>
      <c r="AA21" s="263"/>
      <c r="AB21" s="331">
        <v>11356.944444416151</v>
      </c>
      <c r="AC21" s="326">
        <f t="shared" ref="AC21:AC26" si="9">(H21*-0.02)</f>
        <v>-1446</v>
      </c>
    </row>
    <row r="22" spans="1:29" s="24" customFormat="1" ht="12.9" customHeight="1" x14ac:dyDescent="0.3">
      <c r="A22" s="23">
        <v>43138.677083333336</v>
      </c>
      <c r="B22" s="23">
        <v>43143.041666666664</v>
      </c>
      <c r="C22" s="23"/>
      <c r="D22" s="14">
        <v>2000000034</v>
      </c>
      <c r="E22" s="24" t="s">
        <v>264</v>
      </c>
      <c r="F22" s="25" t="s">
        <v>39</v>
      </c>
      <c r="G22" s="25" t="s">
        <v>213</v>
      </c>
      <c r="H22" s="266">
        <v>94400</v>
      </c>
      <c r="I22" s="266" t="s">
        <v>40</v>
      </c>
      <c r="J22" s="266">
        <v>94400</v>
      </c>
      <c r="K22" s="265">
        <f>H22-J22</f>
        <v>0</v>
      </c>
      <c r="L22" s="267">
        <f>'[139]Cemtex Renaissance'!$F$79</f>
        <v>4.3645833333284827</v>
      </c>
      <c r="M22" s="267">
        <f>'[139]Cemtex Renaissance'!$F$79-'[139]Cemtex Renaissance'!$F$75</f>
        <v>1.7534722222007986</v>
      </c>
      <c r="N22" s="266">
        <f>H22/L22</f>
        <v>21628.639618162462</v>
      </c>
      <c r="O22" s="266">
        <f>H22/M22</f>
        <v>53836.039604618156</v>
      </c>
      <c r="P22" s="265">
        <v>30000</v>
      </c>
      <c r="Q22" s="224">
        <v>230.64</v>
      </c>
      <c r="R22" s="224">
        <v>214.03</v>
      </c>
      <c r="S22" s="354">
        <f>Q22-R22</f>
        <v>16.609999999999985</v>
      </c>
      <c r="T22" s="288">
        <f>S22/8.7*10000/H22</f>
        <v>0.20224527566725098</v>
      </c>
      <c r="U22" s="288">
        <f>S22/8.5*10000/H22</f>
        <v>0.20700398803589212</v>
      </c>
      <c r="V22" s="288"/>
      <c r="W22" s="133"/>
      <c r="Y22" s="287">
        <v>2.15</v>
      </c>
      <c r="Z22" s="263">
        <f t="shared" si="8"/>
        <v>202960</v>
      </c>
      <c r="AA22" s="263"/>
      <c r="AB22" s="331">
        <v>13931.944444658679</v>
      </c>
      <c r="AC22" s="326">
        <f t="shared" si="9"/>
        <v>-1888</v>
      </c>
    </row>
    <row r="23" spans="1:29" s="24" customFormat="1" ht="12.9" customHeight="1" x14ac:dyDescent="0.3">
      <c r="A23" s="23">
        <v>43143.958333333336</v>
      </c>
      <c r="B23" s="23">
        <v>43147.46875</v>
      </c>
      <c r="C23" s="23"/>
      <c r="D23" s="14">
        <v>2000000035</v>
      </c>
      <c r="E23" s="24" t="s">
        <v>263</v>
      </c>
      <c r="F23" s="25" t="s">
        <v>32</v>
      </c>
      <c r="G23" s="25" t="s">
        <v>213</v>
      </c>
      <c r="H23" s="266">
        <v>82000</v>
      </c>
      <c r="I23" s="266" t="s">
        <v>33</v>
      </c>
      <c r="J23" s="266">
        <v>82000</v>
      </c>
      <c r="K23" s="265">
        <f>H23-J23</f>
        <v>0</v>
      </c>
      <c r="L23" s="267">
        <f>'[139]Leading Glory'!$F$72</f>
        <v>3.5104166666642413</v>
      </c>
      <c r="M23" s="267">
        <f>'[139]Leading Glory'!$F$72-'[139]Leading Glory'!$F$68</f>
        <v>1.4756944444379769</v>
      </c>
      <c r="N23" s="266">
        <f>H23/L23</f>
        <v>23359.050445119996</v>
      </c>
      <c r="O23" s="266">
        <f>H23/M23</f>
        <v>55567.058823772946</v>
      </c>
      <c r="P23" s="265">
        <v>30000</v>
      </c>
      <c r="Q23" s="224">
        <v>212.16</v>
      </c>
      <c r="R23" s="224">
        <v>198.06</v>
      </c>
      <c r="S23" s="354">
        <f>Q23-R23</f>
        <v>14.099999999999994</v>
      </c>
      <c r="T23" s="288">
        <f>S23/8.7*10000/H23</f>
        <v>0.19764507989907479</v>
      </c>
      <c r="U23" s="288">
        <f>S23/8.5*10000/H23</f>
        <v>0.20229555236728833</v>
      </c>
      <c r="V23" s="288"/>
      <c r="W23" s="133"/>
      <c r="Y23" s="287">
        <v>2.15</v>
      </c>
      <c r="Z23" s="263">
        <f t="shared" si="8"/>
        <v>176300</v>
      </c>
      <c r="AA23" s="263"/>
      <c r="AB23" s="331">
        <v>12576.388888953565</v>
      </c>
      <c r="AC23" s="326">
        <f t="shared" si="9"/>
        <v>-1640</v>
      </c>
    </row>
    <row r="24" spans="1:29" s="24" customFormat="1" ht="12.9" customHeight="1" x14ac:dyDescent="0.3">
      <c r="A24" s="23">
        <v>43148.840277777781</v>
      </c>
      <c r="B24" s="23">
        <v>43151.881944444445</v>
      </c>
      <c r="C24" s="23"/>
      <c r="D24" s="14">
        <v>2000000036</v>
      </c>
      <c r="E24" s="24" t="s">
        <v>124</v>
      </c>
      <c r="F24" s="25" t="s">
        <v>32</v>
      </c>
      <c r="G24" s="25" t="s">
        <v>213</v>
      </c>
      <c r="H24" s="266">
        <v>71300</v>
      </c>
      <c r="I24" s="266" t="s">
        <v>33</v>
      </c>
      <c r="J24" s="266">
        <v>71300</v>
      </c>
      <c r="K24" s="26">
        <f>H24-J24</f>
        <v>0</v>
      </c>
      <c r="L24" s="267">
        <f>'[139]Zheng Jie'!$F$65</f>
        <v>3.0416666666642413</v>
      </c>
      <c r="M24" s="267">
        <f>'[139]Zheng Jie'!$F$65-'[139]Zheng Jie'!$F$61</f>
        <v>1.281250000007276</v>
      </c>
      <c r="N24" s="266">
        <f>H24/L24</f>
        <v>23441.095890429649</v>
      </c>
      <c r="O24" s="266">
        <f>H24/M24</f>
        <v>55648.780487488861</v>
      </c>
      <c r="P24" s="265">
        <v>30000</v>
      </c>
      <c r="Q24" s="224">
        <v>195.48</v>
      </c>
      <c r="R24" s="224">
        <v>183.65</v>
      </c>
      <c r="S24" s="224">
        <f>Q24-R24</f>
        <v>11.829999999999984</v>
      </c>
      <c r="T24" s="288">
        <f>S24/8.7*10000/H24</f>
        <v>0.19071109606487055</v>
      </c>
      <c r="U24" s="288">
        <f>S24/8.5*10000/H24</f>
        <v>0.19519841597227924</v>
      </c>
      <c r="V24" s="288"/>
      <c r="W24" s="133"/>
      <c r="Y24" s="287">
        <v>2.15</v>
      </c>
      <c r="Z24" s="263">
        <f t="shared" si="8"/>
        <v>153295</v>
      </c>
      <c r="AA24" s="263"/>
      <c r="AB24" s="331">
        <v>10954.166666593905</v>
      </c>
      <c r="AC24" s="326">
        <f t="shared" si="9"/>
        <v>-1426</v>
      </c>
    </row>
    <row r="25" spans="1:29" s="24" customFormat="1" ht="12.9" customHeight="1" x14ac:dyDescent="0.3">
      <c r="A25" s="707">
        <v>43154.041666666664</v>
      </c>
      <c r="B25" s="707">
        <v>43156.993055555555</v>
      </c>
      <c r="C25" s="47"/>
      <c r="D25" s="694">
        <v>2000000037</v>
      </c>
      <c r="E25" s="24" t="s">
        <v>110</v>
      </c>
      <c r="F25" s="25" t="s">
        <v>58</v>
      </c>
      <c r="G25" s="25" t="s">
        <v>213</v>
      </c>
      <c r="H25" s="266">
        <v>55000</v>
      </c>
      <c r="I25" s="266" t="s">
        <v>49</v>
      </c>
      <c r="J25" s="266">
        <v>165000</v>
      </c>
      <c r="K25" s="26">
        <f>H25-J25</f>
        <v>-110000</v>
      </c>
      <c r="L25" s="267">
        <f>'[139]MSXT Capella'!$F$76</f>
        <v>2.9513888888905058</v>
      </c>
      <c r="M25" s="267">
        <f>'[139]MSXT Capella'!$F$76-'[139]MSXT Capella'!$F$72</f>
        <v>1.6909722222335404</v>
      </c>
      <c r="N25" s="266">
        <f>(H25+H26)/L25</f>
        <v>29242.503529395744</v>
      </c>
      <c r="O25" s="266">
        <f>(H25+H26)/M25</f>
        <v>51039.277207050574</v>
      </c>
      <c r="P25" s="265">
        <v>30000</v>
      </c>
      <c r="Q25" s="224">
        <v>180.52</v>
      </c>
      <c r="R25" s="224">
        <v>165.88</v>
      </c>
      <c r="S25" s="224">
        <f>Q25-R25</f>
        <v>14.640000000000015</v>
      </c>
      <c r="T25" s="288">
        <f>S25/8.7*10000/(H25+H26)</f>
        <v>0.19497585575622284</v>
      </c>
      <c r="U25" s="288">
        <f>S25/8.5*10000/(H25+H26)</f>
        <v>0.19956352295048693</v>
      </c>
      <c r="V25" s="288"/>
      <c r="W25" s="133"/>
      <c r="Y25" s="287">
        <v>2.15</v>
      </c>
      <c r="Z25" s="263">
        <f t="shared" si="8"/>
        <v>118250</v>
      </c>
      <c r="AA25" s="263"/>
      <c r="AB25" s="747">
        <v>11858.94444433126</v>
      </c>
      <c r="AC25" s="326">
        <f t="shared" si="9"/>
        <v>-1100</v>
      </c>
    </row>
    <row r="26" spans="1:29" s="24" customFormat="1" ht="12.9" customHeight="1" x14ac:dyDescent="0.3">
      <c r="A26" s="707"/>
      <c r="B26" s="707"/>
      <c r="C26" s="47"/>
      <c r="D26" s="694"/>
      <c r="E26" s="24" t="s">
        <v>110</v>
      </c>
      <c r="F26" s="25"/>
      <c r="G26" s="25"/>
      <c r="H26" s="266">
        <v>31306</v>
      </c>
      <c r="I26" s="266"/>
      <c r="J26" s="266"/>
      <c r="K26" s="26"/>
      <c r="L26" s="267"/>
      <c r="M26" s="267"/>
      <c r="N26" s="266"/>
      <c r="O26" s="266"/>
      <c r="P26" s="265"/>
      <c r="Q26" s="224"/>
      <c r="R26" s="224"/>
      <c r="S26" s="224"/>
      <c r="T26" s="224"/>
      <c r="U26" s="224"/>
      <c r="V26" s="224"/>
      <c r="W26" s="133"/>
      <c r="Y26" s="287">
        <v>2.15</v>
      </c>
      <c r="Z26" s="263">
        <f t="shared" si="8"/>
        <v>67307.899999999994</v>
      </c>
      <c r="AA26" s="263"/>
      <c r="AB26" s="747"/>
      <c r="AC26" s="326">
        <f t="shared" si="9"/>
        <v>-626.12</v>
      </c>
    </row>
    <row r="27" spans="1:29" s="15" customFormat="1" ht="12.9" customHeight="1" x14ac:dyDescent="0.3">
      <c r="A27" s="13"/>
      <c r="B27" s="13"/>
      <c r="C27" s="13"/>
      <c r="D27" s="13"/>
      <c r="E27" s="15" t="s">
        <v>29</v>
      </c>
      <c r="F27" s="16"/>
      <c r="G27" s="16"/>
      <c r="H27" s="296">
        <f>421875-SUM(H21:H26)</f>
        <v>15569</v>
      </c>
      <c r="I27" s="296"/>
      <c r="J27" s="296"/>
      <c r="K27" s="18"/>
      <c r="L27" s="297"/>
      <c r="M27" s="297"/>
      <c r="N27" s="296"/>
      <c r="O27" s="296"/>
      <c r="P27" s="295"/>
      <c r="Q27" s="247"/>
      <c r="R27" s="247"/>
      <c r="S27" s="247"/>
      <c r="T27" s="247"/>
      <c r="U27" s="247"/>
      <c r="V27" s="247"/>
      <c r="W27" s="137"/>
      <c r="Y27" s="287">
        <v>2.15</v>
      </c>
      <c r="Z27" s="263">
        <f t="shared" si="8"/>
        <v>33473.35</v>
      </c>
      <c r="AA27" s="292"/>
      <c r="AB27" s="346"/>
      <c r="AC27" s="310"/>
    </row>
    <row r="28" spans="1:29" s="24" customFormat="1" ht="12.9" customHeight="1" x14ac:dyDescent="0.3">
      <c r="C28" s="24">
        <v>1000000009</v>
      </c>
      <c r="E28" s="21" t="s">
        <v>37</v>
      </c>
      <c r="F28" s="21"/>
      <c r="G28" s="21"/>
      <c r="H28" s="356">
        <f>SUM(H21:H26)</f>
        <v>406306</v>
      </c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09">
        <f>SUM(S21:S25)</f>
        <v>71.279999999999973</v>
      </c>
      <c r="T28" s="271">
        <f t="shared" ref="T28:T36" si="10">S28/8.7*10000/H28</f>
        <v>0.2016485960895448</v>
      </c>
      <c r="U28" s="271">
        <f t="shared" ref="U28:U36" si="11">S28/8.5*10000/H28</f>
        <v>0.20639326893871057</v>
      </c>
      <c r="V28" s="43">
        <f>(U28-T28)/U28</f>
        <v>2.2988505747126489E-2</v>
      </c>
      <c r="W28" s="275">
        <v>421875</v>
      </c>
      <c r="X28" s="275">
        <f>H28-W28</f>
        <v>-15569</v>
      </c>
      <c r="Y28" s="130"/>
      <c r="Z28" s="273">
        <f>SUM(Z21:Z27)</f>
        <v>907031.25</v>
      </c>
      <c r="AA28" s="273"/>
      <c r="AB28" s="273">
        <f>SUM(AB21:AB26)</f>
        <v>60678.388888953559</v>
      </c>
      <c r="AC28" s="344">
        <f>SUM(AC21:AC26)</f>
        <v>-8126.12</v>
      </c>
    </row>
    <row r="29" spans="1:29" s="24" customFormat="1" ht="12.9" customHeight="1" x14ac:dyDescent="0.3">
      <c r="A29" s="70">
        <v>43159.729166666664</v>
      </c>
      <c r="B29" s="23">
        <v>43161.118055555555</v>
      </c>
      <c r="C29" s="23"/>
      <c r="D29" s="25">
        <v>2000000051</v>
      </c>
      <c r="E29" s="35" t="s">
        <v>262</v>
      </c>
      <c r="F29" s="25" t="s">
        <v>32</v>
      </c>
      <c r="G29" s="25" t="s">
        <v>213</v>
      </c>
      <c r="H29" s="269">
        <v>35042</v>
      </c>
      <c r="I29" s="338" t="s">
        <v>33</v>
      </c>
      <c r="J29" s="269">
        <v>67610</v>
      </c>
      <c r="K29" s="265">
        <f t="shared" ref="K29:K36" si="12">H29-J29</f>
        <v>-32568</v>
      </c>
      <c r="L29" s="267">
        <f>'[140]Xin Doang Guan 3'!$F$49</f>
        <v>1.3888888888905058</v>
      </c>
      <c r="M29" s="267">
        <f>'[140]Xin Doang Guan 3'!$F$49-'[140]Xin Doang Guan 3'!$F$45</f>
        <v>0.66145833334303461</v>
      </c>
      <c r="N29" s="266">
        <f t="shared" ref="N29:N36" si="13">H29/L29</f>
        <v>25230.239999970629</v>
      </c>
      <c r="O29" s="266">
        <f t="shared" ref="O29:O36" si="14">H29/M29</f>
        <v>52976.881888986791</v>
      </c>
      <c r="P29" s="265">
        <v>30000</v>
      </c>
      <c r="Q29" s="330">
        <v>161.58000000000001</v>
      </c>
      <c r="R29" s="330">
        <v>154.59</v>
      </c>
      <c r="S29" s="354">
        <f t="shared" ref="S29:S37" si="15">Q29-R29</f>
        <v>6.9900000000000091</v>
      </c>
      <c r="T29" s="288">
        <f t="shared" si="10"/>
        <v>0.22928151243138808</v>
      </c>
      <c r="U29" s="288">
        <f t="shared" si="11"/>
        <v>0.23467637154742069</v>
      </c>
      <c r="V29" s="288"/>
      <c r="W29" s="308"/>
      <c r="X29" s="355"/>
      <c r="Y29" s="287">
        <v>2.15</v>
      </c>
      <c r="Z29" s="263">
        <f t="shared" ref="Z29:Z41" si="16">H29*Y29</f>
        <v>75340.3</v>
      </c>
      <c r="AA29" s="263"/>
      <c r="AB29" s="331">
        <v>5066.08333323632</v>
      </c>
      <c r="AC29" s="326">
        <f t="shared" ref="AC29:AC41" si="17">(H29*-0.01)</f>
        <v>-350.42</v>
      </c>
    </row>
    <row r="30" spans="1:29" s="24" customFormat="1" ht="12.9" customHeight="1" x14ac:dyDescent="0.3">
      <c r="A30" s="23">
        <v>43161.375</v>
      </c>
      <c r="B30" s="23">
        <v>43162.736111111109</v>
      </c>
      <c r="C30" s="23"/>
      <c r="D30" s="25">
        <v>2000000052</v>
      </c>
      <c r="E30" s="35" t="s">
        <v>261</v>
      </c>
      <c r="F30" s="25" t="s">
        <v>39</v>
      </c>
      <c r="G30" s="25" t="s">
        <v>213</v>
      </c>
      <c r="H30" s="269">
        <v>43104</v>
      </c>
      <c r="I30" s="338" t="s">
        <v>49</v>
      </c>
      <c r="J30" s="269">
        <v>89540</v>
      </c>
      <c r="K30" s="265">
        <f t="shared" si="12"/>
        <v>-46436</v>
      </c>
      <c r="L30" s="267">
        <f>'[140]Giant Ace'!$F$47</f>
        <v>1.3611111111094942</v>
      </c>
      <c r="M30" s="267">
        <f>'[140]Giant Ace'!$F$47-'[140]Giant Ace'!$F$43</f>
        <v>0.82465277775554569</v>
      </c>
      <c r="N30" s="266">
        <f t="shared" si="13"/>
        <v>31668.244897996803</v>
      </c>
      <c r="O30" s="266">
        <f t="shared" si="14"/>
        <v>52269.271580356515</v>
      </c>
      <c r="P30" s="265">
        <v>30000</v>
      </c>
      <c r="Q30" s="224">
        <v>154.59</v>
      </c>
      <c r="R30" s="224">
        <v>147.44</v>
      </c>
      <c r="S30" s="354">
        <f t="shared" si="15"/>
        <v>7.1500000000000057</v>
      </c>
      <c r="T30" s="288">
        <f t="shared" si="10"/>
        <v>0.1906642261645719</v>
      </c>
      <c r="U30" s="288">
        <f t="shared" si="11"/>
        <v>0.19515044325079714</v>
      </c>
      <c r="V30" s="288"/>
      <c r="W30" s="308"/>
      <c r="X30" s="337"/>
      <c r="Y30" s="287">
        <v>2.15</v>
      </c>
      <c r="Z30" s="263">
        <f t="shared" si="16"/>
        <v>92673.599999999991</v>
      </c>
      <c r="AA30" s="263"/>
      <c r="AB30" s="331">
        <v>6121.4722224445441</v>
      </c>
      <c r="AC30" s="326">
        <f t="shared" si="17"/>
        <v>-431.04</v>
      </c>
    </row>
    <row r="31" spans="1:29" s="24" customFormat="1" ht="12.9" customHeight="1" x14ac:dyDescent="0.3">
      <c r="A31" s="23">
        <v>43165.034722222219</v>
      </c>
      <c r="B31" s="23">
        <v>43167.756944444445</v>
      </c>
      <c r="C31" s="23"/>
      <c r="D31" s="25">
        <v>2000000053</v>
      </c>
      <c r="E31" s="35" t="s">
        <v>260</v>
      </c>
      <c r="F31" s="25" t="s">
        <v>58</v>
      </c>
      <c r="G31" s="25" t="s">
        <v>213</v>
      </c>
      <c r="H31" s="269">
        <v>87242</v>
      </c>
      <c r="I31" s="338" t="s">
        <v>49</v>
      </c>
      <c r="J31" s="269">
        <v>165000</v>
      </c>
      <c r="K31" s="265">
        <f t="shared" si="12"/>
        <v>-77758</v>
      </c>
      <c r="L31" s="267">
        <f>'[140]Night Kiss'!$F$72</f>
        <v>2.7222222222262644</v>
      </c>
      <c r="M31" s="267">
        <f>'[140]Night Kiss'!$F$72-'[140]Night Kiss'!$F$68</f>
        <v>1.546875</v>
      </c>
      <c r="N31" s="266">
        <f t="shared" si="13"/>
        <v>32048.081632605474</v>
      </c>
      <c r="O31" s="266">
        <f t="shared" si="14"/>
        <v>56398.868686868685</v>
      </c>
      <c r="P31" s="265">
        <v>30000</v>
      </c>
      <c r="Q31" s="224">
        <v>144.03</v>
      </c>
      <c r="R31" s="224">
        <v>131.82</v>
      </c>
      <c r="S31" s="354">
        <f t="shared" si="15"/>
        <v>12.210000000000008</v>
      </c>
      <c r="T31" s="288">
        <f t="shared" si="10"/>
        <v>0.1608684206989833</v>
      </c>
      <c r="U31" s="288">
        <f t="shared" si="11"/>
        <v>0.16465356000954759</v>
      </c>
      <c r="V31" s="288"/>
      <c r="W31" s="308"/>
      <c r="X31" s="337"/>
      <c r="Y31" s="287">
        <v>2.15</v>
      </c>
      <c r="Z31" s="263">
        <f t="shared" si="16"/>
        <v>187570.3</v>
      </c>
      <c r="AA31" s="263"/>
      <c r="AB31" s="331">
        <v>13611.916666666666</v>
      </c>
      <c r="AC31" s="326">
        <f t="shared" si="17"/>
        <v>-872.42000000000007</v>
      </c>
    </row>
    <row r="32" spans="1:29" s="24" customFormat="1" ht="12.9" customHeight="1" x14ac:dyDescent="0.3">
      <c r="A32" s="23">
        <v>43171.819444444445</v>
      </c>
      <c r="B32" s="23">
        <v>43173.15625</v>
      </c>
      <c r="C32" s="23"/>
      <c r="D32" s="25">
        <v>2000000054</v>
      </c>
      <c r="E32" s="35" t="s">
        <v>64</v>
      </c>
      <c r="F32" s="25" t="s">
        <v>32</v>
      </c>
      <c r="G32" s="25" t="s">
        <v>213</v>
      </c>
      <c r="H32" s="269">
        <v>35890</v>
      </c>
      <c r="I32" s="338" t="s">
        <v>33</v>
      </c>
      <c r="J32" s="269">
        <v>70900</v>
      </c>
      <c r="K32" s="265">
        <f t="shared" si="12"/>
        <v>-35010</v>
      </c>
      <c r="L32" s="267">
        <f>'[141]Zheng Hao'!$F$57</f>
        <v>1.3368055555547471</v>
      </c>
      <c r="M32" s="267">
        <f>'[141]Zheng Hao'!$F$57-'[141]Zheng Hao'!$F$53</f>
        <v>0.68055555555474712</v>
      </c>
      <c r="N32" s="266">
        <f t="shared" si="13"/>
        <v>26847.584415600653</v>
      </c>
      <c r="O32" s="266">
        <f t="shared" si="14"/>
        <v>52736.326530674894</v>
      </c>
      <c r="P32" s="265">
        <v>30000</v>
      </c>
      <c r="Q32" s="224">
        <v>125.84</v>
      </c>
      <c r="R32" s="224">
        <v>119.31</v>
      </c>
      <c r="S32" s="354">
        <f t="shared" si="15"/>
        <v>6.5300000000000011</v>
      </c>
      <c r="T32" s="288">
        <f t="shared" si="10"/>
        <v>0.20913199014869832</v>
      </c>
      <c r="U32" s="288">
        <f t="shared" si="11"/>
        <v>0.21405274285807946</v>
      </c>
      <c r="V32" s="288"/>
      <c r="W32" s="308"/>
      <c r="X32" s="337"/>
      <c r="Y32" s="287">
        <v>2.15</v>
      </c>
      <c r="Z32" s="263">
        <f t="shared" si="16"/>
        <v>77163.5</v>
      </c>
      <c r="AA32" s="263"/>
      <c r="AB32" s="331">
        <v>5157.777777785861</v>
      </c>
      <c r="AC32" s="326">
        <f t="shared" si="17"/>
        <v>-358.90000000000003</v>
      </c>
    </row>
    <row r="33" spans="1:29" s="24" customFormat="1" ht="12.9" customHeight="1" x14ac:dyDescent="0.3">
      <c r="A33" s="23">
        <v>43173.763888888891</v>
      </c>
      <c r="B33" s="23">
        <v>43174.958333333336</v>
      </c>
      <c r="C33" s="23"/>
      <c r="D33" s="25">
        <v>2000000055</v>
      </c>
      <c r="E33" s="35" t="s">
        <v>113</v>
      </c>
      <c r="F33" s="25" t="s">
        <v>32</v>
      </c>
      <c r="G33" s="25" t="s">
        <v>213</v>
      </c>
      <c r="H33" s="269">
        <v>39902</v>
      </c>
      <c r="I33" s="338" t="s">
        <v>33</v>
      </c>
      <c r="J33" s="269">
        <v>76000</v>
      </c>
      <c r="K33" s="26">
        <f t="shared" si="12"/>
        <v>-36098</v>
      </c>
      <c r="L33" s="267">
        <f>'[142]Chang Ming'!$F$44</f>
        <v>1.1944444444452529</v>
      </c>
      <c r="M33" s="267">
        <f>'[142]Chang Ming'!$F$44-'[142]Chang Ming'!$F$40</f>
        <v>0.78819444445616682</v>
      </c>
      <c r="N33" s="266">
        <f t="shared" si="13"/>
        <v>33406.325581372737</v>
      </c>
      <c r="O33" s="266">
        <f t="shared" si="14"/>
        <v>50624.563875899068</v>
      </c>
      <c r="P33" s="265">
        <v>30000</v>
      </c>
      <c r="Q33" s="330">
        <v>118.26</v>
      </c>
      <c r="R33" s="330">
        <v>112.46</v>
      </c>
      <c r="S33" s="330">
        <f t="shared" si="15"/>
        <v>5.8000000000000114</v>
      </c>
      <c r="T33" s="288">
        <f t="shared" si="10"/>
        <v>0.16707600287370761</v>
      </c>
      <c r="U33" s="288">
        <f t="shared" si="11"/>
        <v>0.17100720294132421</v>
      </c>
      <c r="V33" s="288"/>
      <c r="W33" s="308"/>
      <c r="X33" s="337"/>
      <c r="Y33" s="287">
        <v>2.15</v>
      </c>
      <c r="Z33" s="263">
        <f t="shared" si="16"/>
        <v>85789.3</v>
      </c>
      <c r="AA33" s="263"/>
      <c r="AB33" s="331">
        <v>5418.7222221049988</v>
      </c>
      <c r="AC33" s="326">
        <f t="shared" si="17"/>
        <v>-399.02</v>
      </c>
    </row>
    <row r="34" spans="1:29" s="24" customFormat="1" ht="12.9" customHeight="1" x14ac:dyDescent="0.3">
      <c r="A34" s="23">
        <v>43175.239583333336</v>
      </c>
      <c r="B34" s="23">
        <v>43176.430555555555</v>
      </c>
      <c r="C34" s="47"/>
      <c r="D34" s="25">
        <v>2000000056</v>
      </c>
      <c r="E34" s="109" t="s">
        <v>106</v>
      </c>
      <c r="F34" s="110" t="s">
        <v>32</v>
      </c>
      <c r="G34" s="25" t="s">
        <v>213</v>
      </c>
      <c r="H34" s="265">
        <v>22252</v>
      </c>
      <c r="I34" s="314" t="s">
        <v>33</v>
      </c>
      <c r="J34" s="314">
        <v>64998</v>
      </c>
      <c r="K34" s="314">
        <f t="shared" si="12"/>
        <v>-42746</v>
      </c>
      <c r="L34" s="315">
        <f>'[142]Well Deep'!$F$43</f>
        <v>1.1909722222189885</v>
      </c>
      <c r="M34" s="315">
        <f>'[142]Well Deep'!$F$43-'[142]Well Deep'!$F$39</f>
        <v>0.39409722223717836</v>
      </c>
      <c r="N34" s="266">
        <f t="shared" si="13"/>
        <v>18683.895043782508</v>
      </c>
      <c r="O34" s="266">
        <f t="shared" si="14"/>
        <v>56463.224667460723</v>
      </c>
      <c r="P34" s="314">
        <v>30000</v>
      </c>
      <c r="Q34" s="317">
        <v>111.51</v>
      </c>
      <c r="R34" s="317">
        <v>106.79</v>
      </c>
      <c r="S34" s="317">
        <f t="shared" si="15"/>
        <v>4.7199999999999989</v>
      </c>
      <c r="T34" s="288">
        <f t="shared" si="10"/>
        <v>0.24381122399433031</v>
      </c>
      <c r="U34" s="288">
        <f t="shared" si="11"/>
        <v>0.24954795867654986</v>
      </c>
      <c r="V34" s="288"/>
      <c r="W34" s="333"/>
      <c r="X34" s="332"/>
      <c r="Y34" s="287">
        <v>2.15</v>
      </c>
      <c r="Z34" s="263">
        <f t="shared" si="16"/>
        <v>47841.799999999996</v>
      </c>
      <c r="AA34" s="263"/>
      <c r="AB34" s="353">
        <v>3476.3611109615499</v>
      </c>
      <c r="AC34" s="326">
        <f t="shared" si="17"/>
        <v>-222.52</v>
      </c>
    </row>
    <row r="35" spans="1:29" s="24" customFormat="1" ht="12.9" customHeight="1" x14ac:dyDescent="0.3">
      <c r="A35" s="23">
        <v>43176.677083333336</v>
      </c>
      <c r="B35" s="23">
        <v>43178.111111111109</v>
      </c>
      <c r="C35" s="47"/>
      <c r="D35" s="25">
        <v>2000000057</v>
      </c>
      <c r="E35" s="109" t="s">
        <v>259</v>
      </c>
      <c r="F35" s="110" t="s">
        <v>39</v>
      </c>
      <c r="G35" s="25" t="s">
        <v>213</v>
      </c>
      <c r="H35" s="265">
        <v>43105</v>
      </c>
      <c r="I35" s="314" t="s">
        <v>33</v>
      </c>
      <c r="J35" s="314">
        <v>99000</v>
      </c>
      <c r="K35" s="314">
        <f t="shared" si="12"/>
        <v>-55895</v>
      </c>
      <c r="L35" s="315">
        <f>'[141]Captain Vangelis'!$F$43</f>
        <v>1.4340277777737356</v>
      </c>
      <c r="M35" s="315">
        <f>'[141]Captain Vangelis'!$F$43-'[141]Captain Vangelis'!$F$39</f>
        <v>0.78819444444161491</v>
      </c>
      <c r="N35" s="266">
        <f t="shared" si="13"/>
        <v>30058.69249403146</v>
      </c>
      <c r="O35" s="266">
        <f t="shared" si="14"/>
        <v>54688.281938522319</v>
      </c>
      <c r="P35" s="314">
        <v>30000</v>
      </c>
      <c r="Q35" s="317">
        <v>106.29</v>
      </c>
      <c r="R35" s="317">
        <v>99.93</v>
      </c>
      <c r="S35" s="317">
        <f t="shared" si="15"/>
        <v>6.3599999999999994</v>
      </c>
      <c r="T35" s="288">
        <f t="shared" si="10"/>
        <v>0.16959389461979371</v>
      </c>
      <c r="U35" s="288">
        <f t="shared" si="11"/>
        <v>0.17358433919908295</v>
      </c>
      <c r="V35" s="288"/>
      <c r="W35" s="333"/>
      <c r="X35" s="332"/>
      <c r="Y35" s="287">
        <v>2.15</v>
      </c>
      <c r="Z35" s="263">
        <f t="shared" si="16"/>
        <v>92675.75</v>
      </c>
      <c r="AA35" s="263"/>
      <c r="AB35" s="353">
        <v>6486.3888889171849</v>
      </c>
      <c r="AC35" s="326">
        <f t="shared" si="17"/>
        <v>-431.05</v>
      </c>
    </row>
    <row r="36" spans="1:29" s="24" customFormat="1" ht="12.9" customHeight="1" x14ac:dyDescent="0.3">
      <c r="A36" s="23">
        <v>43178.590277777781</v>
      </c>
      <c r="B36" s="23">
        <v>43181.111111111109</v>
      </c>
      <c r="C36" s="47"/>
      <c r="D36" s="25">
        <v>2000000058</v>
      </c>
      <c r="E36" s="109" t="s">
        <v>258</v>
      </c>
      <c r="F36" s="110" t="s">
        <v>32</v>
      </c>
      <c r="G36" s="25" t="s">
        <v>213</v>
      </c>
      <c r="H36" s="265">
        <v>67600</v>
      </c>
      <c r="I36" s="314" t="s">
        <v>33</v>
      </c>
      <c r="J36" s="314">
        <v>67600</v>
      </c>
      <c r="K36" s="314">
        <f t="shared" si="12"/>
        <v>0</v>
      </c>
      <c r="L36" s="315">
        <f>'[141]Asia Graeca'!$F$68</f>
        <v>2.5208333333284827</v>
      </c>
      <c r="M36" s="315">
        <f>'[141]Asia Graeca'!$F$68-'[141]Asia Graeca'!$F$64</f>
        <v>1.1892361111313221</v>
      </c>
      <c r="N36" s="266">
        <f t="shared" si="13"/>
        <v>26816.528925671435</v>
      </c>
      <c r="O36" s="266">
        <f t="shared" si="14"/>
        <v>56843.211677866071</v>
      </c>
      <c r="P36" s="314">
        <v>30000</v>
      </c>
      <c r="Q36" s="317">
        <v>99.22</v>
      </c>
      <c r="R36" s="317">
        <v>87.72</v>
      </c>
      <c r="S36" s="317">
        <f t="shared" si="15"/>
        <v>11.5</v>
      </c>
      <c r="T36" s="288">
        <f t="shared" si="10"/>
        <v>0.19553832551180034</v>
      </c>
      <c r="U36" s="288">
        <f t="shared" si="11"/>
        <v>0.20013922728854858</v>
      </c>
      <c r="V36" s="288"/>
      <c r="W36" s="333"/>
      <c r="X36" s="332"/>
      <c r="Y36" s="287">
        <v>2.15</v>
      </c>
      <c r="Z36" s="263">
        <f t="shared" si="16"/>
        <v>145340</v>
      </c>
      <c r="AA36" s="263"/>
      <c r="AB36" s="352">
        <v>10640.972222020113</v>
      </c>
      <c r="AC36" s="326">
        <f t="shared" si="17"/>
        <v>-676</v>
      </c>
    </row>
    <row r="37" spans="1:29" s="24" customFormat="1" ht="12.9" customHeight="1" x14ac:dyDescent="0.3">
      <c r="A37" s="707">
        <v>43181.364583333336</v>
      </c>
      <c r="B37" s="707">
        <v>43185.125</v>
      </c>
      <c r="C37" s="47"/>
      <c r="D37" s="701">
        <v>2000000059</v>
      </c>
      <c r="E37" s="109" t="s">
        <v>257</v>
      </c>
      <c r="F37" s="110" t="s">
        <v>32</v>
      </c>
      <c r="G37" s="25" t="s">
        <v>213</v>
      </c>
      <c r="H37" s="265">
        <v>47738</v>
      </c>
      <c r="I37" s="745" t="s">
        <v>33</v>
      </c>
      <c r="J37" s="737">
        <v>81450</v>
      </c>
      <c r="K37" s="737">
        <f>J37-(H37+H38)</f>
        <v>0</v>
      </c>
      <c r="L37" s="742">
        <f>'[141]Pacific Energy'!$F$74</f>
        <v>3.7604166666642413</v>
      </c>
      <c r="M37" s="742">
        <f>'[141]Pacific Energy'!$F$74-'[141]Pacific Energy'!$F$70</f>
        <v>1.5729166666715173</v>
      </c>
      <c r="N37" s="737">
        <f>(H37+H38)/L37</f>
        <v>21659.833795027822</v>
      </c>
      <c r="O37" s="737">
        <f>(H37+H38)/M37</f>
        <v>51782.781456793949</v>
      </c>
      <c r="P37" s="737">
        <v>30000</v>
      </c>
      <c r="Q37" s="743">
        <v>87.38</v>
      </c>
      <c r="R37" s="743">
        <v>72.63</v>
      </c>
      <c r="S37" s="743">
        <f t="shared" si="15"/>
        <v>14.75</v>
      </c>
      <c r="T37" s="746">
        <f>S37/8.7*10000/(H37+H38)</f>
        <v>0.20815252287913749</v>
      </c>
      <c r="U37" s="746">
        <f>S37/8.5*10000/(H37+H38)</f>
        <v>0.21305022929982306</v>
      </c>
      <c r="V37" s="329"/>
      <c r="W37" s="333"/>
      <c r="X37" s="332"/>
      <c r="Y37" s="287">
        <v>2.15</v>
      </c>
      <c r="Z37" s="263">
        <f t="shared" si="16"/>
        <v>102636.7</v>
      </c>
      <c r="AA37" s="263"/>
      <c r="AB37" s="747">
        <v>11420.83</v>
      </c>
      <c r="AC37" s="326">
        <f t="shared" si="17"/>
        <v>-477.38</v>
      </c>
    </row>
    <row r="38" spans="1:29" s="24" customFormat="1" ht="12.9" customHeight="1" x14ac:dyDescent="0.3">
      <c r="A38" s="707"/>
      <c r="B38" s="707"/>
      <c r="C38" s="47"/>
      <c r="D38" s="701"/>
      <c r="E38" s="109" t="s">
        <v>257</v>
      </c>
      <c r="F38" s="110" t="s">
        <v>32</v>
      </c>
      <c r="G38" s="25" t="s">
        <v>213</v>
      </c>
      <c r="H38" s="265">
        <v>33712</v>
      </c>
      <c r="I38" s="745"/>
      <c r="J38" s="737"/>
      <c r="K38" s="737"/>
      <c r="L38" s="742"/>
      <c r="M38" s="742"/>
      <c r="N38" s="737"/>
      <c r="O38" s="737"/>
      <c r="P38" s="737"/>
      <c r="Q38" s="743"/>
      <c r="R38" s="743"/>
      <c r="S38" s="743"/>
      <c r="T38" s="746"/>
      <c r="U38" s="746"/>
      <c r="V38" s="329"/>
      <c r="W38" s="333"/>
      <c r="X38" s="332"/>
      <c r="Y38" s="287">
        <v>1.82</v>
      </c>
      <c r="Z38" s="263">
        <f t="shared" si="16"/>
        <v>61355.840000000004</v>
      </c>
      <c r="AA38" s="263"/>
      <c r="AB38" s="747"/>
      <c r="AC38" s="326">
        <f t="shared" si="17"/>
        <v>-337.12</v>
      </c>
    </row>
    <row r="39" spans="1:29" s="24" customFormat="1" ht="12.9" customHeight="1" x14ac:dyDescent="0.3">
      <c r="A39" s="23">
        <v>43185.402777777781</v>
      </c>
      <c r="B39" s="23">
        <v>43186.909722222219</v>
      </c>
      <c r="C39" s="23"/>
      <c r="D39" s="25">
        <v>2000000060</v>
      </c>
      <c r="E39" s="97" t="s">
        <v>116</v>
      </c>
      <c r="F39" s="25" t="s">
        <v>39</v>
      </c>
      <c r="G39" s="25" t="s">
        <v>213</v>
      </c>
      <c r="H39" s="265">
        <v>33962</v>
      </c>
      <c r="I39" s="334" t="s">
        <v>49</v>
      </c>
      <c r="J39" s="265">
        <v>94600</v>
      </c>
      <c r="K39" s="314">
        <f>H39-J39</f>
        <v>-60638</v>
      </c>
      <c r="L39" s="267">
        <f>'[141]Jag Anand'!$F$47</f>
        <v>1.5069444444379769</v>
      </c>
      <c r="M39" s="267">
        <f>'[141]Jag Anand'!$F$47-'[141]Jag Anand'!$F$43</f>
        <v>0.87847222222262644</v>
      </c>
      <c r="N39" s="266">
        <f>H39/L39</f>
        <v>22536.995391801793</v>
      </c>
      <c r="O39" s="266">
        <f>H39/M39</f>
        <v>38660.30039523913</v>
      </c>
      <c r="P39" s="265">
        <v>30000</v>
      </c>
      <c r="Q39" s="224">
        <v>71.92</v>
      </c>
      <c r="R39" s="224">
        <v>64.98</v>
      </c>
      <c r="S39" s="224">
        <f>Q39-R39</f>
        <v>6.9399999999999977</v>
      </c>
      <c r="T39" s="288">
        <f>S39/8.7*10000/H39</f>
        <v>0.23488049862354607</v>
      </c>
      <c r="U39" s="288">
        <f>S39/8.5*10000/H39</f>
        <v>0.24040709859115891</v>
      </c>
      <c r="V39" s="288"/>
      <c r="W39" s="333"/>
      <c r="X39" s="332"/>
      <c r="Y39" s="287">
        <v>1.82</v>
      </c>
      <c r="Z39" s="263">
        <f t="shared" si="16"/>
        <v>61810.840000000004</v>
      </c>
      <c r="AA39" s="263"/>
      <c r="AB39" s="331">
        <v>2535.9444444404035</v>
      </c>
      <c r="AC39" s="326">
        <f t="shared" si="17"/>
        <v>-339.62</v>
      </c>
    </row>
    <row r="40" spans="1:29" s="24" customFormat="1" ht="12.9" customHeight="1" x14ac:dyDescent="0.3">
      <c r="A40" s="23">
        <v>43188.604166666664</v>
      </c>
      <c r="B40" s="23">
        <v>43190.0625</v>
      </c>
      <c r="C40" s="23"/>
      <c r="D40" s="25">
        <v>2000000061</v>
      </c>
      <c r="E40" s="97" t="s">
        <v>256</v>
      </c>
      <c r="F40" s="25" t="s">
        <v>32</v>
      </c>
      <c r="G40" s="25" t="s">
        <v>213</v>
      </c>
      <c r="H40" s="265">
        <v>30380</v>
      </c>
      <c r="I40" s="334" t="s">
        <v>33</v>
      </c>
      <c r="J40" s="265">
        <v>64700</v>
      </c>
      <c r="K40" s="314">
        <f>H40-J40</f>
        <v>-34320</v>
      </c>
      <c r="L40" s="267">
        <f>'[141]Yue Dian 2'!$F$46</f>
        <v>1.4583333333357587</v>
      </c>
      <c r="M40" s="267">
        <f>'[141]Yue Dian 2'!$F$46-'[141]Yue Dian 2'!$F$42</f>
        <v>0.51909722222262644</v>
      </c>
      <c r="N40" s="266">
        <f>H40/L40</f>
        <v>20831.999999965356</v>
      </c>
      <c r="O40" s="266">
        <f>H40/M40</f>
        <v>58524.682274201921</v>
      </c>
      <c r="P40" s="265">
        <v>30000</v>
      </c>
      <c r="Q40" s="224">
        <v>234.7</v>
      </c>
      <c r="R40" s="224">
        <v>229.18</v>
      </c>
      <c r="S40" s="224">
        <f>Q40-R40</f>
        <v>5.5199999999999818</v>
      </c>
      <c r="T40" s="288">
        <f>S40/8.7*10000/H40</f>
        <v>0.20884883430569046</v>
      </c>
      <c r="U40" s="288">
        <f>S40/8.5*10000/H40</f>
        <v>0.21376292452464787</v>
      </c>
      <c r="V40" s="288"/>
      <c r="W40" s="333"/>
      <c r="X40" s="332"/>
      <c r="Y40" s="287">
        <v>1.82</v>
      </c>
      <c r="Z40" s="263">
        <f t="shared" si="16"/>
        <v>55291.6</v>
      </c>
      <c r="AA40" s="263"/>
      <c r="AB40" s="331">
        <v>4935.6944444404016</v>
      </c>
      <c r="AC40" s="326">
        <f t="shared" si="17"/>
        <v>-303.8</v>
      </c>
    </row>
    <row r="41" spans="1:29" s="15" customFormat="1" ht="12.9" customHeight="1" x14ac:dyDescent="0.3">
      <c r="A41" s="13"/>
      <c r="B41" s="13"/>
      <c r="C41" s="13"/>
      <c r="D41" s="25"/>
      <c r="E41" s="351" t="s">
        <v>51</v>
      </c>
      <c r="F41" s="16"/>
      <c r="G41" s="16"/>
      <c r="H41" s="295">
        <v>-15569</v>
      </c>
      <c r="I41" s="350"/>
      <c r="J41" s="295"/>
      <c r="K41" s="349"/>
      <c r="L41" s="297"/>
      <c r="M41" s="297"/>
      <c r="N41" s="296"/>
      <c r="O41" s="296"/>
      <c r="P41" s="295"/>
      <c r="Q41" s="247"/>
      <c r="R41" s="247"/>
      <c r="S41" s="247"/>
      <c r="T41" s="294"/>
      <c r="U41" s="294"/>
      <c r="V41" s="294"/>
      <c r="W41" s="348"/>
      <c r="X41" s="347"/>
      <c r="Y41" s="287">
        <v>2.15</v>
      </c>
      <c r="Z41" s="263">
        <f t="shared" si="16"/>
        <v>-33473.35</v>
      </c>
      <c r="AA41" s="292"/>
      <c r="AB41" s="346"/>
      <c r="AC41" s="310">
        <f t="shared" si="17"/>
        <v>155.69</v>
      </c>
    </row>
    <row r="42" spans="1:29" s="20" customFormat="1" ht="12.9" customHeight="1" x14ac:dyDescent="0.3">
      <c r="C42" s="20">
        <v>1000000014</v>
      </c>
      <c r="D42" s="25"/>
      <c r="E42" s="122" t="s">
        <v>42</v>
      </c>
      <c r="F42" s="123"/>
      <c r="G42" s="123"/>
      <c r="H42" s="277">
        <f>SUM(H29:H40)</f>
        <v>519929</v>
      </c>
      <c r="I42" s="345"/>
      <c r="J42" s="277"/>
      <c r="K42" s="277"/>
      <c r="L42" s="277"/>
      <c r="M42" s="277"/>
      <c r="N42" s="277"/>
      <c r="O42" s="277"/>
      <c r="P42" s="277"/>
      <c r="Q42" s="277"/>
      <c r="R42" s="277"/>
      <c r="S42" s="309">
        <f>SUM(S29:S40)</f>
        <v>88.470000000000013</v>
      </c>
      <c r="T42" s="271">
        <f t="shared" ref="T42:T49" si="18">S42/8.7*10000/H42</f>
        <v>0.19558373387984479</v>
      </c>
      <c r="U42" s="271">
        <f t="shared" ref="U42:U49" si="19">S42/8.5*10000/H42</f>
        <v>0.20018570408878231</v>
      </c>
      <c r="V42" s="43">
        <f>(U42-T42)/U42</f>
        <v>2.2988505747126402E-2</v>
      </c>
      <c r="W42" s="275">
        <v>421875</v>
      </c>
      <c r="X42" s="275">
        <f>H42-W42</f>
        <v>98054</v>
      </c>
      <c r="Y42" s="130"/>
      <c r="Z42" s="273">
        <f>SUM(Z29:Z41)</f>
        <v>1052016.1799999997</v>
      </c>
      <c r="AA42" s="273"/>
      <c r="AB42" s="273">
        <f>SUM(AB29:AB40)</f>
        <v>74872.163333018063</v>
      </c>
      <c r="AC42" s="344">
        <f>SUM(AC29:AC40)</f>
        <v>-5199.29</v>
      </c>
    </row>
    <row r="43" spans="1:29" s="35" customFormat="1" ht="12.9" customHeight="1" x14ac:dyDescent="0.3">
      <c r="A43" s="23">
        <v>43191.895833333336</v>
      </c>
      <c r="B43" s="23">
        <v>43192.965277777781</v>
      </c>
      <c r="C43" s="23"/>
      <c r="D43" s="25">
        <v>2000000075</v>
      </c>
      <c r="E43" s="342" t="s">
        <v>119</v>
      </c>
      <c r="F43" s="36" t="s">
        <v>32</v>
      </c>
      <c r="G43" s="25" t="s">
        <v>213</v>
      </c>
      <c r="H43" s="323">
        <v>28638</v>
      </c>
      <c r="I43" s="269" t="s">
        <v>33</v>
      </c>
      <c r="J43" s="323">
        <v>65000</v>
      </c>
      <c r="K43" s="314">
        <f t="shared" ref="K43:K49" si="20">H43-J43</f>
        <v>-36362</v>
      </c>
      <c r="L43" s="267">
        <f>[143]Gloriever!$F$49</f>
        <v>1.0694444444452529</v>
      </c>
      <c r="M43" s="267">
        <f>[143]Gloriever!$F$49-[143]Gloriever!$F$45</f>
        <v>0.47395833334303461</v>
      </c>
      <c r="N43" s="266">
        <f t="shared" ref="N43:N49" si="21">H43/L43</f>
        <v>26778.389610369366</v>
      </c>
      <c r="O43" s="266">
        <f t="shared" ref="O43:O49" si="22">H43/M43</f>
        <v>60423.032965796192</v>
      </c>
      <c r="P43" s="265">
        <v>30000</v>
      </c>
      <c r="Q43" s="35">
        <v>226.55</v>
      </c>
      <c r="R43" s="35">
        <v>221.66</v>
      </c>
      <c r="S43" s="330">
        <f t="shared" ref="S43:S50" si="23">Q43-R43</f>
        <v>4.8900000000000148</v>
      </c>
      <c r="T43" s="288">
        <f t="shared" si="18"/>
        <v>0.19626683620268287</v>
      </c>
      <c r="U43" s="288">
        <f t="shared" si="19"/>
        <v>0.20088487940745181</v>
      </c>
      <c r="V43" s="288"/>
      <c r="W43" s="343"/>
      <c r="X43" s="32"/>
      <c r="Y43" s="287">
        <v>2.15</v>
      </c>
      <c r="Z43" s="263">
        <f t="shared" ref="Z43:Z51" si="24">H43*Y43</f>
        <v>61571.7</v>
      </c>
      <c r="AA43" s="263"/>
      <c r="AB43" s="331">
        <v>4806.4166665696539</v>
      </c>
      <c r="AC43" s="326">
        <f t="shared" ref="AC43:AC51" si="25">(H43*-0.01)</f>
        <v>-286.38</v>
      </c>
    </row>
    <row r="44" spans="1:29" s="339" customFormat="1" ht="12.9" customHeight="1" x14ac:dyDescent="0.3">
      <c r="A44" s="23">
        <v>43193.666666666664</v>
      </c>
      <c r="B44" s="23">
        <v>43195.302083333336</v>
      </c>
      <c r="C44" s="23"/>
      <c r="D44" s="25">
        <v>2000000076</v>
      </c>
      <c r="E44" s="342" t="s">
        <v>192</v>
      </c>
      <c r="F44" s="36" t="s">
        <v>39</v>
      </c>
      <c r="G44" s="25" t="s">
        <v>213</v>
      </c>
      <c r="H44" s="323">
        <v>54880</v>
      </c>
      <c r="I44" s="338" t="s">
        <v>40</v>
      </c>
      <c r="J44" s="323">
        <v>87030</v>
      </c>
      <c r="K44" s="314">
        <f t="shared" si="20"/>
        <v>-32150</v>
      </c>
      <c r="L44" s="267">
        <f>'[143]Ocean Sapphire'!$F$53</f>
        <v>1.6354166666715173</v>
      </c>
      <c r="M44" s="267">
        <f>'[143]Ocean Sapphire'!$F$53-'[143]Ocean Sapphire'!$F$49</f>
        <v>0.98263888887595385</v>
      </c>
      <c r="N44" s="266">
        <f t="shared" si="21"/>
        <v>33557.197452129767</v>
      </c>
      <c r="O44" s="266">
        <f t="shared" si="22"/>
        <v>55849.611308155676</v>
      </c>
      <c r="P44" s="265">
        <v>30000</v>
      </c>
      <c r="Q44" s="224">
        <v>220.22</v>
      </c>
      <c r="R44" s="224">
        <v>212.35</v>
      </c>
      <c r="S44" s="330">
        <f t="shared" si="23"/>
        <v>7.8700000000000045</v>
      </c>
      <c r="T44" s="288">
        <f t="shared" si="18"/>
        <v>0.16483194262926856</v>
      </c>
      <c r="U44" s="288">
        <f t="shared" si="19"/>
        <v>0.16871034127936901</v>
      </c>
      <c r="V44" s="288"/>
      <c r="W44" s="341"/>
      <c r="X44" s="340"/>
      <c r="Y44" s="287">
        <v>2.15</v>
      </c>
      <c r="Z44" s="263">
        <f t="shared" si="24"/>
        <v>117992</v>
      </c>
      <c r="AA44" s="263"/>
      <c r="AB44" s="331">
        <v>8466.9444445737936</v>
      </c>
      <c r="AC44" s="326">
        <f t="shared" si="25"/>
        <v>-548.80000000000007</v>
      </c>
    </row>
    <row r="45" spans="1:29" s="339" customFormat="1" ht="12.9" customHeight="1" x14ac:dyDescent="0.3">
      <c r="A45" s="23">
        <v>43195.989583333336</v>
      </c>
      <c r="B45" s="23">
        <v>43200.555555555555</v>
      </c>
      <c r="C45" s="23"/>
      <c r="D45" s="25">
        <v>2000000077</v>
      </c>
      <c r="E45" s="342" t="s">
        <v>165</v>
      </c>
      <c r="F45" s="36" t="s">
        <v>32</v>
      </c>
      <c r="G45" s="25" t="s">
        <v>213</v>
      </c>
      <c r="H45" s="323">
        <v>73720</v>
      </c>
      <c r="I45" s="338" t="s">
        <v>40</v>
      </c>
      <c r="J45" s="323">
        <v>73500</v>
      </c>
      <c r="K45" s="314">
        <f t="shared" si="20"/>
        <v>220</v>
      </c>
      <c r="L45" s="267">
        <f>'[143]Chang Sheng'!$F$70</f>
        <v>4.5659722222189885</v>
      </c>
      <c r="M45" s="267">
        <f>'[143]Chang Sheng'!$F$70-'[143]Chang Sheng'!$F$66</f>
        <v>1.3697916666897072</v>
      </c>
      <c r="N45" s="266">
        <f t="shared" si="21"/>
        <v>16145.520912558963</v>
      </c>
      <c r="O45" s="266">
        <f t="shared" si="22"/>
        <v>53818.403040919846</v>
      </c>
      <c r="P45" s="265">
        <v>30000</v>
      </c>
      <c r="Q45" s="224">
        <v>210.89</v>
      </c>
      <c r="R45" s="224">
        <v>196.71</v>
      </c>
      <c r="S45" s="330">
        <f t="shared" si="23"/>
        <v>14.179999999999978</v>
      </c>
      <c r="T45" s="288">
        <f t="shared" si="18"/>
        <v>0.2210912991686465</v>
      </c>
      <c r="U45" s="288">
        <f t="shared" si="19"/>
        <v>0.22629344738437937</v>
      </c>
      <c r="V45" s="288"/>
      <c r="W45" s="341"/>
      <c r="X45" s="340"/>
      <c r="Y45" s="287">
        <v>2.15</v>
      </c>
      <c r="Z45" s="263">
        <f t="shared" si="24"/>
        <v>158498</v>
      </c>
      <c r="AA45" s="263"/>
      <c r="AB45" s="331">
        <v>10875.41666643626</v>
      </c>
      <c r="AC45" s="326">
        <f t="shared" si="25"/>
        <v>-737.2</v>
      </c>
    </row>
    <row r="46" spans="1:29" s="35" customFormat="1" ht="12.9" customHeight="1" x14ac:dyDescent="0.3">
      <c r="A46" s="23">
        <v>43201.965277777781</v>
      </c>
      <c r="B46" s="23">
        <v>43204.951388888891</v>
      </c>
      <c r="C46" s="23"/>
      <c r="D46" s="25">
        <v>2000000078</v>
      </c>
      <c r="E46" s="35" t="s">
        <v>255</v>
      </c>
      <c r="F46" s="36" t="s">
        <v>58</v>
      </c>
      <c r="G46" s="25" t="s">
        <v>213</v>
      </c>
      <c r="H46" s="269">
        <v>73335</v>
      </c>
      <c r="I46" s="338" t="s">
        <v>49</v>
      </c>
      <c r="J46" s="269">
        <v>73335</v>
      </c>
      <c r="K46" s="314">
        <f t="shared" si="20"/>
        <v>0</v>
      </c>
      <c r="L46" s="267">
        <f>[143]Aanya!$F$71</f>
        <v>2.9861111111094942</v>
      </c>
      <c r="M46" s="267">
        <f>[143]Aanya!$F$71-[143]Aanya!$F$67</f>
        <v>1.6927083333248447</v>
      </c>
      <c r="N46" s="266">
        <f t="shared" si="21"/>
        <v>24558.697674431904</v>
      </c>
      <c r="O46" s="266">
        <f t="shared" si="22"/>
        <v>43324.061538678798</v>
      </c>
      <c r="P46" s="265">
        <v>30000</v>
      </c>
      <c r="Q46" s="224">
        <v>194</v>
      </c>
      <c r="R46" s="224">
        <v>180.54</v>
      </c>
      <c r="S46" s="330">
        <f t="shared" si="23"/>
        <v>13.460000000000008</v>
      </c>
      <c r="T46" s="288">
        <f t="shared" si="18"/>
        <v>0.21096699212948936</v>
      </c>
      <c r="U46" s="288">
        <f t="shared" si="19"/>
        <v>0.21593092135606554</v>
      </c>
      <c r="V46" s="288"/>
      <c r="W46" s="308"/>
      <c r="X46" s="32"/>
      <c r="Y46" s="287">
        <v>2.15</v>
      </c>
      <c r="Z46" s="263">
        <f t="shared" si="24"/>
        <v>157670.25</v>
      </c>
      <c r="AA46" s="263"/>
      <c r="AB46" s="331">
        <v>7517.9166667515537</v>
      </c>
      <c r="AC46" s="326">
        <f t="shared" si="25"/>
        <v>-733.35</v>
      </c>
    </row>
    <row r="47" spans="1:29" s="24" customFormat="1" ht="12.9" customHeight="1" x14ac:dyDescent="0.3">
      <c r="A47" s="23">
        <v>43205.541666666664</v>
      </c>
      <c r="B47" s="23">
        <v>43207.510416666664</v>
      </c>
      <c r="C47" s="23"/>
      <c r="D47" s="25">
        <v>2000000079</v>
      </c>
      <c r="E47" s="35" t="s">
        <v>254</v>
      </c>
      <c r="F47" s="36" t="s">
        <v>212</v>
      </c>
      <c r="G47" s="36" t="s">
        <v>211</v>
      </c>
      <c r="H47" s="269">
        <v>57109</v>
      </c>
      <c r="I47" s="338" t="s">
        <v>49</v>
      </c>
      <c r="J47" s="269">
        <v>57100</v>
      </c>
      <c r="K47" s="314">
        <f t="shared" si="20"/>
        <v>9</v>
      </c>
      <c r="L47" s="267">
        <f>'[143]Ocean Colossus'!$F$59</f>
        <v>1.96875</v>
      </c>
      <c r="M47" s="267">
        <f>'[143]Ocean Colossus'!$F$59-'[143]Ocean Colossus'!$F$55</f>
        <v>1.1163194444525288</v>
      </c>
      <c r="N47" s="266">
        <f t="shared" si="21"/>
        <v>29007.746031746032</v>
      </c>
      <c r="O47" s="266">
        <f t="shared" si="22"/>
        <v>51158.295489520649</v>
      </c>
      <c r="P47" s="265">
        <v>30000</v>
      </c>
      <c r="Q47" s="224">
        <v>178.93</v>
      </c>
      <c r="R47" s="224">
        <v>169.38</v>
      </c>
      <c r="S47" s="330">
        <f t="shared" si="23"/>
        <v>9.5500000000000114</v>
      </c>
      <c r="T47" s="288">
        <f t="shared" si="18"/>
        <v>0.19221158651443537</v>
      </c>
      <c r="U47" s="288">
        <f t="shared" si="19"/>
        <v>0.19673421207948086</v>
      </c>
      <c r="V47" s="288"/>
      <c r="W47" s="308"/>
      <c r="X47" s="337"/>
      <c r="Y47" s="287">
        <v>2.15</v>
      </c>
      <c r="Z47" s="263">
        <f t="shared" si="24"/>
        <v>122784.34999999999</v>
      </c>
      <c r="AA47" s="263"/>
      <c r="AB47" s="304">
        <v>7873.1388888080446</v>
      </c>
      <c r="AC47" s="326">
        <f t="shared" si="25"/>
        <v>-571.09</v>
      </c>
    </row>
    <row r="48" spans="1:29" s="24" customFormat="1" ht="12.9" customHeight="1" x14ac:dyDescent="0.3">
      <c r="A48" s="23">
        <v>43209.777777777781</v>
      </c>
      <c r="B48" s="23">
        <v>43213.604166666664</v>
      </c>
      <c r="C48" s="47"/>
      <c r="D48" s="25">
        <v>2000000080</v>
      </c>
      <c r="E48" s="44" t="s">
        <v>103</v>
      </c>
      <c r="F48" s="45" t="s">
        <v>32</v>
      </c>
      <c r="G48" s="25" t="s">
        <v>213</v>
      </c>
      <c r="H48" s="269">
        <v>67000</v>
      </c>
      <c r="I48" s="316" t="s">
        <v>36</v>
      </c>
      <c r="J48" s="316">
        <v>67000</v>
      </c>
      <c r="K48" s="314">
        <f t="shared" si="20"/>
        <v>0</v>
      </c>
      <c r="L48" s="315">
        <f>'[143]Dewi Parwati'!$F$106</f>
        <v>3.8263888888832298</v>
      </c>
      <c r="M48" s="315">
        <f>'[143]Dewi Parwati'!$F$106-'[143]Dewi Parwati'!$F$102</f>
        <v>1.2222222222117125</v>
      </c>
      <c r="N48" s="266">
        <f t="shared" si="21"/>
        <v>17509.981851205568</v>
      </c>
      <c r="O48" s="266">
        <f t="shared" si="22"/>
        <v>54818.181818653189</v>
      </c>
      <c r="P48" s="314">
        <v>30000</v>
      </c>
      <c r="Q48" s="317">
        <v>165.55</v>
      </c>
      <c r="R48" s="317">
        <v>152.31</v>
      </c>
      <c r="S48" s="317">
        <f t="shared" si="23"/>
        <v>13.240000000000009</v>
      </c>
      <c r="T48" s="288">
        <f t="shared" si="18"/>
        <v>0.22714016126265243</v>
      </c>
      <c r="U48" s="288">
        <f t="shared" si="19"/>
        <v>0.23248463564530306</v>
      </c>
      <c r="V48" s="288"/>
      <c r="W48" s="308"/>
      <c r="X48" s="337"/>
      <c r="Y48" s="287">
        <v>2.15</v>
      </c>
      <c r="Z48" s="263">
        <f t="shared" si="24"/>
        <v>144050</v>
      </c>
      <c r="AA48" s="263"/>
      <c r="AB48" s="291">
        <v>10111.111111216209</v>
      </c>
      <c r="AC48" s="326">
        <f t="shared" si="25"/>
        <v>-670</v>
      </c>
    </row>
    <row r="49" spans="1:29" s="24" customFormat="1" ht="12.9" customHeight="1" x14ac:dyDescent="0.3">
      <c r="A49" s="23">
        <v>43215.263888888891</v>
      </c>
      <c r="B49" s="23">
        <v>43216.833333333336</v>
      </c>
      <c r="C49" s="47"/>
      <c r="D49" s="25">
        <v>2000000081</v>
      </c>
      <c r="E49" s="44" t="s">
        <v>132</v>
      </c>
      <c r="F49" s="45" t="s">
        <v>32</v>
      </c>
      <c r="G49" s="25" t="s">
        <v>213</v>
      </c>
      <c r="H49" s="269">
        <v>40447</v>
      </c>
      <c r="I49" s="316" t="s">
        <v>93</v>
      </c>
      <c r="J49" s="316">
        <v>81200</v>
      </c>
      <c r="K49" s="314">
        <f t="shared" si="20"/>
        <v>-40753</v>
      </c>
      <c r="L49" s="315">
        <f>'[143]Wooyang Friend'!$F$51</f>
        <v>1.5694444444452529</v>
      </c>
      <c r="M49" s="315">
        <f>'[143]Wooyang Friend'!$F$51-'[143]Wooyang Friend'!$F$47</f>
        <v>0.76388888889414375</v>
      </c>
      <c r="N49" s="266">
        <f t="shared" si="21"/>
        <v>25771.539822995575</v>
      </c>
      <c r="O49" s="266">
        <f t="shared" si="22"/>
        <v>52948.799999635761</v>
      </c>
      <c r="P49" s="314">
        <v>30000</v>
      </c>
      <c r="Q49" s="317">
        <v>149.1</v>
      </c>
      <c r="R49" s="317">
        <v>141.79</v>
      </c>
      <c r="S49" s="317">
        <f t="shared" si="23"/>
        <v>7.3100000000000023</v>
      </c>
      <c r="T49" s="288">
        <f t="shared" si="18"/>
        <v>0.20773602122715445</v>
      </c>
      <c r="U49" s="288">
        <f t="shared" si="19"/>
        <v>0.21262392760896986</v>
      </c>
      <c r="V49" s="288"/>
      <c r="W49" s="308"/>
      <c r="X49" s="337"/>
      <c r="Y49" s="287">
        <v>2.15</v>
      </c>
      <c r="Z49" s="263">
        <f t="shared" si="24"/>
        <v>86961.05</v>
      </c>
      <c r="AA49" s="263"/>
      <c r="AB49" s="291">
        <v>5843.4444443918965</v>
      </c>
      <c r="AC49" s="326">
        <f t="shared" si="25"/>
        <v>-404.47</v>
      </c>
    </row>
    <row r="50" spans="1:29" s="24" customFormat="1" ht="12.9" customHeight="1" x14ac:dyDescent="0.3">
      <c r="A50" s="707">
        <v>43217.739583333336</v>
      </c>
      <c r="B50" s="707">
        <v>43218.670138888891</v>
      </c>
      <c r="C50" s="47"/>
      <c r="D50" s="701">
        <v>2000000082</v>
      </c>
      <c r="E50" s="44" t="s">
        <v>122</v>
      </c>
      <c r="F50" s="45" t="s">
        <v>32</v>
      </c>
      <c r="G50" s="25" t="s">
        <v>213</v>
      </c>
      <c r="H50" s="269">
        <v>26746</v>
      </c>
      <c r="I50" s="732" t="s">
        <v>93</v>
      </c>
      <c r="J50" s="732">
        <v>83600</v>
      </c>
      <c r="K50" s="745">
        <f>J50-(H50+H51)</f>
        <v>53795</v>
      </c>
      <c r="L50" s="742">
        <f>[143]Nozomi!$F$39</f>
        <v>0.93055555555474712</v>
      </c>
      <c r="M50" s="742">
        <f>[143]Nozomi!$F$39-[143]Nozomi!$F$35</f>
        <v>0.58506944445252884</v>
      </c>
      <c r="N50" s="737">
        <f>(H50+H51)/L50</f>
        <v>32029.253731371111</v>
      </c>
      <c r="O50" s="737">
        <f>(H50+H51)/M50</f>
        <v>50942.670622441481</v>
      </c>
      <c r="P50" s="737">
        <v>30000</v>
      </c>
      <c r="Q50" s="743">
        <v>140.04</v>
      </c>
      <c r="R50" s="743">
        <v>135.63999999999999</v>
      </c>
      <c r="S50" s="743">
        <f t="shared" si="23"/>
        <v>4.4000000000000057</v>
      </c>
      <c r="T50" s="746">
        <f>S50/8.7*10000/(H50+H51)</f>
        <v>0.16968533012473824</v>
      </c>
      <c r="U50" s="746">
        <f>S50/8.5*10000/(H50+H51)</f>
        <v>0.17367792612767324</v>
      </c>
      <c r="V50" s="329"/>
      <c r="W50" s="308"/>
      <c r="X50" s="337"/>
      <c r="Y50" s="287">
        <v>2.15</v>
      </c>
      <c r="Z50" s="263">
        <f t="shared" si="24"/>
        <v>57503.899999999994</v>
      </c>
      <c r="AA50" s="263"/>
      <c r="AB50" s="727">
        <v>4084.305555474712</v>
      </c>
      <c r="AC50" s="326">
        <f t="shared" si="25"/>
        <v>-267.45999999999998</v>
      </c>
    </row>
    <row r="51" spans="1:29" s="24" customFormat="1" ht="12.9" customHeight="1" x14ac:dyDescent="0.3">
      <c r="A51" s="707"/>
      <c r="B51" s="707"/>
      <c r="C51" s="47"/>
      <c r="D51" s="701"/>
      <c r="E51" s="44" t="s">
        <v>122</v>
      </c>
      <c r="F51" s="45" t="s">
        <v>32</v>
      </c>
      <c r="G51" s="25" t="s">
        <v>213</v>
      </c>
      <c r="H51" s="269">
        <v>3059</v>
      </c>
      <c r="I51" s="732"/>
      <c r="J51" s="732"/>
      <c r="K51" s="745"/>
      <c r="L51" s="742"/>
      <c r="M51" s="742"/>
      <c r="N51" s="737"/>
      <c r="O51" s="737"/>
      <c r="P51" s="737"/>
      <c r="Q51" s="743"/>
      <c r="R51" s="743"/>
      <c r="S51" s="743"/>
      <c r="T51" s="746"/>
      <c r="U51" s="746"/>
      <c r="V51" s="329"/>
      <c r="W51" s="308"/>
      <c r="X51" s="337"/>
      <c r="Y51" s="287">
        <v>1.82</v>
      </c>
      <c r="Z51" s="263">
        <f t="shared" si="24"/>
        <v>5567.38</v>
      </c>
      <c r="AA51" s="263"/>
      <c r="AB51" s="727"/>
      <c r="AC51" s="326">
        <f t="shared" si="25"/>
        <v>-30.59</v>
      </c>
    </row>
    <row r="52" spans="1:29" s="35" customFormat="1" ht="12.9" customHeight="1" x14ac:dyDescent="0.3">
      <c r="C52" s="20">
        <v>1000000018</v>
      </c>
      <c r="E52" s="122" t="s">
        <v>43</v>
      </c>
      <c r="F52" s="123"/>
      <c r="G52" s="123"/>
      <c r="H52" s="336">
        <f>SUM(H43:H51)</f>
        <v>424934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309">
        <f ca="1">SUM(S43:S53)</f>
        <v>318.29000000000008</v>
      </c>
      <c r="T52" s="271">
        <v>0.2026</v>
      </c>
      <c r="U52" s="335">
        <v>0.20730000000000001</v>
      </c>
      <c r="V52" s="43">
        <f>(U52-T52)/U52</f>
        <v>2.2672455378678291E-2</v>
      </c>
      <c r="W52" s="275">
        <v>421875</v>
      </c>
      <c r="X52" s="275">
        <f>H52-W52</f>
        <v>3059</v>
      </c>
      <c r="Y52" s="130"/>
      <c r="Z52" s="274">
        <f>SUM(Z43:Z51)</f>
        <v>912598.63000000012</v>
      </c>
      <c r="AA52" s="274"/>
      <c r="AB52" s="273">
        <f>SUM(AB43:AB50)</f>
        <v>59578.694444222128</v>
      </c>
      <c r="AC52" s="273">
        <f>SUM(AC43:AC51)</f>
        <v>-4249.34</v>
      </c>
    </row>
    <row r="53" spans="1:29" s="24" customFormat="1" ht="12.9" customHeight="1" x14ac:dyDescent="0.3">
      <c r="A53" s="23">
        <v>43219.21875</v>
      </c>
      <c r="B53" s="23">
        <v>43220.645833333336</v>
      </c>
      <c r="C53" s="23"/>
      <c r="D53" s="25">
        <v>2000000105</v>
      </c>
      <c r="E53" s="97" t="s">
        <v>253</v>
      </c>
      <c r="F53" s="25" t="s">
        <v>212</v>
      </c>
      <c r="G53" s="25" t="s">
        <v>211</v>
      </c>
      <c r="H53" s="265">
        <v>32955</v>
      </c>
      <c r="I53" s="334" t="s">
        <v>36</v>
      </c>
      <c r="J53" s="265">
        <v>50000</v>
      </c>
      <c r="K53" s="314">
        <f t="shared" ref="K53:K59" si="26">H53-J53</f>
        <v>-17045</v>
      </c>
      <c r="L53" s="267">
        <f>[144]Nadhif!$F$56</f>
        <v>1.4270833333357587</v>
      </c>
      <c r="M53" s="267">
        <f>[144]Nadhif!$F$56-[144]Nadhif!$F$52</f>
        <v>0.60937499998544808</v>
      </c>
      <c r="N53" s="266">
        <f t="shared" ref="N53:N59" si="27">H53/L53</f>
        <v>23092.5547444863</v>
      </c>
      <c r="O53" s="266">
        <f t="shared" ref="O53:O59" si="28">H53/M53</f>
        <v>54080.000001291432</v>
      </c>
      <c r="P53" s="265">
        <v>30000</v>
      </c>
      <c r="Q53" s="224">
        <v>134.56</v>
      </c>
      <c r="R53" s="224">
        <v>128.33000000000001</v>
      </c>
      <c r="S53" s="330">
        <f t="shared" ref="S53:S60" si="29">Q53-R53</f>
        <v>6.2299999999999898</v>
      </c>
      <c r="T53" s="288">
        <f t="shared" ref="T53:T59" si="30">S53/8.7*10000/H53</f>
        <v>0.21729387165012515</v>
      </c>
      <c r="U53" s="288">
        <f t="shared" ref="U53:U59" si="31">S53/8.5*10000/H53</f>
        <v>0.22240666863012806</v>
      </c>
      <c r="V53" s="288"/>
      <c r="W53" s="333"/>
      <c r="X53" s="332"/>
      <c r="Y53" s="287">
        <v>2.15</v>
      </c>
      <c r="Z53" s="263">
        <f t="shared" ref="Z53:Z63" si="32">H53*Y53</f>
        <v>70853.25</v>
      </c>
      <c r="AA53" s="263"/>
      <c r="AB53" s="331">
        <v>4891.2500001455192</v>
      </c>
      <c r="AC53" s="326">
        <f t="shared" ref="AC53:AC63" si="33">(H53*-0.01)</f>
        <v>-329.55</v>
      </c>
    </row>
    <row r="54" spans="1:29" s="35" customFormat="1" ht="12.9" customHeight="1" x14ac:dyDescent="0.3">
      <c r="A54" s="23">
        <v>43222.1875</v>
      </c>
      <c r="B54" s="23">
        <v>43225.298611111109</v>
      </c>
      <c r="C54" s="23"/>
      <c r="D54" s="25">
        <v>2000000106</v>
      </c>
      <c r="E54" s="35" t="s">
        <v>252</v>
      </c>
      <c r="F54" s="36" t="s">
        <v>58</v>
      </c>
      <c r="G54" s="25" t="s">
        <v>213</v>
      </c>
      <c r="H54" s="269">
        <v>72310</v>
      </c>
      <c r="I54" s="269" t="s">
        <v>49</v>
      </c>
      <c r="J54" s="269">
        <v>161250</v>
      </c>
      <c r="K54" s="314">
        <f t="shared" si="26"/>
        <v>-88940</v>
      </c>
      <c r="L54" s="267">
        <f>'[144]Cape Fushen'!$F$65</f>
        <v>3.1111111111094942</v>
      </c>
      <c r="M54" s="267">
        <f>'[144]Cape Fushen'!$F$65-'[144]Cape Fushen'!$F$61</f>
        <v>1.2881944444343389</v>
      </c>
      <c r="N54" s="266">
        <f t="shared" si="27"/>
        <v>23242.500000012078</v>
      </c>
      <c r="O54" s="266">
        <f t="shared" si="28"/>
        <v>56132.830189119588</v>
      </c>
      <c r="P54" s="265">
        <v>30000</v>
      </c>
      <c r="Q54" s="35">
        <v>126.04</v>
      </c>
      <c r="R54" s="35">
        <v>113.03</v>
      </c>
      <c r="S54" s="330">
        <f t="shared" si="29"/>
        <v>13.010000000000005</v>
      </c>
      <c r="T54" s="288">
        <f t="shared" si="30"/>
        <v>0.20680435608499179</v>
      </c>
      <c r="U54" s="288">
        <f t="shared" si="31"/>
        <v>0.21167034093405038</v>
      </c>
      <c r="V54" s="288"/>
      <c r="W54" s="308"/>
      <c r="X54" s="32"/>
      <c r="Y54" s="287">
        <v>2.15</v>
      </c>
      <c r="Z54" s="263">
        <f t="shared" si="32"/>
        <v>155466.5</v>
      </c>
      <c r="AA54" s="307"/>
      <c r="AB54" s="304">
        <v>11221.388888989944</v>
      </c>
      <c r="AC54" s="326">
        <f t="shared" si="33"/>
        <v>-723.1</v>
      </c>
    </row>
    <row r="55" spans="1:29" s="35" customFormat="1" ht="12.9" customHeight="1" x14ac:dyDescent="0.3">
      <c r="A55" s="23">
        <v>43227.25</v>
      </c>
      <c r="B55" s="23">
        <v>43229.305555555555</v>
      </c>
      <c r="C55" s="23"/>
      <c r="D55" s="25">
        <v>2000000109</v>
      </c>
      <c r="E55" s="35" t="s">
        <v>44</v>
      </c>
      <c r="F55" s="36" t="s">
        <v>39</v>
      </c>
      <c r="G55" s="25" t="s">
        <v>213</v>
      </c>
      <c r="H55" s="269">
        <v>66114</v>
      </c>
      <c r="I55" s="269" t="s">
        <v>40</v>
      </c>
      <c r="J55" s="269">
        <v>90000</v>
      </c>
      <c r="K55" s="314">
        <f t="shared" si="26"/>
        <v>-23886</v>
      </c>
      <c r="L55" s="267">
        <f>'[144]Taipower Prosperity VIII'!$F$59</f>
        <v>2.0555555555547471</v>
      </c>
      <c r="M55" s="267">
        <f>'[144]Taipower Prosperity VIII'!$F$59-'[144]Taipower Prosperity VIII'!$F$55</f>
        <v>1.2378472222299024</v>
      </c>
      <c r="N55" s="266">
        <f t="shared" si="27"/>
        <v>32163.567567580216</v>
      </c>
      <c r="O55" s="266">
        <f t="shared" si="28"/>
        <v>53410.468442866375</v>
      </c>
      <c r="P55" s="265">
        <v>30000</v>
      </c>
      <c r="Q55" s="35">
        <v>109.5</v>
      </c>
      <c r="R55" s="35">
        <v>99.54</v>
      </c>
      <c r="S55" s="330">
        <f t="shared" si="29"/>
        <v>9.9599999999999937</v>
      </c>
      <c r="T55" s="288">
        <f t="shared" si="30"/>
        <v>0.17315963127429834</v>
      </c>
      <c r="U55" s="288">
        <f t="shared" si="31"/>
        <v>0.1772339755395759</v>
      </c>
      <c r="V55" s="288"/>
      <c r="W55" s="308"/>
      <c r="X55" s="32"/>
      <c r="Y55" s="287">
        <v>2.15</v>
      </c>
      <c r="Z55" s="263">
        <f t="shared" si="32"/>
        <v>142145.1</v>
      </c>
      <c r="AA55" s="307"/>
      <c r="AB55" s="304">
        <v>9659.5277777009778</v>
      </c>
      <c r="AC55" s="326">
        <f t="shared" si="33"/>
        <v>-661.14</v>
      </c>
    </row>
    <row r="56" spans="1:29" s="35" customFormat="1" ht="12.9" customHeight="1" x14ac:dyDescent="0.3">
      <c r="A56" s="23">
        <v>43229.625</v>
      </c>
      <c r="B56" s="23">
        <v>43235.458333333336</v>
      </c>
      <c r="C56" s="23"/>
      <c r="D56" s="25">
        <v>2000000110</v>
      </c>
      <c r="E56" s="35" t="s">
        <v>251</v>
      </c>
      <c r="F56" s="36" t="s">
        <v>58</v>
      </c>
      <c r="G56" s="25" t="s">
        <v>213</v>
      </c>
      <c r="H56" s="269">
        <v>108580</v>
      </c>
      <c r="I56" s="269" t="s">
        <v>49</v>
      </c>
      <c r="J56" s="269">
        <v>109160</v>
      </c>
      <c r="K56" s="314">
        <f t="shared" si="26"/>
        <v>-580</v>
      </c>
      <c r="L56" s="267">
        <f>'[144]Bulk Norway'!$F$79</f>
        <v>5.8333333333357587</v>
      </c>
      <c r="M56" s="267">
        <f>'[144]Bulk Norway'!$F$79-'[144]Bulk Norway'!$F$75</f>
        <v>2.4583333333175688</v>
      </c>
      <c r="N56" s="266">
        <f t="shared" si="27"/>
        <v>18613.714285706548</v>
      </c>
      <c r="O56" s="266">
        <f t="shared" si="28"/>
        <v>44168.135593503575</v>
      </c>
      <c r="P56" s="265">
        <v>30000</v>
      </c>
      <c r="Q56" s="35">
        <v>98.58</v>
      </c>
      <c r="R56" s="35">
        <v>76.53</v>
      </c>
      <c r="S56" s="330">
        <f t="shared" si="29"/>
        <v>22.049999999999997</v>
      </c>
      <c r="T56" s="288">
        <f t="shared" si="30"/>
        <v>0.2334207734961033</v>
      </c>
      <c r="U56" s="288">
        <f t="shared" si="31"/>
        <v>0.23891302699012923</v>
      </c>
      <c r="V56" s="288"/>
      <c r="W56" s="308"/>
      <c r="X56" s="32"/>
      <c r="Y56" s="287">
        <v>2.15</v>
      </c>
      <c r="Z56" s="263">
        <f t="shared" si="32"/>
        <v>233447</v>
      </c>
      <c r="AA56" s="307"/>
      <c r="AB56" s="304">
        <v>11610.000000157648</v>
      </c>
      <c r="AC56" s="326">
        <f t="shared" si="33"/>
        <v>-1085.8</v>
      </c>
    </row>
    <row r="57" spans="1:29" s="35" customFormat="1" ht="12.9" customHeight="1" x14ac:dyDescent="0.3">
      <c r="A57" s="47">
        <v>43236.208333333336</v>
      </c>
      <c r="B57" s="47">
        <v>43237.739583333336</v>
      </c>
      <c r="C57" s="47"/>
      <c r="D57" s="25">
        <v>2000000111</v>
      </c>
      <c r="E57" s="44" t="s">
        <v>126</v>
      </c>
      <c r="F57" s="45" t="s">
        <v>32</v>
      </c>
      <c r="G57" s="25" t="s">
        <v>213</v>
      </c>
      <c r="H57" s="269">
        <v>36113</v>
      </c>
      <c r="I57" s="316" t="s">
        <v>100</v>
      </c>
      <c r="J57" s="316">
        <v>72500</v>
      </c>
      <c r="K57" s="314">
        <f t="shared" si="26"/>
        <v>-36387</v>
      </c>
      <c r="L57" s="315">
        <f>[144]Arpeggio!$F$59</f>
        <v>1.53125</v>
      </c>
      <c r="M57" s="315">
        <f>[144]Arpeggio!$F$59-[144]Arpeggio!$F$55</f>
        <v>0.7013888889014197</v>
      </c>
      <c r="N57" s="266">
        <f t="shared" si="27"/>
        <v>23584</v>
      </c>
      <c r="O57" s="266">
        <f t="shared" si="28"/>
        <v>51487.841583238551</v>
      </c>
      <c r="P57" s="314">
        <v>30000</v>
      </c>
      <c r="Q57" s="44">
        <v>75.12</v>
      </c>
      <c r="R57" s="44">
        <v>68.8</v>
      </c>
      <c r="S57" s="317">
        <f t="shared" si="29"/>
        <v>6.3200000000000074</v>
      </c>
      <c r="T57" s="288">
        <f t="shared" si="30"/>
        <v>0.20115658671647227</v>
      </c>
      <c r="U57" s="288">
        <f t="shared" si="31"/>
        <v>0.2058896828745069</v>
      </c>
      <c r="V57" s="288"/>
      <c r="W57" s="308"/>
      <c r="X57" s="32"/>
      <c r="Y57" s="287">
        <v>2.15</v>
      </c>
      <c r="Z57" s="263">
        <f t="shared" si="32"/>
        <v>77642.95</v>
      </c>
      <c r="AA57" s="307"/>
      <c r="AB57" s="291">
        <v>5023.777777652469</v>
      </c>
      <c r="AC57" s="326">
        <f t="shared" si="33"/>
        <v>-361.13</v>
      </c>
    </row>
    <row r="58" spans="1:29" s="35" customFormat="1" ht="12.9" customHeight="1" x14ac:dyDescent="0.3">
      <c r="A58" s="47">
        <v>43238.958333333336</v>
      </c>
      <c r="B58" s="47">
        <v>43241.875</v>
      </c>
      <c r="C58" s="47"/>
      <c r="D58" s="25">
        <v>2000000112</v>
      </c>
      <c r="E58" s="44" t="s">
        <v>127</v>
      </c>
      <c r="F58" s="45" t="s">
        <v>32</v>
      </c>
      <c r="G58" s="25" t="s">
        <v>213</v>
      </c>
      <c r="H58" s="269">
        <v>50352</v>
      </c>
      <c r="I58" s="316" t="s">
        <v>49</v>
      </c>
      <c r="J58" s="316">
        <v>77270</v>
      </c>
      <c r="K58" s="314">
        <f t="shared" si="26"/>
        <v>-26918</v>
      </c>
      <c r="L58" s="315">
        <f>'[144]Pedhoulas Cherry'!$F$71</f>
        <v>2.9166666666642413</v>
      </c>
      <c r="M58" s="315">
        <f>'[144]Pedhoulas Cherry'!$F$71-'[144]Pedhoulas Cherry'!$F$67</f>
        <v>0.95486111111313221</v>
      </c>
      <c r="N58" s="266">
        <f t="shared" si="27"/>
        <v>17263.542857157212</v>
      </c>
      <c r="O58" s="266">
        <f t="shared" si="28"/>
        <v>52732.276363524747</v>
      </c>
      <c r="P58" s="314">
        <v>30000</v>
      </c>
      <c r="Q58" s="44">
        <v>66.02</v>
      </c>
      <c r="R58" s="44">
        <v>55.57</v>
      </c>
      <c r="S58" s="317">
        <f t="shared" si="29"/>
        <v>10.449999999999996</v>
      </c>
      <c r="T58" s="288">
        <f t="shared" si="30"/>
        <v>0.23855048961061251</v>
      </c>
      <c r="U58" s="288">
        <f t="shared" si="31"/>
        <v>0.24416344230733272</v>
      </c>
      <c r="V58" s="288"/>
      <c r="W58" s="308"/>
      <c r="X58" s="32"/>
      <c r="Y58" s="287">
        <v>2.15</v>
      </c>
      <c r="Z58" s="263">
        <f t="shared" si="32"/>
        <v>108256.79999999999</v>
      </c>
      <c r="AA58" s="307"/>
      <c r="AB58" s="291">
        <v>7235.388888868677</v>
      </c>
      <c r="AC58" s="326">
        <f t="shared" si="33"/>
        <v>-503.52000000000004</v>
      </c>
    </row>
    <row r="59" spans="1:29" s="35" customFormat="1" ht="12.9" customHeight="1" x14ac:dyDescent="0.3">
      <c r="A59" s="47">
        <v>43242.197916666664</v>
      </c>
      <c r="B59" s="47">
        <v>43242.888888888891</v>
      </c>
      <c r="C59" s="23"/>
      <c r="D59" s="25">
        <v>2000000113</v>
      </c>
      <c r="E59" s="35" t="s">
        <v>48</v>
      </c>
      <c r="F59" s="36" t="s">
        <v>32</v>
      </c>
      <c r="G59" s="25" t="s">
        <v>213</v>
      </c>
      <c r="H59" s="269">
        <v>20541</v>
      </c>
      <c r="I59" s="269" t="s">
        <v>49</v>
      </c>
      <c r="J59" s="269">
        <v>78890</v>
      </c>
      <c r="K59" s="314">
        <f t="shared" si="26"/>
        <v>-58349</v>
      </c>
      <c r="L59" s="267">
        <f>'[144]Medi Palmarola'!$F$37</f>
        <v>0.69097222222626442</v>
      </c>
      <c r="M59" s="267">
        <f>'[144]Medi Palmarola'!$F$37-'[144]Medi Palmarola'!$F$33</f>
        <v>0.37673611112768413</v>
      </c>
      <c r="N59" s="266">
        <f t="shared" si="27"/>
        <v>29727.678391785892</v>
      </c>
      <c r="O59" s="266">
        <f t="shared" si="28"/>
        <v>54523.576034467813</v>
      </c>
      <c r="P59" s="265">
        <v>30000</v>
      </c>
      <c r="Q59" s="35">
        <v>54.5</v>
      </c>
      <c r="R59" s="35">
        <v>51.11</v>
      </c>
      <c r="S59" s="317">
        <f t="shared" si="29"/>
        <v>3.3900000000000006</v>
      </c>
      <c r="T59" s="288">
        <f t="shared" si="30"/>
        <v>0.18969630125787118</v>
      </c>
      <c r="U59" s="288">
        <f t="shared" si="31"/>
        <v>0.19415974364040933</v>
      </c>
      <c r="V59" s="288"/>
      <c r="W59" s="308"/>
      <c r="X59" s="32"/>
      <c r="Y59" s="287">
        <v>2.15</v>
      </c>
      <c r="Z59" s="263">
        <f t="shared" si="32"/>
        <v>44163.15</v>
      </c>
      <c r="AA59" s="307"/>
      <c r="AB59" s="304">
        <v>3079.6388887231583</v>
      </c>
      <c r="AC59" s="326">
        <f t="shared" si="33"/>
        <v>-205.41</v>
      </c>
    </row>
    <row r="60" spans="1:29" s="35" customFormat="1" ht="12.9" customHeight="1" x14ac:dyDescent="0.3">
      <c r="A60" s="707">
        <v>43243.840277777781</v>
      </c>
      <c r="B60" s="707">
        <v>43246.75</v>
      </c>
      <c r="C60" s="23"/>
      <c r="D60" s="701">
        <v>2000000114</v>
      </c>
      <c r="E60" s="35" t="s">
        <v>250</v>
      </c>
      <c r="F60" s="36" t="s">
        <v>32</v>
      </c>
      <c r="G60" s="25" t="s">
        <v>213</v>
      </c>
      <c r="H60" s="269">
        <v>34910</v>
      </c>
      <c r="I60" s="732" t="s">
        <v>33</v>
      </c>
      <c r="J60" s="732">
        <v>73000</v>
      </c>
      <c r="K60" s="729">
        <f>(H60+H61)-J60</f>
        <v>0</v>
      </c>
      <c r="L60" s="739">
        <f>[144]Peace!$F$73</f>
        <v>2.9097222222189885</v>
      </c>
      <c r="M60" s="739">
        <f>[144]Peace!$F$73-[144]Peace!$F$69</f>
        <v>1.4982638888795918</v>
      </c>
      <c r="N60" s="737">
        <f>(H60+H61)/L60</f>
        <v>25088.305489288025</v>
      </c>
      <c r="O60" s="737">
        <f>(H60+H61)/M60</f>
        <v>48723.059096478464</v>
      </c>
      <c r="P60" s="737">
        <v>30000</v>
      </c>
      <c r="Q60" s="730">
        <v>222.46</v>
      </c>
      <c r="R60" s="730">
        <v>208.74</v>
      </c>
      <c r="S60" s="743">
        <f t="shared" si="29"/>
        <v>13.719999999999999</v>
      </c>
      <c r="T60" s="746">
        <f>S60/8.7*10000/(H60+H61)</f>
        <v>0.21602897181546213</v>
      </c>
      <c r="U60" s="746">
        <f>S60/8.5*10000/(H60+H61)</f>
        <v>0.22111200644641416</v>
      </c>
      <c r="V60" s="329"/>
      <c r="W60" s="308"/>
      <c r="X60" s="32"/>
      <c r="Y60" s="287">
        <v>2.15</v>
      </c>
      <c r="Z60" s="263">
        <f t="shared" si="32"/>
        <v>75056.5</v>
      </c>
      <c r="AA60" s="307"/>
      <c r="AB60" s="727">
        <v>9350.69</v>
      </c>
      <c r="AC60" s="326">
        <f t="shared" si="33"/>
        <v>-349.1</v>
      </c>
    </row>
    <row r="61" spans="1:29" s="35" customFormat="1" ht="12.9" customHeight="1" x14ac:dyDescent="0.3">
      <c r="A61" s="707"/>
      <c r="B61" s="707"/>
      <c r="C61" s="23"/>
      <c r="D61" s="701"/>
      <c r="E61" s="35" t="s">
        <v>250</v>
      </c>
      <c r="F61" s="36" t="s">
        <v>32</v>
      </c>
      <c r="G61" s="25" t="s">
        <v>213</v>
      </c>
      <c r="H61" s="269">
        <v>38090</v>
      </c>
      <c r="I61" s="732"/>
      <c r="J61" s="732"/>
      <c r="K61" s="729"/>
      <c r="L61" s="739"/>
      <c r="M61" s="739"/>
      <c r="N61" s="737"/>
      <c r="O61" s="737"/>
      <c r="P61" s="737"/>
      <c r="Q61" s="730"/>
      <c r="R61" s="730"/>
      <c r="S61" s="743"/>
      <c r="T61" s="746"/>
      <c r="U61" s="746"/>
      <c r="V61" s="329"/>
      <c r="W61" s="308"/>
      <c r="X61" s="32"/>
      <c r="Y61" s="287">
        <v>1.82</v>
      </c>
      <c r="Z61" s="263">
        <f t="shared" si="32"/>
        <v>69323.8</v>
      </c>
      <c r="AA61" s="307"/>
      <c r="AB61" s="727"/>
      <c r="AC61" s="326">
        <f t="shared" si="33"/>
        <v>-380.90000000000003</v>
      </c>
    </row>
    <row r="62" spans="1:29" s="35" customFormat="1" ht="12.9" customHeight="1" x14ac:dyDescent="0.3">
      <c r="A62" s="47">
        <v>43249.861111111109</v>
      </c>
      <c r="B62" s="47">
        <v>43250.072916666664</v>
      </c>
      <c r="C62" s="23"/>
      <c r="D62" s="25">
        <v>2000000115</v>
      </c>
      <c r="E62" s="35" t="s">
        <v>249</v>
      </c>
      <c r="F62" s="36" t="s">
        <v>212</v>
      </c>
      <c r="G62" s="36" t="s">
        <v>211</v>
      </c>
      <c r="H62" s="269">
        <v>5456</v>
      </c>
      <c r="I62" s="269" t="s">
        <v>36</v>
      </c>
      <c r="J62" s="269">
        <v>39480</v>
      </c>
      <c r="K62" s="314">
        <f>H62-J62</f>
        <v>-34024</v>
      </c>
      <c r="L62" s="267">
        <f>'[144]Lumoso Permai'!$F$30</f>
        <v>0.21180555555474712</v>
      </c>
      <c r="M62" s="267">
        <f>'[144]Lumoso Permai'!$F$30-'[144]Lumoso Permai'!$F$26</f>
        <v>0.11111111112404615</v>
      </c>
      <c r="N62" s="266">
        <f>H62/L62</f>
        <v>25759.475409934388</v>
      </c>
      <c r="O62" s="266">
        <f>H62/M62</f>
        <v>49103.999994283542</v>
      </c>
      <c r="P62" s="265">
        <v>30000</v>
      </c>
      <c r="Q62" s="35">
        <v>203.94</v>
      </c>
      <c r="R62" s="35">
        <v>202.74</v>
      </c>
      <c r="S62" s="317">
        <f>Q62-R62</f>
        <v>1.1999999999999886</v>
      </c>
      <c r="T62" s="288">
        <f t="shared" ref="T62:T73" si="34">S62/8.7*10000/H62</f>
        <v>0.25280614824552294</v>
      </c>
      <c r="U62" s="288">
        <f t="shared" ref="U62:U73" si="35">S62/8.5*10000/H62</f>
        <v>0.25875452820424111</v>
      </c>
      <c r="V62" s="288"/>
      <c r="W62" s="308"/>
      <c r="X62" s="32"/>
      <c r="Y62" s="287">
        <v>1.82</v>
      </c>
      <c r="Z62" s="263">
        <f t="shared" si="32"/>
        <v>9929.92</v>
      </c>
      <c r="AA62" s="307"/>
      <c r="AB62" s="304">
        <v>707.55555542620527</v>
      </c>
      <c r="AC62" s="326">
        <f t="shared" si="33"/>
        <v>-54.56</v>
      </c>
    </row>
    <row r="63" spans="1:29" s="35" customFormat="1" ht="12.9" customHeight="1" x14ac:dyDescent="0.3">
      <c r="A63" s="47">
        <v>43250.34375</v>
      </c>
      <c r="B63" s="47">
        <v>43251.006944444445</v>
      </c>
      <c r="C63" s="23"/>
      <c r="D63" s="25">
        <v>2000000116</v>
      </c>
      <c r="E63" s="35" t="s">
        <v>129</v>
      </c>
      <c r="F63" s="36" t="s">
        <v>32</v>
      </c>
      <c r="G63" s="36" t="s">
        <v>213</v>
      </c>
      <c r="H63" s="269">
        <v>19217</v>
      </c>
      <c r="I63" s="269" t="s">
        <v>49</v>
      </c>
      <c r="J63" s="269">
        <v>76625</v>
      </c>
      <c r="K63" s="314">
        <f>H63-J63</f>
        <v>-57408</v>
      </c>
      <c r="L63" s="267">
        <f>'[144]Mineral Hokkaido'!$F$34</f>
        <v>0.66319444444525288</v>
      </c>
      <c r="M63" s="267">
        <f>'[144]Mineral Hokkaido'!$F$34-'[144]Mineral Hokkaido'!$F$30</f>
        <v>0.41145833333939663</v>
      </c>
      <c r="N63" s="266">
        <f>H63/L63</f>
        <v>28976.418848132216</v>
      </c>
      <c r="O63" s="266">
        <f>H63/M63</f>
        <v>46704.607594248468</v>
      </c>
      <c r="P63" s="265">
        <v>30000</v>
      </c>
      <c r="Q63" s="35">
        <v>202.17</v>
      </c>
      <c r="R63" s="35">
        <v>199.08</v>
      </c>
      <c r="S63" s="317">
        <f>Q63-R63</f>
        <v>3.089999999999975</v>
      </c>
      <c r="T63" s="288">
        <f t="shared" si="34"/>
        <v>0.1848219877156167</v>
      </c>
      <c r="U63" s="288">
        <f t="shared" si="35"/>
        <v>0.18917074036774884</v>
      </c>
      <c r="V63" s="288"/>
      <c r="W63" s="308"/>
      <c r="X63" s="32"/>
      <c r="Y63" s="287">
        <v>1.82</v>
      </c>
      <c r="Z63" s="263">
        <f t="shared" si="32"/>
        <v>34974.94</v>
      </c>
      <c r="AA63" s="307"/>
      <c r="AB63" s="304">
        <v>2291.0833332726997</v>
      </c>
      <c r="AC63" s="326">
        <f t="shared" si="33"/>
        <v>-192.17000000000002</v>
      </c>
    </row>
    <row r="64" spans="1:29" s="35" customFormat="1" ht="12.9" customHeight="1" x14ac:dyDescent="0.3">
      <c r="C64" s="20">
        <v>1000000022</v>
      </c>
      <c r="E64" s="122" t="s">
        <v>52</v>
      </c>
      <c r="F64" s="123"/>
      <c r="G64" s="123"/>
      <c r="H64" s="277">
        <f>SUM(H53:H63)</f>
        <v>484638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309">
        <f>SUM(S53:S63)</f>
        <v>89.419999999999945</v>
      </c>
      <c r="T64" s="271">
        <f t="shared" si="34"/>
        <v>0.21207913782122378</v>
      </c>
      <c r="U64" s="271">
        <f t="shared" si="35"/>
        <v>0.21706923518172314</v>
      </c>
      <c r="V64" s="43">
        <f>(U64-T64)/U64</f>
        <v>2.2988505747126294E-2</v>
      </c>
      <c r="W64" s="275">
        <v>421875</v>
      </c>
      <c r="X64" s="275">
        <f>H64-W64</f>
        <v>62763</v>
      </c>
      <c r="Y64" s="130"/>
      <c r="Z64" s="274">
        <f>SUM(Z53:Z63)</f>
        <v>1021259.9099999999</v>
      </c>
      <c r="AA64" s="274"/>
      <c r="AB64" s="273">
        <f>SUM(AB53:AB63)</f>
        <v>65070.301110937296</v>
      </c>
      <c r="AC64" s="273">
        <f>SUM(AC53:AC63)</f>
        <v>-4846.38</v>
      </c>
    </row>
    <row r="65" spans="1:29" s="35" customFormat="1" ht="12.9" customHeight="1" x14ac:dyDescent="0.3">
      <c r="A65" s="47">
        <v>43251.263888888891</v>
      </c>
      <c r="B65" s="47">
        <v>43251.993055555555</v>
      </c>
      <c r="C65" s="23"/>
      <c r="D65" s="25">
        <v>2000000129</v>
      </c>
      <c r="E65" s="35" t="s">
        <v>248</v>
      </c>
      <c r="F65" s="36" t="s">
        <v>32</v>
      </c>
      <c r="G65" s="36" t="s">
        <v>213</v>
      </c>
      <c r="H65" s="269">
        <v>25840</v>
      </c>
      <c r="I65" s="269" t="s">
        <v>33</v>
      </c>
      <c r="J65" s="269">
        <v>65000</v>
      </c>
      <c r="K65" s="314">
        <f t="shared" ref="K65:K73" si="36">H65-J65</f>
        <v>-39160</v>
      </c>
      <c r="L65" s="267">
        <f>'[145]Genco Surprise'!$F$38</f>
        <v>0.72916666666424135</v>
      </c>
      <c r="M65" s="267">
        <f>'[145]Genco Surprise'!$F$38-'[145]Genco Surprise'!$F$34</f>
        <v>0.46874999998908606</v>
      </c>
      <c r="N65" s="266">
        <f t="shared" ref="N65:N73" si="37">H65/L65</f>
        <v>35437.71428583216</v>
      </c>
      <c r="O65" s="266">
        <f t="shared" ref="O65:O73" si="38">H65/M65</f>
        <v>55125.333334616822</v>
      </c>
      <c r="P65" s="265">
        <v>30000</v>
      </c>
      <c r="Q65" s="35">
        <v>198.29</v>
      </c>
      <c r="R65" s="35">
        <v>194.7</v>
      </c>
      <c r="S65" s="317">
        <f t="shared" ref="S65:S74" si="39">Q65-R65</f>
        <v>3.5900000000000034</v>
      </c>
      <c r="T65" s="288">
        <f t="shared" si="34"/>
        <v>0.15969182591366873</v>
      </c>
      <c r="U65" s="288">
        <f t="shared" si="35"/>
        <v>0.16344928064104913</v>
      </c>
      <c r="V65" s="288"/>
      <c r="W65" s="308"/>
      <c r="X65" s="32"/>
      <c r="Y65" s="287">
        <v>2.15</v>
      </c>
      <c r="Z65" s="263">
        <f t="shared" ref="Z65:Z77" si="40">H65*Y65</f>
        <v>55556</v>
      </c>
      <c r="AA65" s="307"/>
      <c r="AB65" s="304">
        <v>3925.8333334424724</v>
      </c>
      <c r="AC65" s="326">
        <f t="shared" ref="AC65:AC77" si="41">(H65*0.01)</f>
        <v>258.39999999999998</v>
      </c>
    </row>
    <row r="66" spans="1:29" s="35" customFormat="1" ht="12.9" customHeight="1" x14ac:dyDescent="0.3">
      <c r="A66" s="59">
        <v>43257.138888888891</v>
      </c>
      <c r="B66" s="59">
        <v>43262.395833333336</v>
      </c>
      <c r="C66" s="50"/>
      <c r="D66" s="36">
        <v>2000000130</v>
      </c>
      <c r="E66" s="35" t="s">
        <v>131</v>
      </c>
      <c r="F66" s="36" t="s">
        <v>58</v>
      </c>
      <c r="G66" s="36" t="s">
        <v>213</v>
      </c>
      <c r="H66" s="269">
        <v>120404</v>
      </c>
      <c r="I66" s="269" t="s">
        <v>49</v>
      </c>
      <c r="J66" s="269">
        <v>165500</v>
      </c>
      <c r="K66" s="316">
        <f t="shared" si="36"/>
        <v>-45096</v>
      </c>
      <c r="L66" s="325">
        <f>'[145]CS Harmony'!$F$101</f>
        <v>5.2569444444452529</v>
      </c>
      <c r="M66" s="325">
        <f>'[145]CS Harmony'!$F$101-'[145]CS Harmony'!$F$97</f>
        <v>2.3576388889014197</v>
      </c>
      <c r="N66" s="269">
        <f t="shared" si="37"/>
        <v>22903.799207394099</v>
      </c>
      <c r="O66" s="269">
        <f t="shared" si="38"/>
        <v>51069.737849507655</v>
      </c>
      <c r="P66" s="323">
        <v>30000</v>
      </c>
      <c r="Q66" s="35">
        <v>186.8</v>
      </c>
      <c r="R66" s="35">
        <v>163</v>
      </c>
      <c r="S66" s="328">
        <f t="shared" si="39"/>
        <v>23.800000000000011</v>
      </c>
      <c r="T66" s="322">
        <f t="shared" si="34"/>
        <v>0.2272044270878083</v>
      </c>
      <c r="U66" s="322">
        <f t="shared" si="35"/>
        <v>0.23255041360752143</v>
      </c>
      <c r="V66" s="321"/>
      <c r="W66" s="308"/>
      <c r="X66" s="32"/>
      <c r="Y66" s="320">
        <v>2.15</v>
      </c>
      <c r="Z66" s="262">
        <f t="shared" si="40"/>
        <v>258868.59999999998</v>
      </c>
      <c r="AA66" s="327"/>
      <c r="AB66" s="304">
        <v>16558.277777652471</v>
      </c>
      <c r="AC66" s="306">
        <f t="shared" si="41"/>
        <v>1204.04</v>
      </c>
    </row>
    <row r="67" spans="1:29" x14ac:dyDescent="0.3">
      <c r="A67" s="47">
        <v>43262.729166666664</v>
      </c>
      <c r="B67" s="47">
        <v>43263.65625</v>
      </c>
      <c r="C67" s="23"/>
      <c r="D67" s="25">
        <v>2000000131</v>
      </c>
      <c r="E67" s="35" t="s">
        <v>247</v>
      </c>
      <c r="F67" s="36" t="s">
        <v>32</v>
      </c>
      <c r="G67" s="36" t="s">
        <v>213</v>
      </c>
      <c r="H67" s="269">
        <v>25042</v>
      </c>
      <c r="I67" s="269" t="s">
        <v>33</v>
      </c>
      <c r="J67" s="269">
        <v>66000</v>
      </c>
      <c r="K67" s="26">
        <f t="shared" si="36"/>
        <v>-40958</v>
      </c>
      <c r="L67" s="267">
        <f>'[145]Ri Zhao'!$F$41</f>
        <v>0.92708333333575865</v>
      </c>
      <c r="M67" s="267">
        <f>'[145]Ri Zhao'!$F$41-'[145]Ri Zhao'!$F$37</f>
        <v>0.52604166666060337</v>
      </c>
      <c r="N67" s="266">
        <f t="shared" si="37"/>
        <v>27011.595505547313</v>
      </c>
      <c r="O67" s="266">
        <f t="shared" si="38"/>
        <v>47604.594059954645</v>
      </c>
      <c r="P67" s="265">
        <v>30000</v>
      </c>
      <c r="Q67" s="35">
        <v>162.06</v>
      </c>
      <c r="R67" s="35">
        <v>157.57</v>
      </c>
      <c r="S67" s="224">
        <f t="shared" si="39"/>
        <v>4.4900000000000091</v>
      </c>
      <c r="T67" s="288">
        <f t="shared" si="34"/>
        <v>0.20609054948605923</v>
      </c>
      <c r="U67" s="288">
        <f t="shared" si="35"/>
        <v>0.21093973888573123</v>
      </c>
      <c r="V67" s="224"/>
      <c r="Y67" s="287">
        <v>2.15</v>
      </c>
      <c r="Z67" s="263">
        <f t="shared" si="40"/>
        <v>53840.299999999996</v>
      </c>
      <c r="AB67" s="304">
        <v>3086.9166667272998</v>
      </c>
      <c r="AC67" s="326">
        <f t="shared" si="41"/>
        <v>250.42000000000002</v>
      </c>
    </row>
    <row r="68" spans="1:29" x14ac:dyDescent="0.3">
      <c r="A68" s="47">
        <v>43263.934027777781</v>
      </c>
      <c r="B68" s="47">
        <v>43264.916666666664</v>
      </c>
      <c r="C68" s="23"/>
      <c r="D68" s="25">
        <v>2000000132</v>
      </c>
      <c r="E68" s="35" t="s">
        <v>132</v>
      </c>
      <c r="F68" s="36" t="s">
        <v>32</v>
      </c>
      <c r="G68" s="36" t="s">
        <v>213</v>
      </c>
      <c r="H68" s="269">
        <v>29949</v>
      </c>
      <c r="I68" s="269" t="s">
        <v>93</v>
      </c>
      <c r="J68" s="269">
        <v>81150</v>
      </c>
      <c r="K68" s="26">
        <f t="shared" si="36"/>
        <v>-51201</v>
      </c>
      <c r="L68" s="267">
        <f>'[145]Wooyang Friend'!$F$45</f>
        <v>0.98263888888322981</v>
      </c>
      <c r="M68" s="267">
        <f>'[145]Wooyang Friend'!$F$45-'[145]Wooyang Friend'!$F$41</f>
        <v>0.53993055555474712</v>
      </c>
      <c r="N68" s="266">
        <f t="shared" si="37"/>
        <v>30478.134275793898</v>
      </c>
      <c r="O68" s="266">
        <f t="shared" si="38"/>
        <v>55468.244373073408</v>
      </c>
      <c r="P68" s="265">
        <v>30000</v>
      </c>
      <c r="Q68" s="35">
        <v>157.09</v>
      </c>
      <c r="R68" s="35">
        <v>152.01</v>
      </c>
      <c r="S68" s="224">
        <f t="shared" si="39"/>
        <v>5.0800000000000125</v>
      </c>
      <c r="T68" s="288">
        <f t="shared" si="34"/>
        <v>0.19496746000768406</v>
      </c>
      <c r="U68" s="288">
        <f t="shared" si="35"/>
        <v>0.19955492965492364</v>
      </c>
      <c r="V68" s="224"/>
      <c r="Y68" s="287">
        <v>2.15</v>
      </c>
      <c r="Z68" s="263">
        <f t="shared" si="40"/>
        <v>64390.35</v>
      </c>
      <c r="AB68" s="304">
        <v>4583.6944444525288</v>
      </c>
      <c r="AC68" s="326">
        <f t="shared" si="41"/>
        <v>299.49</v>
      </c>
    </row>
    <row r="69" spans="1:29" x14ac:dyDescent="0.3">
      <c r="A69" s="47">
        <v>43265.145833333336</v>
      </c>
      <c r="B69" s="47">
        <v>43265.84375</v>
      </c>
      <c r="C69" s="23"/>
      <c r="D69" s="25">
        <v>2000000133</v>
      </c>
      <c r="E69" s="35" t="s">
        <v>246</v>
      </c>
      <c r="F69" s="36" t="s">
        <v>32</v>
      </c>
      <c r="G69" s="36" t="s">
        <v>213</v>
      </c>
      <c r="H69" s="269">
        <v>19251</v>
      </c>
      <c r="I69" s="269" t="s">
        <v>33</v>
      </c>
      <c r="J69" s="269">
        <v>74240</v>
      </c>
      <c r="K69" s="26">
        <f t="shared" si="36"/>
        <v>-54989</v>
      </c>
      <c r="L69" s="267">
        <f>'[145]Precious Sky'!$F$39</f>
        <v>0.69791666666424135</v>
      </c>
      <c r="M69" s="267">
        <f>'[145]Precious Sky'!$F$39-'[145]Precious Sky'!$F$35</f>
        <v>0.35243055554747116</v>
      </c>
      <c r="N69" s="266">
        <f t="shared" si="37"/>
        <v>27583.522388155558</v>
      </c>
      <c r="O69" s="266">
        <f t="shared" si="38"/>
        <v>54623.527094849065</v>
      </c>
      <c r="P69" s="265">
        <v>30000</v>
      </c>
      <c r="Q69" s="35">
        <v>151.41999999999999</v>
      </c>
      <c r="R69" s="35">
        <v>148.07</v>
      </c>
      <c r="S69" s="224">
        <f t="shared" si="39"/>
        <v>3.3499999999999943</v>
      </c>
      <c r="T69" s="288">
        <f t="shared" si="34"/>
        <v>0.200019464580732</v>
      </c>
      <c r="U69" s="288">
        <f t="shared" si="35"/>
        <v>0.20472580492380801</v>
      </c>
      <c r="V69" s="224"/>
      <c r="Y69" s="287">
        <v>2.15</v>
      </c>
      <c r="Z69" s="263">
        <f t="shared" si="40"/>
        <v>41389.65</v>
      </c>
      <c r="AB69" s="304">
        <v>2892.6944445252889</v>
      </c>
      <c r="AC69" s="326">
        <f t="shared" si="41"/>
        <v>192.51</v>
      </c>
    </row>
    <row r="70" spans="1:29" x14ac:dyDescent="0.3">
      <c r="A70" s="47">
        <v>43268.659722222219</v>
      </c>
      <c r="B70" s="47">
        <v>43270.083333333336</v>
      </c>
      <c r="C70" s="23"/>
      <c r="D70" s="25">
        <v>2000000134</v>
      </c>
      <c r="E70" s="35" t="s">
        <v>56</v>
      </c>
      <c r="F70" s="36" t="s">
        <v>32</v>
      </c>
      <c r="G70" s="36" t="s">
        <v>213</v>
      </c>
      <c r="H70" s="269">
        <v>46922</v>
      </c>
      <c r="I70" s="269" t="s">
        <v>49</v>
      </c>
      <c r="J70" s="269">
        <v>71030</v>
      </c>
      <c r="K70" s="26">
        <f t="shared" si="36"/>
        <v>-24108</v>
      </c>
      <c r="L70" s="267">
        <f>[145]Thetis!$F$52</f>
        <v>1.4236111111167702</v>
      </c>
      <c r="M70" s="267">
        <f>[145]Thetis!$F$52-[145]Thetis!$F$48</f>
        <v>0.89236111113496008</v>
      </c>
      <c r="N70" s="266">
        <f t="shared" si="37"/>
        <v>32959.843902308006</v>
      </c>
      <c r="O70" s="266">
        <f t="shared" si="38"/>
        <v>52581.852138672533</v>
      </c>
      <c r="P70" s="265">
        <v>30000</v>
      </c>
      <c r="Q70" s="35">
        <v>143.57</v>
      </c>
      <c r="R70" s="35">
        <v>136.72999999999999</v>
      </c>
      <c r="S70" s="224">
        <f t="shared" si="39"/>
        <v>6.8400000000000034</v>
      </c>
      <c r="T70" s="288">
        <f t="shared" si="34"/>
        <v>0.16755613497969496</v>
      </c>
      <c r="U70" s="288">
        <f t="shared" si="35"/>
        <v>0.17149863227333481</v>
      </c>
      <c r="V70" s="224"/>
      <c r="Y70" s="287">
        <v>2.15</v>
      </c>
      <c r="Z70" s="263">
        <f t="shared" si="40"/>
        <v>100882.3</v>
      </c>
      <c r="AB70" s="304">
        <v>6717.0555553170661</v>
      </c>
      <c r="AC70" s="326">
        <f t="shared" si="41"/>
        <v>469.22</v>
      </c>
    </row>
    <row r="71" spans="1:29" s="183" customFormat="1" x14ac:dyDescent="0.3">
      <c r="A71" s="59">
        <v>43272.520833333336</v>
      </c>
      <c r="B71" s="59">
        <v>43273.302083333336</v>
      </c>
      <c r="C71" s="50"/>
      <c r="D71" s="36">
        <v>2000000135</v>
      </c>
      <c r="E71" s="35" t="s">
        <v>106</v>
      </c>
      <c r="F71" s="36" t="s">
        <v>32</v>
      </c>
      <c r="G71" s="36" t="s">
        <v>213</v>
      </c>
      <c r="H71" s="269">
        <v>23220</v>
      </c>
      <c r="I71" s="269" t="s">
        <v>33</v>
      </c>
      <c r="J71" s="269">
        <v>63000</v>
      </c>
      <c r="K71" s="31">
        <f t="shared" si="36"/>
        <v>-39780</v>
      </c>
      <c r="L71" s="325">
        <f>'[145]Well Deep'!$F$40</f>
        <v>0.78125</v>
      </c>
      <c r="M71" s="325">
        <f>'[145]Well Deep'!$F$40-'[145]Well Deep'!$F$36</f>
        <v>0.41145833334303461</v>
      </c>
      <c r="N71" s="269">
        <f t="shared" si="37"/>
        <v>29721.599999999999</v>
      </c>
      <c r="O71" s="269">
        <f t="shared" si="38"/>
        <v>56433.417720188416</v>
      </c>
      <c r="P71" s="323">
        <v>30000</v>
      </c>
      <c r="Q71" s="35">
        <v>132.9</v>
      </c>
      <c r="R71" s="35">
        <v>128.91</v>
      </c>
      <c r="S71" s="321">
        <f t="shared" si="39"/>
        <v>3.9900000000000091</v>
      </c>
      <c r="T71" s="322">
        <f t="shared" si="34"/>
        <v>0.19751106358965265</v>
      </c>
      <c r="U71" s="322">
        <f t="shared" si="35"/>
        <v>0.2021583827329386</v>
      </c>
      <c r="V71" s="321"/>
      <c r="W71" s="182"/>
      <c r="Y71" s="320">
        <v>2.15</v>
      </c>
      <c r="Z71" s="262">
        <f t="shared" si="40"/>
        <v>49923</v>
      </c>
      <c r="AA71" s="185"/>
      <c r="AB71" s="304">
        <v>3625.4166665696539</v>
      </c>
      <c r="AC71" s="306">
        <f t="shared" si="41"/>
        <v>232.20000000000002</v>
      </c>
    </row>
    <row r="72" spans="1:29" s="183" customFormat="1" x14ac:dyDescent="0.3">
      <c r="A72" s="59">
        <v>43273.784722222219</v>
      </c>
      <c r="B72" s="59">
        <v>43275.53125</v>
      </c>
      <c r="C72" s="50"/>
      <c r="D72" s="25">
        <v>2000000143</v>
      </c>
      <c r="E72" s="44" t="s">
        <v>134</v>
      </c>
      <c r="F72" s="177" t="s">
        <v>32</v>
      </c>
      <c r="G72" s="36" t="s">
        <v>213</v>
      </c>
      <c r="H72" s="269">
        <v>50482</v>
      </c>
      <c r="I72" s="316" t="s">
        <v>33</v>
      </c>
      <c r="J72" s="316">
        <v>74000</v>
      </c>
      <c r="K72" s="31">
        <f t="shared" si="36"/>
        <v>-23518</v>
      </c>
      <c r="L72" s="324">
        <f>'[145]Medi Genova'!$F$59</f>
        <v>1.7465277777810115</v>
      </c>
      <c r="M72" s="324">
        <f>'[145]Medi Genova'!$F$59-'[145]Medi Genova'!$F$55</f>
        <v>0.92881944443433895</v>
      </c>
      <c r="N72" s="269">
        <f t="shared" si="37"/>
        <v>28904.206759389825</v>
      </c>
      <c r="O72" s="269">
        <f t="shared" si="38"/>
        <v>54350.714019282925</v>
      </c>
      <c r="P72" s="323">
        <v>30000</v>
      </c>
      <c r="Q72" s="44">
        <v>127.78</v>
      </c>
      <c r="R72" s="44">
        <v>119.2</v>
      </c>
      <c r="S72" s="321">
        <f t="shared" si="39"/>
        <v>8.5799999999999983</v>
      </c>
      <c r="T72" s="322">
        <f t="shared" si="34"/>
        <v>0.1953581269663888</v>
      </c>
      <c r="U72" s="322">
        <f t="shared" si="35"/>
        <v>0.19995478877736267</v>
      </c>
      <c r="V72" s="321"/>
      <c r="W72" s="182"/>
      <c r="Y72" s="320">
        <v>2.15</v>
      </c>
      <c r="Z72" s="262">
        <f t="shared" si="40"/>
        <v>108536.29999999999</v>
      </c>
      <c r="AA72" s="185"/>
      <c r="AB72" s="319">
        <v>7539.1388889899445</v>
      </c>
      <c r="AC72" s="306">
        <f t="shared" si="41"/>
        <v>504.82</v>
      </c>
    </row>
    <row r="73" spans="1:29" s="183" customFormat="1" x14ac:dyDescent="0.3">
      <c r="A73" s="59">
        <v>43275.940972222219</v>
      </c>
      <c r="B73" s="59">
        <v>43277.322916666664</v>
      </c>
      <c r="C73" s="50"/>
      <c r="D73" s="25">
        <v>2000000144</v>
      </c>
      <c r="E73" s="44" t="s">
        <v>126</v>
      </c>
      <c r="F73" s="177" t="s">
        <v>32</v>
      </c>
      <c r="G73" s="36" t="s">
        <v>213</v>
      </c>
      <c r="H73" s="269">
        <v>39819</v>
      </c>
      <c r="I73" s="269" t="s">
        <v>93</v>
      </c>
      <c r="J73" s="316">
        <v>72500</v>
      </c>
      <c r="K73" s="31">
        <f t="shared" si="36"/>
        <v>-32681</v>
      </c>
      <c r="L73" s="324">
        <f>[145]Arpeggio!$F$48</f>
        <v>1.3819444444452529</v>
      </c>
      <c r="M73" s="324">
        <f>[145]Arpeggio!$F$48-[145]Arpeggio!$F$44</f>
        <v>0.66666666666424135</v>
      </c>
      <c r="N73" s="269">
        <f t="shared" si="37"/>
        <v>28813.748743701737</v>
      </c>
      <c r="O73" s="269">
        <f t="shared" si="38"/>
        <v>59728.500000217289</v>
      </c>
      <c r="P73" s="323">
        <v>30000</v>
      </c>
      <c r="Q73" s="44">
        <v>118.35</v>
      </c>
      <c r="R73" s="44">
        <v>111.85</v>
      </c>
      <c r="S73" s="321">
        <f t="shared" si="39"/>
        <v>6.5</v>
      </c>
      <c r="T73" s="322">
        <f t="shared" si="34"/>
        <v>0.18763063783159026</v>
      </c>
      <c r="U73" s="322">
        <f t="shared" si="35"/>
        <v>0.19204547636880412</v>
      </c>
      <c r="V73" s="321"/>
      <c r="W73" s="182"/>
      <c r="Y73" s="320">
        <v>2.15</v>
      </c>
      <c r="Z73" s="262">
        <f t="shared" si="40"/>
        <v>85610.849999999991</v>
      </c>
      <c r="AA73" s="185"/>
      <c r="AB73" s="319">
        <v>6606.3333333575856</v>
      </c>
      <c r="AC73" s="306">
        <f t="shared" si="41"/>
        <v>398.19</v>
      </c>
    </row>
    <row r="74" spans="1:29" s="183" customFormat="1" x14ac:dyDescent="0.3">
      <c r="A74" s="740">
        <v>43277.614583333336</v>
      </c>
      <c r="B74" s="740">
        <v>43280.725694444445</v>
      </c>
      <c r="C74" s="50"/>
      <c r="D74" s="701">
        <v>2000000145</v>
      </c>
      <c r="E74" s="708" t="s">
        <v>57</v>
      </c>
      <c r="F74" s="741" t="s">
        <v>58</v>
      </c>
      <c r="G74" s="700" t="s">
        <v>213</v>
      </c>
      <c r="H74" s="269">
        <v>40946</v>
      </c>
      <c r="I74" s="732" t="s">
        <v>49</v>
      </c>
      <c r="J74" s="729">
        <v>161380</v>
      </c>
      <c r="K74" s="733">
        <f>(H74+H75)-J74</f>
        <v>-100024</v>
      </c>
      <c r="L74" s="734">
        <f>[145]Pounda!$F$55</f>
        <v>3.1111111111094942</v>
      </c>
      <c r="M74" s="735">
        <f>[145]Pounda!$F$55-[145]Pounda!$F$51</f>
        <v>1.1840277777992014</v>
      </c>
      <c r="N74" s="729">
        <f>(H74+H75)/L74</f>
        <v>19721.571428581679</v>
      </c>
      <c r="O74" s="729">
        <f>(H74+H75)/M74</f>
        <v>51819.730204340973</v>
      </c>
      <c r="P74" s="729">
        <v>30000</v>
      </c>
      <c r="Q74" s="730">
        <v>110.79</v>
      </c>
      <c r="R74" s="730">
        <v>98.5</v>
      </c>
      <c r="S74" s="731">
        <f t="shared" si="39"/>
        <v>12.290000000000006</v>
      </c>
      <c r="T74" s="728">
        <f>S74/8.7*10000/(H74+H75)</f>
        <v>0.2302372511508117</v>
      </c>
      <c r="U74" s="728">
        <f>S74/8.5*10000/(H74+H75)</f>
        <v>0.23565459823671317</v>
      </c>
      <c r="V74" s="321"/>
      <c r="W74" s="182"/>
      <c r="Y74" s="320">
        <v>2.15</v>
      </c>
      <c r="Z74" s="262">
        <f t="shared" si="40"/>
        <v>88033.9</v>
      </c>
      <c r="AA74" s="185"/>
      <c r="AB74" s="727">
        <v>8611.7222220079839</v>
      </c>
      <c r="AC74" s="306">
        <f t="shared" si="41"/>
        <v>409.46000000000004</v>
      </c>
    </row>
    <row r="75" spans="1:29" s="183" customFormat="1" x14ac:dyDescent="0.3">
      <c r="A75" s="740"/>
      <c r="B75" s="740"/>
      <c r="C75" s="50"/>
      <c r="D75" s="701"/>
      <c r="E75" s="708"/>
      <c r="F75" s="741"/>
      <c r="G75" s="700"/>
      <c r="H75" s="269">
        <v>20410</v>
      </c>
      <c r="I75" s="732"/>
      <c r="J75" s="729"/>
      <c r="K75" s="733"/>
      <c r="L75" s="734"/>
      <c r="M75" s="735"/>
      <c r="N75" s="729"/>
      <c r="O75" s="729"/>
      <c r="P75" s="729"/>
      <c r="Q75" s="730"/>
      <c r="R75" s="730"/>
      <c r="S75" s="731"/>
      <c r="T75" s="728"/>
      <c r="U75" s="728"/>
      <c r="V75" s="321"/>
      <c r="W75" s="182"/>
      <c r="Y75" s="320">
        <v>1.82</v>
      </c>
      <c r="Z75" s="262">
        <f t="shared" si="40"/>
        <v>37146.200000000004</v>
      </c>
      <c r="AA75" s="185"/>
      <c r="AB75" s="727"/>
      <c r="AC75" s="306">
        <f t="shared" si="41"/>
        <v>204.1</v>
      </c>
    </row>
    <row r="76" spans="1:29" s="183" customFormat="1" x14ac:dyDescent="0.3">
      <c r="A76" s="59">
        <v>43280.993055555555</v>
      </c>
      <c r="B76" s="59">
        <v>43281.53125</v>
      </c>
      <c r="C76" s="50"/>
      <c r="D76" s="25">
        <v>2000000146</v>
      </c>
      <c r="E76" s="44" t="s">
        <v>164</v>
      </c>
      <c r="F76" s="177" t="s">
        <v>32</v>
      </c>
      <c r="G76" s="36" t="s">
        <v>213</v>
      </c>
      <c r="H76" s="269">
        <v>20355</v>
      </c>
      <c r="I76" s="269" t="s">
        <v>33</v>
      </c>
      <c r="J76" s="316">
        <v>70300</v>
      </c>
      <c r="K76" s="31">
        <f>H76-J76</f>
        <v>-49945</v>
      </c>
      <c r="L76" s="324">
        <f>'[145]Hui Zhi'!$F$33</f>
        <v>0.53819444444525288</v>
      </c>
      <c r="M76" s="324">
        <f>'[145]Hui Zhi'!$F$33-'[145]Hui Zhi'!$F$29</f>
        <v>0.37673611110221827</v>
      </c>
      <c r="N76" s="269">
        <f>H76/L76</f>
        <v>37820.903225749636</v>
      </c>
      <c r="O76" s="269">
        <f>H76/M76</f>
        <v>54029.861752427445</v>
      </c>
      <c r="P76" s="323">
        <v>30000</v>
      </c>
      <c r="Q76" s="44">
        <v>97.79</v>
      </c>
      <c r="R76" s="44">
        <v>94.99</v>
      </c>
      <c r="S76" s="321">
        <f>Q76-R76</f>
        <v>2.8000000000000114</v>
      </c>
      <c r="T76" s="322">
        <f t="shared" ref="T76:T88" si="42">S76/8.7*10000/H76</f>
        <v>0.15811303387854161</v>
      </c>
      <c r="U76" s="322">
        <f t="shared" ref="U76:U88" si="43">S76/8.5*10000/H76</f>
        <v>0.16183334055803669</v>
      </c>
      <c r="V76" s="321"/>
      <c r="W76" s="182"/>
      <c r="Y76" s="320">
        <v>1.82</v>
      </c>
      <c r="Z76" s="262">
        <f t="shared" si="40"/>
        <v>37046.1</v>
      </c>
      <c r="AA76" s="185"/>
      <c r="AB76" s="319">
        <v>3017.6388889778173</v>
      </c>
      <c r="AC76" s="306">
        <f t="shared" si="41"/>
        <v>203.55</v>
      </c>
    </row>
    <row r="77" spans="1:29" s="183" customFormat="1" x14ac:dyDescent="0.3">
      <c r="A77" s="59">
        <v>43281.739583333336</v>
      </c>
      <c r="B77" s="59">
        <v>43281.986111111109</v>
      </c>
      <c r="C77" s="50"/>
      <c r="D77" s="25">
        <v>2000000147</v>
      </c>
      <c r="E77" s="44" t="s">
        <v>59</v>
      </c>
      <c r="F77" s="177" t="s">
        <v>32</v>
      </c>
      <c r="G77" s="36" t="s">
        <v>213</v>
      </c>
      <c r="H77" s="269">
        <v>8207</v>
      </c>
      <c r="I77" s="269" t="s">
        <v>33</v>
      </c>
      <c r="J77" s="316">
        <v>71500</v>
      </c>
      <c r="K77" s="31">
        <f>H77-J77</f>
        <v>-63293</v>
      </c>
      <c r="L77" s="324">
        <f>'[145]Sea Opal'!$F$32</f>
        <v>0.24652777777373558</v>
      </c>
      <c r="M77" s="324">
        <f>'[145]Sea Opal'!$F$32-'[145]Sea Opal'!$F$28</f>
        <v>0.16145833332484472</v>
      </c>
      <c r="N77" s="269">
        <f>H77/L77</f>
        <v>33290.366197728945</v>
      </c>
      <c r="O77" s="269">
        <f>H77/M77</f>
        <v>50830.451615575621</v>
      </c>
      <c r="P77" s="323">
        <v>30000</v>
      </c>
      <c r="Q77" s="44">
        <v>94.46</v>
      </c>
      <c r="R77" s="44">
        <v>93.26</v>
      </c>
      <c r="S77" s="321">
        <f>Q77-R77</f>
        <v>1.1999999999999886</v>
      </c>
      <c r="T77" s="322">
        <f t="shared" si="42"/>
        <v>0.16806510842300149</v>
      </c>
      <c r="U77" s="322">
        <f t="shared" si="43"/>
        <v>0.17201958156236621</v>
      </c>
      <c r="V77" s="321"/>
      <c r="W77" s="182"/>
      <c r="Y77" s="320">
        <v>1.82</v>
      </c>
      <c r="Z77" s="262">
        <f t="shared" si="40"/>
        <v>14936.74</v>
      </c>
      <c r="AA77" s="185"/>
      <c r="AB77" s="319">
        <v>1121.0833334182196</v>
      </c>
      <c r="AC77" s="306">
        <f t="shared" si="41"/>
        <v>82.070000000000007</v>
      </c>
    </row>
    <row r="78" spans="1:29" s="35" customFormat="1" ht="12" customHeight="1" x14ac:dyDescent="0.3">
      <c r="C78" s="20">
        <v>1000000026</v>
      </c>
      <c r="E78" s="122" t="s">
        <v>60</v>
      </c>
      <c r="F78" s="123"/>
      <c r="G78" s="123"/>
      <c r="H78" s="277">
        <f>SUM(H65:H77)</f>
        <v>470847</v>
      </c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309">
        <f>SUM(S65:S77)</f>
        <v>82.510000000000048</v>
      </c>
      <c r="T78" s="271">
        <f t="shared" si="42"/>
        <v>0.20142228889590499</v>
      </c>
      <c r="U78" s="271">
        <f t="shared" si="43"/>
        <v>0.20616163686992625</v>
      </c>
      <c r="V78" s="277"/>
      <c r="W78" s="275">
        <v>421875</v>
      </c>
      <c r="X78" s="22">
        <f>H78-W78</f>
        <v>48972</v>
      </c>
      <c r="Y78" s="130"/>
      <c r="Z78" s="274">
        <f>SUM(Z65:Z77)</f>
        <v>996160.28999999992</v>
      </c>
      <c r="AA78" s="274"/>
      <c r="AB78" s="273">
        <f>SUM(AB65:AB77)</f>
        <v>68285.805555438346</v>
      </c>
      <c r="AC78" s="273">
        <f>SUM(AC65:AC77)</f>
        <v>4708.47</v>
      </c>
    </row>
    <row r="79" spans="1:29" s="35" customFormat="1" ht="12.9" customHeight="1" x14ac:dyDescent="0.3">
      <c r="A79" s="47">
        <v>43284.5</v>
      </c>
      <c r="B79" s="47">
        <v>43285.618055555555</v>
      </c>
      <c r="C79" s="23"/>
      <c r="D79" s="23"/>
      <c r="E79" s="35" t="s">
        <v>245</v>
      </c>
      <c r="F79" s="36" t="s">
        <v>32</v>
      </c>
      <c r="G79" s="36" t="s">
        <v>213</v>
      </c>
      <c r="H79" s="269">
        <v>34794</v>
      </c>
      <c r="I79" s="269" t="s">
        <v>93</v>
      </c>
      <c r="J79" s="269">
        <v>70400</v>
      </c>
      <c r="K79" s="26">
        <f t="shared" ref="K79:K88" si="44">H79-J79</f>
        <v>-35606</v>
      </c>
      <c r="L79" s="267">
        <f>'[146]Wooyang Queen'!$F$45</f>
        <v>1.1180555555547471</v>
      </c>
      <c r="M79" s="267">
        <f>'[146]Wooyang Queen'!$F$45-'[146]Wooyang Queen'!$F$41</f>
        <v>0.65972222221898846</v>
      </c>
      <c r="N79" s="266">
        <f t="shared" ref="N79:N88" si="45">H79/L79</f>
        <v>31120.099378904491</v>
      </c>
      <c r="O79" s="266">
        <f t="shared" ref="O79:O88" si="46">H79/M79</f>
        <v>52740.378947626938</v>
      </c>
      <c r="P79" s="265">
        <v>30000</v>
      </c>
      <c r="Q79" s="35">
        <v>88.93</v>
      </c>
      <c r="R79" s="35">
        <v>83.35</v>
      </c>
      <c r="S79" s="224">
        <f t="shared" ref="S79:S88" si="47">Q79-R79</f>
        <v>5.5800000000000125</v>
      </c>
      <c r="T79" s="288">
        <f t="shared" si="42"/>
        <v>0.18433618162465629</v>
      </c>
      <c r="U79" s="288">
        <f t="shared" si="43"/>
        <v>0.18867350354523643</v>
      </c>
      <c r="V79" s="224"/>
      <c r="W79" s="308"/>
      <c r="X79" s="32"/>
      <c r="Y79" s="287">
        <v>2.84</v>
      </c>
      <c r="Z79" s="262">
        <f t="shared" ref="Z79:Z88" si="48">H79*Y79</f>
        <v>98814.959999999992</v>
      </c>
      <c r="AA79" s="307"/>
      <c r="AB79" s="304">
        <v>5000.7777778101145</v>
      </c>
      <c r="AC79" s="306">
        <f t="shared" ref="AC79:AC88" si="49">(H79*0.01)</f>
        <v>347.94</v>
      </c>
    </row>
    <row r="80" spans="1:29" s="35" customFormat="1" ht="12.9" customHeight="1" x14ac:dyDescent="0.3">
      <c r="A80" s="47">
        <v>43285.854166666664</v>
      </c>
      <c r="B80" s="47">
        <v>43287.291666666664</v>
      </c>
      <c r="C80" s="23"/>
      <c r="D80" s="23"/>
      <c r="E80" s="35" t="s">
        <v>244</v>
      </c>
      <c r="F80" s="36" t="s">
        <v>32</v>
      </c>
      <c r="G80" s="36" t="s">
        <v>213</v>
      </c>
      <c r="H80" s="269">
        <v>39950</v>
      </c>
      <c r="I80" s="269" t="s">
        <v>49</v>
      </c>
      <c r="J80" s="269">
        <v>77865</v>
      </c>
      <c r="K80" s="26">
        <f t="shared" si="44"/>
        <v>-37915</v>
      </c>
      <c r="L80" s="267">
        <f>'[146]Stefanos T'!$F$48</f>
        <v>1.4375</v>
      </c>
      <c r="M80" s="267">
        <f>'[146]Stefanos T'!$F$48-'[146]Stefanos T'!$F$44</f>
        <v>0.7413194444598048</v>
      </c>
      <c r="N80" s="266">
        <f t="shared" si="45"/>
        <v>27791.304347826088</v>
      </c>
      <c r="O80" s="266">
        <f t="shared" si="46"/>
        <v>53890.398125347077</v>
      </c>
      <c r="P80" s="265">
        <v>30000</v>
      </c>
      <c r="Q80" s="35">
        <v>82.51</v>
      </c>
      <c r="R80" s="35">
        <v>75.209999999999994</v>
      </c>
      <c r="S80" s="224">
        <f t="shared" si="47"/>
        <v>7.3000000000000114</v>
      </c>
      <c r="T80" s="288">
        <f t="shared" si="42"/>
        <v>0.2100326557622319</v>
      </c>
      <c r="U80" s="288">
        <f t="shared" si="43"/>
        <v>0.21497460060369616</v>
      </c>
      <c r="V80" s="224"/>
      <c r="W80" s="308"/>
      <c r="X80" s="32"/>
      <c r="Y80" s="287">
        <v>2.84</v>
      </c>
      <c r="Z80" s="262">
        <f t="shared" si="48"/>
        <v>113458</v>
      </c>
      <c r="AA80" s="307"/>
      <c r="AB80" s="304">
        <v>5903.4722220686199</v>
      </c>
      <c r="AC80" s="306">
        <f t="shared" si="49"/>
        <v>399.5</v>
      </c>
    </row>
    <row r="81" spans="1:29" s="35" customFormat="1" ht="12.9" customHeight="1" x14ac:dyDescent="0.3">
      <c r="A81" s="47">
        <v>43289.958333333336</v>
      </c>
      <c r="B81" s="47">
        <v>43291.493055555555</v>
      </c>
      <c r="C81" s="23"/>
      <c r="D81" s="23"/>
      <c r="E81" s="35" t="s">
        <v>61</v>
      </c>
      <c r="F81" s="36" t="s">
        <v>39</v>
      </c>
      <c r="G81" s="36" t="s">
        <v>213</v>
      </c>
      <c r="H81" s="269">
        <v>43440</v>
      </c>
      <c r="I81" s="269" t="s">
        <v>93</v>
      </c>
      <c r="J81" s="269">
        <v>88000</v>
      </c>
      <c r="K81" s="26">
        <f t="shared" si="44"/>
        <v>-44560</v>
      </c>
      <c r="L81" s="267">
        <f>'[146]Sea Honesty'!$F$49</f>
        <v>1.5347222222189885</v>
      </c>
      <c r="M81" s="267">
        <f>'[146]Sea Honesty'!$F$49-'[146]Sea Honesty'!$F$45</f>
        <v>0.86805555553655722</v>
      </c>
      <c r="N81" s="266">
        <f t="shared" si="45"/>
        <v>28304.796380150139</v>
      </c>
      <c r="O81" s="266">
        <f t="shared" si="46"/>
        <v>50042.88000109524</v>
      </c>
      <c r="P81" s="265">
        <v>30000</v>
      </c>
      <c r="Q81" s="35">
        <v>71.45</v>
      </c>
      <c r="R81" s="35">
        <v>64.37</v>
      </c>
      <c r="S81" s="224">
        <f t="shared" si="47"/>
        <v>7.0799999999999983</v>
      </c>
      <c r="T81" s="288">
        <f t="shared" si="42"/>
        <v>0.18733727059122368</v>
      </c>
      <c r="U81" s="288">
        <f t="shared" si="43"/>
        <v>0.19174520636984071</v>
      </c>
      <c r="V81" s="224"/>
      <c r="W81" s="308"/>
      <c r="X81" s="32"/>
      <c r="Y81" s="287">
        <v>2.84</v>
      </c>
      <c r="Z81" s="262">
        <f t="shared" si="48"/>
        <v>123369.59999999999</v>
      </c>
      <c r="AA81" s="307"/>
      <c r="AB81" s="304">
        <v>5799.4444446344269</v>
      </c>
      <c r="AC81" s="306">
        <f t="shared" si="49"/>
        <v>434.40000000000003</v>
      </c>
    </row>
    <row r="82" spans="1:29" s="35" customFormat="1" ht="12.9" customHeight="1" x14ac:dyDescent="0.3">
      <c r="A82" s="47">
        <v>43292.90625</v>
      </c>
      <c r="B82" s="47">
        <v>43293.868055555555</v>
      </c>
      <c r="C82" s="23"/>
      <c r="D82" s="23"/>
      <c r="E82" s="35" t="s">
        <v>41</v>
      </c>
      <c r="F82" s="36" t="s">
        <v>39</v>
      </c>
      <c r="G82" s="36" t="s">
        <v>213</v>
      </c>
      <c r="H82" s="269">
        <v>37396</v>
      </c>
      <c r="I82" s="269" t="s">
        <v>40</v>
      </c>
      <c r="J82" s="269">
        <v>86600</v>
      </c>
      <c r="K82" s="26">
        <f t="shared" si="44"/>
        <v>-49204</v>
      </c>
      <c r="L82" s="267">
        <f>'[146]Taipower Prosperity II'!$F$40</f>
        <v>0.96180555555474712</v>
      </c>
      <c r="M82" s="267">
        <f>'[146]Taipower Prosperity II'!$F$40-'[146]Taipower Prosperity II'!$F$36</f>
        <v>0.69270833333575865</v>
      </c>
      <c r="N82" s="266">
        <f t="shared" si="45"/>
        <v>38881.039711224017</v>
      </c>
      <c r="O82" s="266">
        <f t="shared" si="46"/>
        <v>53985.203007329786</v>
      </c>
      <c r="P82" s="265">
        <v>30000</v>
      </c>
      <c r="Q82" s="35">
        <v>61.62</v>
      </c>
      <c r="R82" s="35">
        <v>56.83</v>
      </c>
      <c r="S82" s="224">
        <f t="shared" si="47"/>
        <v>4.7899999999999991</v>
      </c>
      <c r="T82" s="288">
        <f t="shared" si="42"/>
        <v>0.14722823634711682</v>
      </c>
      <c r="U82" s="288">
        <f t="shared" si="43"/>
        <v>0.1506924301435196</v>
      </c>
      <c r="V82" s="224"/>
      <c r="W82" s="308"/>
      <c r="X82" s="32"/>
      <c r="Y82" s="287">
        <v>2.84</v>
      </c>
      <c r="Z82" s="262">
        <f t="shared" si="48"/>
        <v>106204.64</v>
      </c>
      <c r="AA82" s="307"/>
      <c r="AB82" s="304">
        <v>5538.2499999757465</v>
      </c>
      <c r="AC82" s="306">
        <f t="shared" si="49"/>
        <v>373.96</v>
      </c>
    </row>
    <row r="83" spans="1:29" s="35" customFormat="1" ht="12.9" customHeight="1" x14ac:dyDescent="0.3">
      <c r="A83" s="47">
        <v>43294.09375</v>
      </c>
      <c r="B83" s="47">
        <v>43295.177083333336</v>
      </c>
      <c r="C83" s="23"/>
      <c r="D83" s="23"/>
      <c r="E83" s="35" t="s">
        <v>243</v>
      </c>
      <c r="F83" s="36" t="s">
        <v>32</v>
      </c>
      <c r="G83" s="36" t="s">
        <v>213</v>
      </c>
      <c r="H83" s="269">
        <v>30100</v>
      </c>
      <c r="I83" s="269" t="s">
        <v>49</v>
      </c>
      <c r="J83" s="269">
        <v>72750</v>
      </c>
      <c r="K83" s="26">
        <f t="shared" si="44"/>
        <v>-42650</v>
      </c>
      <c r="L83" s="267">
        <f>'[146]Very Maria'!$F$45</f>
        <v>1.0833333333357587</v>
      </c>
      <c r="M83" s="267">
        <f>'[146]Very Maria'!$F$45-'[146]Very Maria'!$F$41</f>
        <v>0.6423611110985803</v>
      </c>
      <c r="N83" s="266">
        <f t="shared" si="45"/>
        <v>27784.615384553181</v>
      </c>
      <c r="O83" s="266">
        <f t="shared" si="46"/>
        <v>46858.378379292466</v>
      </c>
      <c r="P83" s="265">
        <v>30000</v>
      </c>
      <c r="Q83" s="69">
        <v>56.08</v>
      </c>
      <c r="R83" s="35">
        <v>50.88</v>
      </c>
      <c r="S83" s="224">
        <f t="shared" si="47"/>
        <v>5.1999999999999957</v>
      </c>
      <c r="T83" s="288">
        <f t="shared" si="42"/>
        <v>0.19857181044029468</v>
      </c>
      <c r="U83" s="288">
        <f t="shared" si="43"/>
        <v>0.20324408833300744</v>
      </c>
      <c r="V83" s="224"/>
      <c r="W83" s="308"/>
      <c r="X83" s="32"/>
      <c r="Y83" s="287">
        <v>2.84</v>
      </c>
      <c r="Z83" s="262">
        <f t="shared" si="48"/>
        <v>85484</v>
      </c>
      <c r="AA83" s="307"/>
      <c r="AB83" s="304">
        <v>3609.722222347531</v>
      </c>
      <c r="AC83" s="306">
        <f t="shared" si="49"/>
        <v>301</v>
      </c>
    </row>
    <row r="84" spans="1:29" s="35" customFormat="1" ht="12.9" customHeight="1" x14ac:dyDescent="0.3">
      <c r="A84" s="47">
        <v>43297.895833333336</v>
      </c>
      <c r="B84" s="47">
        <v>43299.423611111109</v>
      </c>
      <c r="C84" s="23"/>
      <c r="D84" s="23"/>
      <c r="E84" s="71" t="s">
        <v>242</v>
      </c>
      <c r="F84" s="36" t="s">
        <v>32</v>
      </c>
      <c r="G84" s="36" t="s">
        <v>213</v>
      </c>
      <c r="H84" s="269">
        <v>46315</v>
      </c>
      <c r="I84" s="269" t="s">
        <v>199</v>
      </c>
      <c r="J84" s="269">
        <v>72920</v>
      </c>
      <c r="K84" s="26">
        <f t="shared" si="44"/>
        <v>-26605</v>
      </c>
      <c r="L84" s="267">
        <f>[146]Topeka!$F$53</f>
        <v>1.5277777777737356</v>
      </c>
      <c r="M84" s="267">
        <f>[146]Topeka!$F$53-[146]Topeka!$F$49</f>
        <v>0.8767361110985803</v>
      </c>
      <c r="N84" s="266">
        <f t="shared" si="45"/>
        <v>30315.272727352934</v>
      </c>
      <c r="O84" s="266">
        <f t="shared" si="46"/>
        <v>52826.613862141166</v>
      </c>
      <c r="P84" s="265">
        <v>30000</v>
      </c>
      <c r="Q84" s="35">
        <v>219.12</v>
      </c>
      <c r="R84" s="35">
        <v>211.42</v>
      </c>
      <c r="S84" s="224">
        <f t="shared" si="47"/>
        <v>7.7000000000000171</v>
      </c>
      <c r="T84" s="288">
        <f t="shared" si="42"/>
        <v>0.19109521132772747</v>
      </c>
      <c r="U84" s="288">
        <f t="shared" si="43"/>
        <v>0.19559156924132104</v>
      </c>
      <c r="V84" s="224"/>
      <c r="W84" s="308"/>
      <c r="X84" s="32"/>
      <c r="Y84" s="287">
        <v>2.84</v>
      </c>
      <c r="Z84" s="262">
        <f t="shared" si="48"/>
        <v>131534.6</v>
      </c>
      <c r="AA84" s="307"/>
      <c r="AB84" s="304">
        <v>6670.972222347531</v>
      </c>
      <c r="AC84" s="306">
        <f t="shared" si="49"/>
        <v>463.15000000000003</v>
      </c>
    </row>
    <row r="85" spans="1:29" s="35" customFormat="1" ht="12.9" customHeight="1" x14ac:dyDescent="0.3">
      <c r="A85" s="47">
        <v>43300.743055555555</v>
      </c>
      <c r="B85" s="47">
        <v>43302.302083333336</v>
      </c>
      <c r="C85" s="23"/>
      <c r="D85" s="23"/>
      <c r="E85" s="35" t="s">
        <v>241</v>
      </c>
      <c r="F85" s="36" t="s">
        <v>32</v>
      </c>
      <c r="G85" s="36" t="s">
        <v>213</v>
      </c>
      <c r="H85" s="269">
        <v>49706</v>
      </c>
      <c r="I85" s="269" t="s">
        <v>49</v>
      </c>
      <c r="J85" s="269">
        <v>77000</v>
      </c>
      <c r="K85" s="26">
        <f t="shared" si="44"/>
        <v>-27294</v>
      </c>
      <c r="L85" s="267">
        <f>B85-A85</f>
        <v>1.5590277777810115</v>
      </c>
      <c r="M85" s="267">
        <f>'[146]Zheng Kai'!$F$49-'[146]Zheng Kai'!$F$45</f>
        <v>0.97569444443797693</v>
      </c>
      <c r="N85" s="266">
        <f t="shared" si="45"/>
        <v>31882.690423096454</v>
      </c>
      <c r="O85" s="266">
        <f t="shared" si="46"/>
        <v>50944.227758344809</v>
      </c>
      <c r="P85" s="265">
        <v>30000</v>
      </c>
      <c r="Q85" s="35">
        <v>208.84</v>
      </c>
      <c r="R85" s="35">
        <v>201.22</v>
      </c>
      <c r="S85" s="224">
        <f t="shared" si="47"/>
        <v>7.6200000000000045</v>
      </c>
      <c r="T85" s="288">
        <f t="shared" si="42"/>
        <v>0.17620851989005712</v>
      </c>
      <c r="U85" s="288">
        <f t="shared" si="43"/>
        <v>0.1803546027109996</v>
      </c>
      <c r="V85" s="224"/>
      <c r="W85" s="308"/>
      <c r="X85" s="32"/>
      <c r="Y85" s="287">
        <v>2.84</v>
      </c>
      <c r="Z85" s="262">
        <f t="shared" si="48"/>
        <v>141165.03999999998</v>
      </c>
      <c r="AA85" s="307"/>
      <c r="AB85" s="304">
        <v>6811.7222222868977</v>
      </c>
      <c r="AC85" s="306">
        <f t="shared" si="49"/>
        <v>497.06</v>
      </c>
    </row>
    <row r="86" spans="1:29" s="35" customFormat="1" ht="12.9" customHeight="1" x14ac:dyDescent="0.3">
      <c r="A86" s="47">
        <v>43302.506944444445</v>
      </c>
      <c r="B86" s="47">
        <v>43303.451388888891</v>
      </c>
      <c r="C86" s="23"/>
      <c r="D86" s="23"/>
      <c r="E86" s="35" t="s">
        <v>64</v>
      </c>
      <c r="F86" s="36" t="s">
        <v>32</v>
      </c>
      <c r="G86" s="36" t="s">
        <v>213</v>
      </c>
      <c r="H86" s="269">
        <v>19926</v>
      </c>
      <c r="I86" s="269" t="s">
        <v>33</v>
      </c>
      <c r="J86" s="269">
        <v>66600</v>
      </c>
      <c r="K86" s="26">
        <f t="shared" si="44"/>
        <v>-46674</v>
      </c>
      <c r="L86" s="267">
        <f>'[146]Zheng Hao'!$F$38</f>
        <v>0.94444444444525288</v>
      </c>
      <c r="M86" s="267">
        <f>'[146]Zheng Hao'!$F$38-'[146]Zheng Hao'!$F$34</f>
        <v>0.35416666668243124</v>
      </c>
      <c r="N86" s="266">
        <f t="shared" si="45"/>
        <v>21098.117647040763</v>
      </c>
      <c r="O86" s="266">
        <f t="shared" si="46"/>
        <v>56261.647056319227</v>
      </c>
      <c r="P86" s="265">
        <v>30000</v>
      </c>
      <c r="Q86" s="35">
        <v>200.39</v>
      </c>
      <c r="R86" s="35">
        <v>196.46</v>
      </c>
      <c r="S86" s="224">
        <f t="shared" si="47"/>
        <v>3.9299999999999784</v>
      </c>
      <c r="T86" s="288">
        <f t="shared" si="42"/>
        <v>0.22670086215549135</v>
      </c>
      <c r="U86" s="288">
        <f t="shared" si="43"/>
        <v>0.23203500008856168</v>
      </c>
      <c r="V86" s="224"/>
      <c r="W86" s="308"/>
      <c r="X86" s="32"/>
      <c r="Y86" s="287">
        <v>2.84</v>
      </c>
      <c r="Z86" s="262">
        <f t="shared" si="48"/>
        <v>56589.84</v>
      </c>
      <c r="AA86" s="307"/>
      <c r="AB86" s="304">
        <v>3100.3333331756876</v>
      </c>
      <c r="AC86" s="306">
        <f t="shared" si="49"/>
        <v>199.26</v>
      </c>
    </row>
    <row r="87" spans="1:29" s="35" customFormat="1" ht="12.9" customHeight="1" x14ac:dyDescent="0.3">
      <c r="A87" s="47">
        <v>43303.770833333336</v>
      </c>
      <c r="B87" s="47">
        <v>43306.885416666664</v>
      </c>
      <c r="C87" s="47"/>
      <c r="D87" s="47"/>
      <c r="E87" s="35" t="s">
        <v>240</v>
      </c>
      <c r="F87" s="45" t="s">
        <v>58</v>
      </c>
      <c r="G87" s="36" t="s">
        <v>213</v>
      </c>
      <c r="H87" s="269">
        <v>71156</v>
      </c>
      <c r="I87" s="316" t="s">
        <v>49</v>
      </c>
      <c r="J87" s="316">
        <v>159233</v>
      </c>
      <c r="K87" s="318">
        <f t="shared" si="44"/>
        <v>-88077</v>
      </c>
      <c r="L87" s="315">
        <f>'[146]Win Win'!$F$53</f>
        <v>3.1145833333284827</v>
      </c>
      <c r="M87" s="315">
        <f>'[146]Win Win'!$F$53-'[146]Win Win'!$F$49</f>
        <v>1.4826388889014197</v>
      </c>
      <c r="N87" s="266">
        <f t="shared" si="45"/>
        <v>22846.073578630898</v>
      </c>
      <c r="O87" s="266">
        <f t="shared" si="46"/>
        <v>47992.805620203282</v>
      </c>
      <c r="P87" s="314">
        <v>30000</v>
      </c>
      <c r="Q87" s="44">
        <v>195.74</v>
      </c>
      <c r="R87" s="44">
        <v>183.25</v>
      </c>
      <c r="S87" s="317">
        <f t="shared" si="47"/>
        <v>12.490000000000009</v>
      </c>
      <c r="T87" s="288">
        <f t="shared" si="42"/>
        <v>0.2017584158620562</v>
      </c>
      <c r="U87" s="288">
        <f t="shared" si="43"/>
        <v>0.20650567270586931</v>
      </c>
      <c r="V87" s="313"/>
      <c r="W87" s="308"/>
      <c r="X87" s="32"/>
      <c r="Y87" s="287">
        <v>2.84</v>
      </c>
      <c r="Z87" s="262">
        <f t="shared" si="48"/>
        <v>202083.03999999998</v>
      </c>
      <c r="AA87" s="307"/>
      <c r="AB87" s="291">
        <v>8892.277777652469</v>
      </c>
      <c r="AC87" s="306">
        <f t="shared" si="49"/>
        <v>711.56000000000006</v>
      </c>
    </row>
    <row r="88" spans="1:29" s="35" customFormat="1" ht="12.9" customHeight="1" x14ac:dyDescent="0.3">
      <c r="A88" s="47">
        <v>43309.708333333336</v>
      </c>
      <c r="B88" s="47">
        <v>43312.444444444445</v>
      </c>
      <c r="C88" s="47"/>
      <c r="D88" s="47"/>
      <c r="E88" s="35" t="s">
        <v>239</v>
      </c>
      <c r="F88" s="44" t="s">
        <v>212</v>
      </c>
      <c r="G88" s="45" t="s">
        <v>211</v>
      </c>
      <c r="H88" s="269">
        <v>21736</v>
      </c>
      <c r="I88" s="316" t="s">
        <v>36</v>
      </c>
      <c r="J88" s="316">
        <v>50000</v>
      </c>
      <c r="K88" s="318">
        <f t="shared" si="44"/>
        <v>-28264</v>
      </c>
      <c r="L88" s="315">
        <f>[146]Nameera!$F$49</f>
        <v>2.7361111111094942</v>
      </c>
      <c r="M88" s="315">
        <f>[146]Nameera!$F$49-[146]Nameera!$F$45</f>
        <v>0.41145833332484472</v>
      </c>
      <c r="N88" s="266">
        <f t="shared" si="45"/>
        <v>7944.1218274158618</v>
      </c>
      <c r="O88" s="266">
        <f t="shared" si="46"/>
        <v>52826.734178305036</v>
      </c>
      <c r="P88" s="314">
        <v>30000</v>
      </c>
      <c r="Q88" s="44">
        <v>178.74</v>
      </c>
      <c r="R88" s="44">
        <v>171.21</v>
      </c>
      <c r="S88" s="317">
        <f t="shared" si="47"/>
        <v>7.5300000000000011</v>
      </c>
      <c r="T88" s="288">
        <f t="shared" si="42"/>
        <v>0.39819527115352893</v>
      </c>
      <c r="U88" s="288">
        <f t="shared" si="43"/>
        <v>0.40756457165125903</v>
      </c>
      <c r="V88" s="313"/>
      <c r="W88" s="308"/>
      <c r="X88" s="32"/>
      <c r="Y88" s="287">
        <v>2.84</v>
      </c>
      <c r="Z88" s="262">
        <f t="shared" si="48"/>
        <v>61730.239999999998</v>
      </c>
      <c r="AA88" s="307"/>
      <c r="AB88" s="291">
        <v>3130.7500000848863</v>
      </c>
      <c r="AC88" s="306">
        <f t="shared" si="49"/>
        <v>217.36</v>
      </c>
    </row>
    <row r="89" spans="1:29" s="39" customFormat="1" ht="12.9" customHeight="1" x14ac:dyDescent="0.3">
      <c r="A89" s="13"/>
      <c r="B89" s="13"/>
      <c r="C89" s="13"/>
      <c r="D89" s="13"/>
      <c r="E89" s="39" t="s">
        <v>29</v>
      </c>
      <c r="F89" s="40"/>
      <c r="G89" s="40"/>
      <c r="H89" s="298">
        <v>27356</v>
      </c>
      <c r="I89" s="298"/>
      <c r="J89" s="298"/>
      <c r="K89" s="18"/>
      <c r="L89" s="297"/>
      <c r="M89" s="297"/>
      <c r="N89" s="296"/>
      <c r="O89" s="296"/>
      <c r="P89" s="295"/>
      <c r="S89" s="247"/>
      <c r="T89" s="247"/>
      <c r="U89" s="247"/>
      <c r="V89" s="247"/>
      <c r="W89" s="312"/>
      <c r="X89" s="41"/>
      <c r="Y89" s="293"/>
      <c r="Z89" s="292"/>
      <c r="AA89" s="311"/>
      <c r="AB89" s="303"/>
      <c r="AC89" s="310"/>
    </row>
    <row r="90" spans="1:29" s="35" customFormat="1" ht="12.9" customHeight="1" x14ac:dyDescent="0.3">
      <c r="E90" s="122" t="s">
        <v>67</v>
      </c>
      <c r="F90" s="123"/>
      <c r="G90" s="123"/>
      <c r="H90" s="277">
        <f>SUM(H79:H88)</f>
        <v>394519</v>
      </c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309">
        <f>SUM(S79:S89)</f>
        <v>69.220000000000027</v>
      </c>
      <c r="T90" s="271">
        <f>S90/8.7*10000/H90</f>
        <v>0.20167144900703043</v>
      </c>
      <c r="U90" s="277"/>
      <c r="V90" s="277"/>
      <c r="W90" s="275">
        <v>421875</v>
      </c>
      <c r="X90" s="22">
        <f>H90-W90</f>
        <v>-27356</v>
      </c>
      <c r="Y90" s="130"/>
      <c r="Z90" s="274">
        <f>SUM(Z79:Z89)</f>
        <v>1120433.9599999997</v>
      </c>
      <c r="AA90" s="274"/>
      <c r="AB90" s="273">
        <f>SUM(AB79:AB89)</f>
        <v>54457.722222383913</v>
      </c>
      <c r="AC90" s="273">
        <f>SUM(AC79:AC89)</f>
        <v>3945.1900000000005</v>
      </c>
    </row>
    <row r="91" spans="1:29" x14ac:dyDescent="0.3">
      <c r="A91" s="146">
        <v>43316.138888888891</v>
      </c>
      <c r="B91" s="146">
        <v>43317.399305555555</v>
      </c>
      <c r="C91" s="23"/>
      <c r="D91" s="23"/>
      <c r="E91" s="35" t="s">
        <v>238</v>
      </c>
      <c r="F91" s="36" t="s">
        <v>32</v>
      </c>
      <c r="G91" s="36" t="s">
        <v>213</v>
      </c>
      <c r="H91" s="269">
        <v>42145</v>
      </c>
      <c r="I91" s="269" t="s">
        <v>40</v>
      </c>
      <c r="J91" s="269">
        <v>79550</v>
      </c>
      <c r="K91" s="26">
        <f>H91-J91</f>
        <v>-37405</v>
      </c>
      <c r="L91" s="267">
        <f>'[147]Ying Shun'!$F$46</f>
        <v>1.2604166666642413</v>
      </c>
      <c r="M91" s="267">
        <f>'[147]Ying Shun'!$F$46-'[147]Ying Shun'!$F$42</f>
        <v>0.78819444442706299</v>
      </c>
      <c r="N91" s="266">
        <f>H91/L91</f>
        <v>33437.355371965168</v>
      </c>
      <c r="O91" s="266">
        <f>H91/M91</f>
        <v>53470.308371223196</v>
      </c>
      <c r="P91" s="265">
        <v>30000</v>
      </c>
      <c r="Q91" s="35">
        <v>165.18</v>
      </c>
      <c r="R91" s="35">
        <v>158.91999999999999</v>
      </c>
      <c r="S91" s="224">
        <f>Q91-R91</f>
        <v>6.2600000000000193</v>
      </c>
      <c r="T91" s="288">
        <f>S91/8.7*10000/H91</f>
        <v>0.17072967846365161</v>
      </c>
      <c r="U91" s="288">
        <f>S91/8.5*10000/H91</f>
        <v>0.17474684736867871</v>
      </c>
      <c r="V91" s="224"/>
      <c r="Y91" s="287">
        <v>2.84</v>
      </c>
      <c r="Z91" s="262">
        <f t="shared" ref="Z91:Z103" si="50">H91*Y91</f>
        <v>119691.79999999999</v>
      </c>
      <c r="AB91" s="304">
        <v>6166.388889062704</v>
      </c>
      <c r="AC91" s="306">
        <f t="shared" ref="AC91:AC102" si="51">(H91*0.01)</f>
        <v>421.45</v>
      </c>
    </row>
    <row r="92" spans="1:29" x14ac:dyDescent="0.3">
      <c r="A92" s="146">
        <v>43319.583333333336</v>
      </c>
      <c r="B92" s="146">
        <v>43320.96875</v>
      </c>
      <c r="C92" s="23"/>
      <c r="D92" s="23"/>
      <c r="E92" s="35" t="s">
        <v>237</v>
      </c>
      <c r="F92" s="36" t="s">
        <v>39</v>
      </c>
      <c r="G92" s="36" t="s">
        <v>213</v>
      </c>
      <c r="H92" s="269">
        <v>44101</v>
      </c>
      <c r="I92" s="269" t="s">
        <v>40</v>
      </c>
      <c r="J92" s="269">
        <v>86100</v>
      </c>
      <c r="K92" s="26">
        <f>H92-J92</f>
        <v>-41999</v>
      </c>
      <c r="L92" s="267">
        <f>'[147]Taipower Prosperity I'!$F$44</f>
        <v>1.3854166666642413</v>
      </c>
      <c r="M92" s="267">
        <f>'[147]Taipower Prosperity I'!$F$44-'[147]Taipower Prosperity I'!$F$40</f>
        <v>0.84027777777373558</v>
      </c>
      <c r="N92" s="266">
        <f>H92/L92</f>
        <v>31832.300751935425</v>
      </c>
      <c r="O92" s="266">
        <f>H92/M92</f>
        <v>52483.834710996278</v>
      </c>
      <c r="P92" s="265">
        <v>30000</v>
      </c>
      <c r="Q92" s="35">
        <f>(178104/10000)*8.7</f>
        <v>154.95048</v>
      </c>
      <c r="R92" s="69">
        <f>(170198/10000)*8.7</f>
        <v>148.07226</v>
      </c>
      <c r="S92" s="224">
        <f>Q92-R92</f>
        <v>6.8782199999999989</v>
      </c>
      <c r="T92" s="288">
        <f>S92/8.7*10000/H92</f>
        <v>0.17927031133080881</v>
      </c>
      <c r="U92" s="288">
        <f>S92/8.5*10000/H92</f>
        <v>0.18348843630329842</v>
      </c>
      <c r="V92" s="224"/>
      <c r="Y92" s="287">
        <v>2.84</v>
      </c>
      <c r="Z92" s="262">
        <f t="shared" si="50"/>
        <v>125246.84</v>
      </c>
      <c r="AB92" s="304">
        <v>6297.5555555959772</v>
      </c>
      <c r="AC92" s="306">
        <f t="shared" si="51"/>
        <v>441.01</v>
      </c>
    </row>
    <row r="93" spans="1:29" x14ac:dyDescent="0.3">
      <c r="A93" s="146">
        <v>43321.604166666664</v>
      </c>
      <c r="B93" s="146">
        <v>43323.159722222219</v>
      </c>
      <c r="C93" s="23"/>
      <c r="D93" s="23"/>
      <c r="E93" s="35" t="s">
        <v>236</v>
      </c>
      <c r="F93" s="700" t="s">
        <v>32</v>
      </c>
      <c r="G93" s="700" t="s">
        <v>213</v>
      </c>
      <c r="H93" s="269">
        <f>41513-H94</f>
        <v>34820</v>
      </c>
      <c r="I93" s="269" t="s">
        <v>33</v>
      </c>
      <c r="J93" s="269">
        <v>71280</v>
      </c>
      <c r="K93" s="26">
        <f>H93-J93</f>
        <v>-36460</v>
      </c>
      <c r="L93" s="267">
        <f>'[147]Yue Dian 8'!$F$47</f>
        <v>1.5555555555547471</v>
      </c>
      <c r="M93" s="267">
        <f>'[147]Yue Dian 8'!$F$47-'[147]Yue Dian 8'!$F$43</f>
        <v>0.85243055552564329</v>
      </c>
      <c r="N93" s="266">
        <f>(H93+H94)/L93</f>
        <v>26686.92857144244</v>
      </c>
      <c r="O93" s="266">
        <f>(H93+H94)/M93</f>
        <v>48699.568229814802</v>
      </c>
      <c r="P93" s="265">
        <v>30000</v>
      </c>
      <c r="Q93" s="35">
        <f>(168412/10000)*8.7</f>
        <v>146.51844</v>
      </c>
      <c r="R93" s="69">
        <f>(159720/10000)*8.7</f>
        <v>138.95639999999997</v>
      </c>
      <c r="S93" s="224">
        <f>Q93-R93</f>
        <v>7.5620400000000245</v>
      </c>
      <c r="T93" s="288">
        <f>S93/8.7*10000/(H93+H94)</f>
        <v>0.20938019415604819</v>
      </c>
      <c r="U93" s="288">
        <f>S93/8.5*10000/(H93+H94)</f>
        <v>0.21430678695971989</v>
      </c>
      <c r="V93" s="224"/>
      <c r="Y93" s="287">
        <v>2.84</v>
      </c>
      <c r="Z93" s="262">
        <f t="shared" si="50"/>
        <v>98888.799999999988</v>
      </c>
      <c r="AB93" s="304">
        <v>5313.3611114102332</v>
      </c>
      <c r="AC93" s="306">
        <f t="shared" si="51"/>
        <v>348.2</v>
      </c>
    </row>
    <row r="94" spans="1:29" x14ac:dyDescent="0.3">
      <c r="A94" s="146"/>
      <c r="B94" s="146"/>
      <c r="C94" s="23"/>
      <c r="D94" s="23"/>
      <c r="E94" s="35" t="s">
        <v>235</v>
      </c>
      <c r="F94" s="700"/>
      <c r="G94" s="700"/>
      <c r="H94" s="269">
        <v>6693</v>
      </c>
      <c r="I94" s="736"/>
      <c r="J94" s="736"/>
      <c r="K94" s="736"/>
      <c r="L94" s="736"/>
      <c r="M94" s="736"/>
      <c r="N94" s="736"/>
      <c r="O94" s="736"/>
      <c r="P94" s="736"/>
      <c r="Q94" s="736"/>
      <c r="R94" s="736"/>
      <c r="S94" s="736"/>
      <c r="T94" s="736"/>
      <c r="U94" s="736"/>
      <c r="V94" s="736"/>
      <c r="W94" s="736"/>
      <c r="X94" s="736"/>
      <c r="Y94" s="287">
        <v>6.7</v>
      </c>
      <c r="Z94" s="262">
        <f t="shared" si="50"/>
        <v>44843.1</v>
      </c>
      <c r="AB94" s="304"/>
      <c r="AC94" s="306">
        <f t="shared" si="51"/>
        <v>66.930000000000007</v>
      </c>
    </row>
    <row r="95" spans="1:29" s="35" customFormat="1" ht="12.9" customHeight="1" x14ac:dyDescent="0.3">
      <c r="A95" s="146">
        <v>43323.423611111109</v>
      </c>
      <c r="B95" s="146">
        <v>43324.381944444445</v>
      </c>
      <c r="C95" s="23"/>
      <c r="D95" s="23"/>
      <c r="E95" s="35" t="s">
        <v>141</v>
      </c>
      <c r="F95" s="36" t="s">
        <v>32</v>
      </c>
      <c r="G95" s="36" t="s">
        <v>213</v>
      </c>
      <c r="H95" s="269">
        <v>28363</v>
      </c>
      <c r="I95" s="269" t="s">
        <v>40</v>
      </c>
      <c r="J95" s="269">
        <v>79530</v>
      </c>
      <c r="K95" s="26">
        <f>H95-J95</f>
        <v>-51167</v>
      </c>
      <c r="L95" s="315">
        <f>'[147]Cemtex Innovation'!$F$41</f>
        <v>0.95833333333575865</v>
      </c>
      <c r="M95" s="267">
        <f>'[147]Cemtex Innovation'!$F$41-'[147]Cemtex Innovation'!$F$37</f>
        <v>0.53472222222626442</v>
      </c>
      <c r="N95" s="266">
        <f>H95/L95</f>
        <v>29596.173912968577</v>
      </c>
      <c r="O95" s="266">
        <f>H95/M95</f>
        <v>53042.493506092535</v>
      </c>
      <c r="P95" s="265">
        <v>30000</v>
      </c>
      <c r="Q95" s="35">
        <f>(158795/10000)*8.7</f>
        <v>138.15164999999999</v>
      </c>
      <c r="R95" s="69">
        <f>(153467/10000)*8.7</f>
        <v>133.51629</v>
      </c>
      <c r="S95" s="224">
        <f>Q95-R95</f>
        <v>4.6353599999999915</v>
      </c>
      <c r="T95" s="288">
        <f>S95/8.7*10000/H95</f>
        <v>0.1878503684377531</v>
      </c>
      <c r="U95" s="288">
        <f>S95/8.5*10000/H95</f>
        <v>0.19227037710687669</v>
      </c>
      <c r="V95" s="224"/>
      <c r="W95" s="308"/>
      <c r="X95" s="32"/>
      <c r="Y95" s="287">
        <v>2.84</v>
      </c>
      <c r="Z95" s="262">
        <f t="shared" si="50"/>
        <v>80550.92</v>
      </c>
      <c r="AA95" s="307"/>
      <c r="AB95" s="304">
        <v>4107.1111110706888</v>
      </c>
      <c r="AC95" s="306">
        <f t="shared" si="51"/>
        <v>283.63</v>
      </c>
    </row>
    <row r="96" spans="1:29" s="35" customFormat="1" ht="12.9" customHeight="1" x14ac:dyDescent="0.3">
      <c r="A96" s="146">
        <v>43325.201388888891</v>
      </c>
      <c r="B96" s="146">
        <v>43326.597222222219</v>
      </c>
      <c r="C96" s="23"/>
      <c r="D96" s="23"/>
      <c r="E96" s="35" t="s">
        <v>167</v>
      </c>
      <c r="F96" s="700" t="s">
        <v>32</v>
      </c>
      <c r="G96" s="700" t="s">
        <v>213</v>
      </c>
      <c r="H96" s="269">
        <v>27612</v>
      </c>
      <c r="I96" s="269" t="s">
        <v>33</v>
      </c>
      <c r="J96" s="269">
        <v>67030</v>
      </c>
      <c r="K96" s="26">
        <f>H96-J96</f>
        <v>-39418</v>
      </c>
      <c r="L96" s="267">
        <f>'[147]Genco Beauty'!$F$46</f>
        <v>1.3958333333284827</v>
      </c>
      <c r="M96" s="267">
        <f>'[147]Genco Beauty'!$F$46-'[147]Genco Beauty'!$F$42</f>
        <v>0.68750000000363798</v>
      </c>
      <c r="N96" s="266">
        <f>(H96+H97)/L96</f>
        <v>24484.29850754777</v>
      </c>
      <c r="O96" s="266">
        <f>(H96+H97)/M96</f>
        <v>49710.545454282408</v>
      </c>
      <c r="P96" s="265">
        <v>30000</v>
      </c>
      <c r="Q96" s="35">
        <f>(151558/10000)*8.7</f>
        <v>131.85545999999999</v>
      </c>
      <c r="R96" s="69">
        <f>(144758/10000)*8.7</f>
        <v>125.93945999999998</v>
      </c>
      <c r="S96" s="224">
        <f>Q96-R96</f>
        <v>5.916000000000011</v>
      </c>
      <c r="T96" s="288">
        <f>S96/8.7*10000/(H96+H97)</f>
        <v>0.1989700374531839</v>
      </c>
      <c r="U96" s="288">
        <f>S96/8.5*10000/(H96+H97)</f>
        <v>0.20365168539325881</v>
      </c>
      <c r="V96" s="224"/>
      <c r="W96" s="308"/>
      <c r="X96" s="32"/>
      <c r="Y96" s="287">
        <v>2.84</v>
      </c>
      <c r="Z96" s="262">
        <f t="shared" si="50"/>
        <v>78418.080000000002</v>
      </c>
      <c r="AA96" s="307"/>
      <c r="AB96" s="304">
        <v>4516.9999999636202</v>
      </c>
      <c r="AC96" s="306">
        <f t="shared" si="51"/>
        <v>276.12</v>
      </c>
    </row>
    <row r="97" spans="1:29" s="35" customFormat="1" ht="12.9" customHeight="1" x14ac:dyDescent="0.3">
      <c r="A97" s="23"/>
      <c r="B97" s="23"/>
      <c r="C97" s="23"/>
      <c r="D97" s="23"/>
      <c r="E97" s="35" t="s">
        <v>234</v>
      </c>
      <c r="F97" s="700"/>
      <c r="G97" s="700"/>
      <c r="H97" s="269">
        <v>6564</v>
      </c>
      <c r="I97" s="736"/>
      <c r="J97" s="736"/>
      <c r="K97" s="736"/>
      <c r="L97" s="736"/>
      <c r="M97" s="736"/>
      <c r="N97" s="736"/>
      <c r="O97" s="736"/>
      <c r="P97" s="736"/>
      <c r="Q97" s="736"/>
      <c r="R97" s="736"/>
      <c r="S97" s="736"/>
      <c r="T97" s="736"/>
      <c r="U97" s="736"/>
      <c r="V97" s="736"/>
      <c r="W97" s="736"/>
      <c r="X97" s="736"/>
      <c r="Y97" s="287">
        <v>6.7</v>
      </c>
      <c r="Z97" s="263">
        <f t="shared" si="50"/>
        <v>43978.8</v>
      </c>
      <c r="AA97" s="307"/>
      <c r="AB97" s="304"/>
      <c r="AC97" s="306">
        <f t="shared" si="51"/>
        <v>65.64</v>
      </c>
    </row>
    <row r="98" spans="1:29" s="35" customFormat="1" ht="12.9" customHeight="1" x14ac:dyDescent="0.3">
      <c r="A98" s="146">
        <v>43332.951388888891</v>
      </c>
      <c r="B98" s="146">
        <v>43335.458333333336</v>
      </c>
      <c r="C98" s="23"/>
      <c r="D98" s="23"/>
      <c r="E98" s="35" t="s">
        <v>233</v>
      </c>
      <c r="F98" s="700" t="s">
        <v>58</v>
      </c>
      <c r="G98" s="700" t="s">
        <v>213</v>
      </c>
      <c r="H98" s="269">
        <v>34063</v>
      </c>
      <c r="I98" s="269"/>
      <c r="J98" s="269"/>
      <c r="K98" s="26"/>
      <c r="L98" s="267">
        <f>'[147]Navios Joy'!$F$50</f>
        <v>2.5069444444452529</v>
      </c>
      <c r="M98" s="267">
        <f>'[147]Navios Joy'!$F$50-'[147]Navios Joy'!$F$46</f>
        <v>0.80034722222626442</v>
      </c>
      <c r="N98" s="266">
        <f>(H98+H99)/L98</f>
        <v>16132.387811629147</v>
      </c>
      <c r="O98" s="266">
        <f>(H98+H99)/M98</f>
        <v>50531.81778716344</v>
      </c>
      <c r="P98" s="265">
        <v>30000</v>
      </c>
      <c r="Q98" s="35">
        <f>(133241/10000)*8.7</f>
        <v>115.91966999999998</v>
      </c>
      <c r="R98" s="69">
        <f>(122993/10000)*8.7</f>
        <v>107.00390999999999</v>
      </c>
      <c r="S98" s="224">
        <f>Q98-R98</f>
        <v>8.9157599999999917</v>
      </c>
      <c r="T98" s="288">
        <f>S98/8.7*10000/(H98+H99)</f>
        <v>0.25339366515837081</v>
      </c>
      <c r="U98" s="288">
        <f>S98/8.5*10000/(H98+H99)</f>
        <v>0.25935586904445013</v>
      </c>
      <c r="V98" s="224"/>
      <c r="W98" s="308"/>
      <c r="X98" s="32"/>
      <c r="Y98" s="287">
        <v>2.84</v>
      </c>
      <c r="Z98" s="262">
        <f t="shared" si="50"/>
        <v>96738.92</v>
      </c>
      <c r="AA98" s="307"/>
      <c r="AB98" s="304">
        <v>5477.5277777373567</v>
      </c>
      <c r="AC98" s="306">
        <f t="shared" si="51"/>
        <v>340.63</v>
      </c>
    </row>
    <row r="99" spans="1:29" s="35" customFormat="1" ht="12.9" customHeight="1" x14ac:dyDescent="0.3">
      <c r="A99" s="146"/>
      <c r="B99" s="146"/>
      <c r="C99" s="23"/>
      <c r="D99" s="23"/>
      <c r="E99" s="35" t="s">
        <v>233</v>
      </c>
      <c r="F99" s="700"/>
      <c r="G99" s="700"/>
      <c r="H99" s="269">
        <v>6380</v>
      </c>
      <c r="I99" s="736"/>
      <c r="J99" s="736"/>
      <c r="K99" s="736"/>
      <c r="L99" s="736"/>
      <c r="M99" s="736"/>
      <c r="N99" s="736"/>
      <c r="O99" s="736"/>
      <c r="P99" s="736"/>
      <c r="Q99" s="736"/>
      <c r="R99" s="736"/>
      <c r="S99" s="736"/>
      <c r="T99" s="736"/>
      <c r="U99" s="736"/>
      <c r="V99" s="736"/>
      <c r="W99" s="736"/>
      <c r="X99" s="736"/>
      <c r="Y99" s="287">
        <v>6.7</v>
      </c>
      <c r="Z99" s="263">
        <f t="shared" si="50"/>
        <v>42746</v>
      </c>
      <c r="AA99" s="307"/>
      <c r="AB99" s="304"/>
      <c r="AC99" s="306">
        <f t="shared" si="51"/>
        <v>63.800000000000004</v>
      </c>
    </row>
    <row r="100" spans="1:29" s="35" customFormat="1" ht="12.9" customHeight="1" x14ac:dyDescent="0.3">
      <c r="A100" s="146">
        <v>43335.708333333336</v>
      </c>
      <c r="B100" s="146">
        <v>43336.760416666664</v>
      </c>
      <c r="C100" s="47"/>
      <c r="D100" s="47"/>
      <c r="E100" s="44" t="s">
        <v>80</v>
      </c>
      <c r="F100" s="36" t="s">
        <v>32</v>
      </c>
      <c r="G100" s="36" t="s">
        <v>213</v>
      </c>
      <c r="H100" s="269">
        <v>21714</v>
      </c>
      <c r="I100" s="316" t="s">
        <v>33</v>
      </c>
      <c r="J100" s="316">
        <v>67683</v>
      </c>
      <c r="K100" s="26">
        <f>H100-J100</f>
        <v>-45969</v>
      </c>
      <c r="L100" s="315">
        <f>'[147]Rosco Sandalwood'!$F$39</f>
        <v>1.0520833333284827</v>
      </c>
      <c r="M100" s="315">
        <f>'[147]Rosco Sandalwood'!$F$39-'[147]Rosco Sandalwood'!$F$35</f>
        <v>0.71354166666060337</v>
      </c>
      <c r="N100" s="266">
        <f>(H100)/L100</f>
        <v>20639.049505045652</v>
      </c>
      <c r="O100" s="266">
        <f>(H100)/M100</f>
        <v>30431.299270331583</v>
      </c>
      <c r="P100" s="314">
        <v>30000</v>
      </c>
      <c r="Q100" s="35">
        <f>(122546/10000)*8.7</f>
        <v>106.61501999999999</v>
      </c>
      <c r="R100" s="69">
        <f>(116331/10000)*8.7</f>
        <v>101.20797</v>
      </c>
      <c r="S100" s="224">
        <f>Q100-R100</f>
        <v>5.4070499999999839</v>
      </c>
      <c r="T100" s="288">
        <f>S100/8.7*10000/H100</f>
        <v>0.28622087132725349</v>
      </c>
      <c r="U100" s="288">
        <f>S100/8.5*10000/H100</f>
        <v>0.29295548006436534</v>
      </c>
      <c r="V100" s="313"/>
      <c r="W100" s="308"/>
      <c r="X100" s="32"/>
      <c r="Y100" s="287">
        <v>2.84</v>
      </c>
      <c r="Z100" s="262">
        <f t="shared" si="50"/>
        <v>61667.759999999995</v>
      </c>
      <c r="AA100" s="307"/>
      <c r="AB100" s="291">
        <v>102.5833333939663</v>
      </c>
      <c r="AC100" s="306">
        <f t="shared" si="51"/>
        <v>217.14000000000001</v>
      </c>
    </row>
    <row r="101" spans="1:29" s="35" customFormat="1" ht="12.9" customHeight="1" x14ac:dyDescent="0.3">
      <c r="A101" s="146">
        <v>43337.013888888891</v>
      </c>
      <c r="B101" s="146">
        <v>43338.756944444445</v>
      </c>
      <c r="C101" s="47"/>
      <c r="D101" s="47"/>
      <c r="E101" s="44" t="s">
        <v>232</v>
      </c>
      <c r="F101" s="36" t="s">
        <v>32</v>
      </c>
      <c r="G101" s="36" t="s">
        <v>213</v>
      </c>
      <c r="H101" s="269">
        <v>42147</v>
      </c>
      <c r="I101" s="316" t="s">
        <v>93</v>
      </c>
      <c r="J101" s="316">
        <v>80005</v>
      </c>
      <c r="K101" s="26">
        <f>H101-J101</f>
        <v>-37858</v>
      </c>
      <c r="L101" s="315">
        <f>'[147]HL IBT'!$F$47</f>
        <v>1.7430555555547471</v>
      </c>
      <c r="M101" s="315">
        <f>'[147]HL IBT'!$F$47-'[147]HL IBT'!$F$43</f>
        <v>0.87500000000727596</v>
      </c>
      <c r="N101" s="266">
        <f>(H101)/L101</f>
        <v>24179.952191246273</v>
      </c>
      <c r="O101" s="266">
        <f>(H101)/M101</f>
        <v>48167.999999599466</v>
      </c>
      <c r="P101" s="314">
        <v>30000</v>
      </c>
      <c r="Q101" s="35">
        <f>(115764/10000)*8.7</f>
        <v>100.71467999999999</v>
      </c>
      <c r="R101" s="69">
        <f>(107235/10000)*8.7</f>
        <v>93.294449999999983</v>
      </c>
      <c r="S101" s="224">
        <f>Q101-R101</f>
        <v>7.4202300000000037</v>
      </c>
      <c r="T101" s="288">
        <f>S101/8.7*10000/H101</f>
        <v>0.20236315752010828</v>
      </c>
      <c r="U101" s="288">
        <f>S101/8.5*10000/H101</f>
        <v>0.20712464357940497</v>
      </c>
      <c r="V101" s="313"/>
      <c r="W101" s="308"/>
      <c r="X101" s="32"/>
      <c r="Y101" s="287">
        <v>2.84</v>
      </c>
      <c r="Z101" s="262">
        <f t="shared" si="50"/>
        <v>119697.48</v>
      </c>
      <c r="AA101" s="307"/>
      <c r="AB101" s="291">
        <v>5298.9999999272404</v>
      </c>
      <c r="AC101" s="306">
        <f t="shared" si="51"/>
        <v>421.47</v>
      </c>
    </row>
    <row r="102" spans="1:29" s="35" customFormat="1" ht="12.9" customHeight="1" x14ac:dyDescent="0.3">
      <c r="A102" s="146">
        <v>43338.979166666664</v>
      </c>
      <c r="B102" s="146">
        <v>43342.75</v>
      </c>
      <c r="C102" s="23"/>
      <c r="D102" s="23"/>
      <c r="E102" s="35" t="s">
        <v>231</v>
      </c>
      <c r="F102" s="44" t="s">
        <v>212</v>
      </c>
      <c r="G102" s="36" t="s">
        <v>211</v>
      </c>
      <c r="H102" s="269">
        <v>50005</v>
      </c>
      <c r="I102" s="269" t="s">
        <v>36</v>
      </c>
      <c r="J102" s="269">
        <v>50000</v>
      </c>
      <c r="K102" s="26">
        <f>H102-J102</f>
        <v>5</v>
      </c>
      <c r="L102" s="267">
        <f>[147]Sami!$F$85</f>
        <v>3.7708333333357587</v>
      </c>
      <c r="M102" s="267">
        <f>[147]Sami!$F$85-[147]Sami!$F$81</f>
        <v>0.91493055555474712</v>
      </c>
      <c r="N102" s="266">
        <f>(H102)/L102</f>
        <v>13260.994475129592</v>
      </c>
      <c r="O102" s="266">
        <f>(H102)/M102</f>
        <v>54654.421252420208</v>
      </c>
      <c r="P102" s="265">
        <v>30000</v>
      </c>
      <c r="Q102" s="69">
        <f>(106179/10000)*8.7</f>
        <v>92.375730000000004</v>
      </c>
      <c r="R102" s="69">
        <f>(91723/10000)*8.7</f>
        <v>79.799009999999996</v>
      </c>
      <c r="S102" s="224">
        <f>Q102-R102</f>
        <v>12.576720000000009</v>
      </c>
      <c r="T102" s="288">
        <f>S102/8.7*10000/H102</f>
        <v>0.28909109089091112</v>
      </c>
      <c r="U102" s="288">
        <f>S102/8.5*10000/H102</f>
        <v>0.2958932342059914</v>
      </c>
      <c r="V102" s="224"/>
      <c r="W102" s="308"/>
      <c r="X102" s="32"/>
      <c r="Y102" s="287">
        <v>2.84</v>
      </c>
      <c r="Z102" s="262">
        <f t="shared" si="50"/>
        <v>142014.19999999998</v>
      </c>
      <c r="AA102" s="307"/>
      <c r="AB102" s="304">
        <v>7519.0277777858628</v>
      </c>
      <c r="AC102" s="306">
        <f t="shared" si="51"/>
        <v>500.05</v>
      </c>
    </row>
    <row r="103" spans="1:29" s="39" customFormat="1" ht="12.9" customHeight="1" x14ac:dyDescent="0.3">
      <c r="A103" s="13"/>
      <c r="B103" s="13"/>
      <c r="C103" s="13"/>
      <c r="D103" s="13"/>
      <c r="E103" s="39" t="s">
        <v>29</v>
      </c>
      <c r="F103" s="40"/>
      <c r="G103" s="40"/>
      <c r="H103" s="298">
        <v>77268</v>
      </c>
      <c r="I103" s="298"/>
      <c r="J103" s="298"/>
      <c r="K103" s="18"/>
      <c r="L103" s="297"/>
      <c r="M103" s="297"/>
      <c r="N103" s="296"/>
      <c r="O103" s="296"/>
      <c r="P103" s="295"/>
      <c r="S103" s="247"/>
      <c r="T103" s="247"/>
      <c r="U103" s="247"/>
      <c r="V103" s="247"/>
      <c r="W103" s="312"/>
      <c r="X103" s="41"/>
      <c r="Y103" s="287">
        <v>2.84</v>
      </c>
      <c r="Z103" s="262">
        <f t="shared" si="50"/>
        <v>219441.12</v>
      </c>
      <c r="AA103" s="311"/>
      <c r="AB103" s="303"/>
      <c r="AC103" s="310"/>
    </row>
    <row r="104" spans="1:29" s="35" customFormat="1" ht="12.9" customHeight="1" x14ac:dyDescent="0.3">
      <c r="E104" s="122" t="s">
        <v>72</v>
      </c>
      <c r="F104" s="123"/>
      <c r="G104" s="123"/>
      <c r="H104" s="277">
        <f>SUM(H91:H102)</f>
        <v>344607</v>
      </c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309">
        <f>SUM(S91:S102)</f>
        <v>65.571380000000033</v>
      </c>
      <c r="T104" s="271">
        <f t="shared" ref="T104:T110" si="52">S104/8.7*10000/H104</f>
        <v>0.21871117620608582</v>
      </c>
      <c r="U104" s="277"/>
      <c r="V104" s="277"/>
      <c r="W104" s="275">
        <v>421875</v>
      </c>
      <c r="X104" s="22">
        <f>H104-W104</f>
        <v>-77268</v>
      </c>
      <c r="Y104" s="130"/>
      <c r="Z104" s="274">
        <f>SUM(Z91:Z103)</f>
        <v>1273923.8199999998</v>
      </c>
      <c r="AA104" s="274"/>
      <c r="AB104" s="273">
        <f>SUM(AB91:AB102)</f>
        <v>44799.555555947656</v>
      </c>
      <c r="AC104" s="273">
        <f>SUM(AC91:AC102)</f>
        <v>3446.0700000000006</v>
      </c>
    </row>
    <row r="105" spans="1:29" s="35" customFormat="1" ht="12.9" customHeight="1" x14ac:dyDescent="0.3">
      <c r="A105" s="146">
        <v>43342.930555555555</v>
      </c>
      <c r="B105" s="146">
        <v>43344.21875</v>
      </c>
      <c r="C105" s="23"/>
      <c r="D105" s="23"/>
      <c r="E105" s="35" t="s">
        <v>230</v>
      </c>
      <c r="F105" s="44" t="s">
        <v>212</v>
      </c>
      <c r="G105" s="36" t="s">
        <v>211</v>
      </c>
      <c r="H105" s="269">
        <v>23339</v>
      </c>
      <c r="I105" s="269" t="s">
        <v>49</v>
      </c>
      <c r="J105" s="269">
        <v>62700</v>
      </c>
      <c r="K105" s="26">
        <f t="shared" ref="K105:K111" si="53">H105-J105</f>
        <v>-39361</v>
      </c>
      <c r="L105" s="267">
        <f>'[148]MP Ultramax 1'!$F$41</f>
        <v>1.2881944444452529</v>
      </c>
      <c r="M105" s="267">
        <f>'[148]MP Ultramax 1'!$F$41-'[148]MP Ultramax 1'!$F$37</f>
        <v>0.54687500002789113</v>
      </c>
      <c r="N105" s="266">
        <f t="shared" ref="N105:N110" si="54">(H105)/L105</f>
        <v>18117.606468991326</v>
      </c>
      <c r="O105" s="266">
        <f t="shared" ref="O105:O110" si="55">(H105)/M105</f>
        <v>42677.028569252005</v>
      </c>
      <c r="P105" s="265">
        <v>30000</v>
      </c>
      <c r="Q105" s="69">
        <f>(91253/10000)*8.7</f>
        <v>79.390109999999993</v>
      </c>
      <c r="R105" s="69">
        <f>(85191/10000)*8.7</f>
        <v>74.116169999999997</v>
      </c>
      <c r="S105" s="224">
        <f t="shared" ref="S105:S111" si="56">Q105-R105</f>
        <v>5.2739399999999961</v>
      </c>
      <c r="T105" s="288">
        <f t="shared" si="52"/>
        <v>0.25973692103346313</v>
      </c>
      <c r="U105" s="288">
        <f t="shared" ref="U105:U110" si="57">S105/8.5*10000/H105</f>
        <v>0.26584837799895633</v>
      </c>
      <c r="V105" s="224"/>
      <c r="W105" s="308"/>
      <c r="X105" s="32"/>
      <c r="Y105" s="287">
        <v>2.84</v>
      </c>
      <c r="Z105" s="262">
        <f t="shared" ref="Z105:Z120" si="58">H105*Y105</f>
        <v>66282.759999999995</v>
      </c>
      <c r="AA105" s="307"/>
      <c r="AB105" s="304">
        <v>2310.9166663877554</v>
      </c>
      <c r="AC105" s="306">
        <f>(H105*0)</f>
        <v>0</v>
      </c>
    </row>
    <row r="106" spans="1:29" x14ac:dyDescent="0.3">
      <c r="A106" s="146">
        <v>43348.354166666664</v>
      </c>
      <c r="B106" s="146">
        <v>43349.513888888891</v>
      </c>
      <c r="C106" s="23"/>
      <c r="D106" s="23"/>
      <c r="E106" s="35" t="s">
        <v>143</v>
      </c>
      <c r="F106" s="36" t="s">
        <v>32</v>
      </c>
      <c r="G106" s="36" t="s">
        <v>213</v>
      </c>
      <c r="H106" s="269">
        <v>32905</v>
      </c>
      <c r="I106" s="269" t="s">
        <v>93</v>
      </c>
      <c r="J106" s="269">
        <v>80100</v>
      </c>
      <c r="K106" s="26">
        <f t="shared" si="53"/>
        <v>-47195</v>
      </c>
      <c r="L106" s="267">
        <f>'[148]Pan Flower'!$F$42</f>
        <v>1.1597222222262644</v>
      </c>
      <c r="M106" s="267">
        <f>'[148]Pan Flower'!$F$42-'[148]Pan Flower'!$F$38</f>
        <v>0.7760416666739427</v>
      </c>
      <c r="N106" s="266">
        <f t="shared" si="54"/>
        <v>28373.173652595717</v>
      </c>
      <c r="O106" s="266">
        <f t="shared" si="55"/>
        <v>42401.073825105814</v>
      </c>
      <c r="P106" s="265">
        <v>30000</v>
      </c>
      <c r="Q106" s="69">
        <f>(78049/10000)*8.7</f>
        <v>67.902629999999988</v>
      </c>
      <c r="R106" s="69">
        <f>(71100/10000)*8.7</f>
        <v>61.856999999999999</v>
      </c>
      <c r="S106" s="224">
        <f t="shared" si="56"/>
        <v>6.0456299999999885</v>
      </c>
      <c r="T106" s="288">
        <f t="shared" si="52"/>
        <v>0.21118371068226674</v>
      </c>
      <c r="U106" s="288">
        <f t="shared" si="57"/>
        <v>0.21615273916890829</v>
      </c>
      <c r="V106" s="224"/>
      <c r="Y106" s="287">
        <v>2.84</v>
      </c>
      <c r="Z106" s="262">
        <f t="shared" si="58"/>
        <v>93450.2</v>
      </c>
      <c r="AB106" s="304">
        <v>3207.9166665939065</v>
      </c>
      <c r="AC106" s="306">
        <f>(H106*0)</f>
        <v>0</v>
      </c>
    </row>
    <row r="107" spans="1:29" x14ac:dyDescent="0.3">
      <c r="A107" s="146">
        <v>43349.791666666664</v>
      </c>
      <c r="B107" s="146">
        <v>43350.229166666664</v>
      </c>
      <c r="C107" s="23"/>
      <c r="D107" s="23"/>
      <c r="E107" s="35" t="s">
        <v>229</v>
      </c>
      <c r="F107" s="36" t="s">
        <v>39</v>
      </c>
      <c r="G107" s="36" t="s">
        <v>213</v>
      </c>
      <c r="H107" s="269">
        <v>15606</v>
      </c>
      <c r="I107" s="269" t="s">
        <v>40</v>
      </c>
      <c r="J107" s="269">
        <v>89370</v>
      </c>
      <c r="K107" s="26">
        <f t="shared" si="53"/>
        <v>-73764</v>
      </c>
      <c r="L107" s="267">
        <f>'[148]Taipower Prosperity VII'!$F$32</f>
        <v>0.4375</v>
      </c>
      <c r="M107" s="267">
        <f>'[148]Taipower Prosperity VII'!$F$32-'[148]Taipower Prosperity VII'!$F$28</f>
        <v>0.32638888890020701</v>
      </c>
      <c r="N107" s="266">
        <f t="shared" si="54"/>
        <v>35670.857142857145</v>
      </c>
      <c r="O107" s="266">
        <f t="shared" si="55"/>
        <v>47814.127657916426</v>
      </c>
      <c r="P107" s="265">
        <v>30000</v>
      </c>
      <c r="Q107" s="69">
        <f>(70518/10000)*8.7</f>
        <v>61.350659999999998</v>
      </c>
      <c r="R107" s="69">
        <f>(67877/10000)*8.7</f>
        <v>59.052989999999994</v>
      </c>
      <c r="S107" s="224">
        <f t="shared" si="56"/>
        <v>2.2976700000000037</v>
      </c>
      <c r="T107" s="288">
        <f t="shared" si="52"/>
        <v>0.16922978341663492</v>
      </c>
      <c r="U107" s="288">
        <f t="shared" si="57"/>
        <v>0.17321166067349691</v>
      </c>
      <c r="V107" s="224"/>
      <c r="Y107" s="287">
        <v>2.84</v>
      </c>
      <c r="Z107" s="262">
        <f t="shared" si="58"/>
        <v>44321.04</v>
      </c>
      <c r="AB107" s="304">
        <v>1938.1111109979299</v>
      </c>
      <c r="AC107" s="306">
        <f>(H107*0)</f>
        <v>0</v>
      </c>
    </row>
    <row r="108" spans="1:29" x14ac:dyDescent="0.3">
      <c r="A108" s="146">
        <v>43350.927083333336</v>
      </c>
      <c r="B108" s="146">
        <v>43352.430555555555</v>
      </c>
      <c r="C108" s="23"/>
      <c r="D108" s="23"/>
      <c r="E108" s="35" t="s">
        <v>144</v>
      </c>
      <c r="F108" s="36" t="s">
        <v>39</v>
      </c>
      <c r="G108" s="36" t="s">
        <v>213</v>
      </c>
      <c r="H108" s="269">
        <v>47047</v>
      </c>
      <c r="I108" s="269" t="s">
        <v>49</v>
      </c>
      <c r="J108" s="269">
        <v>113500</v>
      </c>
      <c r="K108" s="26">
        <f t="shared" si="53"/>
        <v>-66453</v>
      </c>
      <c r="L108" s="267">
        <f>'[148]Eastern River'!$F$48</f>
        <v>1.5034722222189885</v>
      </c>
      <c r="M108" s="267">
        <f>'[148]Eastern River'!$F$48-'[148]Eastern River'!$F$44</f>
        <v>0.95138888889656903</v>
      </c>
      <c r="N108" s="266">
        <f t="shared" si="54"/>
        <v>31292.230946949523</v>
      </c>
      <c r="O108" s="266">
        <f t="shared" si="55"/>
        <v>49450.861313469417</v>
      </c>
      <c r="P108" s="265">
        <v>30000</v>
      </c>
      <c r="Q108" s="69">
        <f>(66397/10000)*8.7</f>
        <v>57.765389999999996</v>
      </c>
      <c r="R108" s="69">
        <f>(57519/10000)*8.7</f>
        <v>50.041529999999995</v>
      </c>
      <c r="S108" s="224">
        <f t="shared" si="56"/>
        <v>7.7238600000000019</v>
      </c>
      <c r="T108" s="288">
        <f t="shared" si="52"/>
        <v>0.18870491210916746</v>
      </c>
      <c r="U108" s="288">
        <f t="shared" si="57"/>
        <v>0.19314502768820671</v>
      </c>
      <c r="V108" s="224"/>
      <c r="Y108" s="287">
        <v>2.84</v>
      </c>
      <c r="Z108" s="262">
        <f t="shared" si="58"/>
        <v>133613.47999999998</v>
      </c>
      <c r="AB108" s="304">
        <v>6168.444444367643</v>
      </c>
      <c r="AC108" s="306">
        <f>(H108*0)</f>
        <v>0</v>
      </c>
    </row>
    <row r="109" spans="1:29" s="237" customFormat="1" x14ac:dyDescent="0.3">
      <c r="A109" s="228">
        <v>43355.645833333336</v>
      </c>
      <c r="B109" s="228">
        <v>43356.472222222219</v>
      </c>
      <c r="C109" s="70"/>
      <c r="D109" s="70"/>
      <c r="E109" s="71" t="s">
        <v>146</v>
      </c>
      <c r="F109" s="229" t="s">
        <v>32</v>
      </c>
      <c r="G109" s="229" t="s">
        <v>213</v>
      </c>
      <c r="H109" s="268">
        <v>28427</v>
      </c>
      <c r="I109" s="268" t="s">
        <v>49</v>
      </c>
      <c r="J109" s="268">
        <v>79015</v>
      </c>
      <c r="K109" s="73">
        <f t="shared" si="53"/>
        <v>-50588</v>
      </c>
      <c r="L109" s="267">
        <f>[148]Renaissance!$F$36</f>
        <v>0.82638888888322981</v>
      </c>
      <c r="M109" s="267">
        <f>[148]Renaissance!$F$36-[148]Renaissance!$F$32</f>
        <v>0.57291666666302876</v>
      </c>
      <c r="N109" s="281">
        <f t="shared" si="54"/>
        <v>34399.058823764972</v>
      </c>
      <c r="O109" s="281">
        <f t="shared" si="55"/>
        <v>49618.036363951425</v>
      </c>
      <c r="P109" s="280">
        <v>30000</v>
      </c>
      <c r="Q109" s="75">
        <f>(175822/10000)*8.7</f>
        <v>152.96513999999999</v>
      </c>
      <c r="R109" s="75">
        <f>(171032/10000)*8.7</f>
        <v>148.79784000000001</v>
      </c>
      <c r="S109" s="232">
        <f t="shared" si="56"/>
        <v>4.1672999999999831</v>
      </c>
      <c r="T109" s="282">
        <f t="shared" si="52"/>
        <v>0.16850177648010628</v>
      </c>
      <c r="U109" s="282">
        <f t="shared" si="57"/>
        <v>0.17246652416199112</v>
      </c>
      <c r="V109" s="232"/>
      <c r="W109" s="236"/>
      <c r="Y109" s="279">
        <v>2.64</v>
      </c>
      <c r="Z109" s="278">
        <f t="shared" si="58"/>
        <v>75047.28</v>
      </c>
      <c r="AA109" s="239"/>
      <c r="AB109" s="305">
        <v>3746.5000000363789</v>
      </c>
      <c r="AC109" s="289" t="s">
        <v>70</v>
      </c>
    </row>
    <row r="110" spans="1:29" x14ac:dyDescent="0.3">
      <c r="A110" s="146">
        <v>43356.75</v>
      </c>
      <c r="B110" s="146">
        <v>43357.697916666664</v>
      </c>
      <c r="C110" s="23"/>
      <c r="D110" s="23"/>
      <c r="E110" s="35" t="s">
        <v>228</v>
      </c>
      <c r="F110" s="36" t="s">
        <v>219</v>
      </c>
      <c r="G110" s="36" t="s">
        <v>211</v>
      </c>
      <c r="H110" s="269">
        <v>27500</v>
      </c>
      <c r="I110" s="269" t="s">
        <v>199</v>
      </c>
      <c r="J110" s="269">
        <v>27500</v>
      </c>
      <c r="K110" s="26">
        <f t="shared" si="53"/>
        <v>0</v>
      </c>
      <c r="L110" s="267">
        <f>'[148]Ken Yo'!$F$41</f>
        <v>0.94791666666424135</v>
      </c>
      <c r="M110" s="267">
        <f>'[148]Ken Yo'!$F$41-'[148]Ken Yo'!$F$37</f>
        <v>0.56249999999514944</v>
      </c>
      <c r="N110" s="266">
        <f t="shared" si="54"/>
        <v>29010.989011063237</v>
      </c>
      <c r="O110" s="266">
        <f t="shared" si="55"/>
        <v>48888.888889310467</v>
      </c>
      <c r="P110" s="265">
        <v>30000</v>
      </c>
      <c r="Q110" s="69">
        <f>(170152/10000)*8.7</f>
        <v>148.03224</v>
      </c>
      <c r="R110" s="69">
        <f>(164771/10000)*8.7</f>
        <v>143.35076999999998</v>
      </c>
      <c r="S110" s="224">
        <f t="shared" si="56"/>
        <v>4.6814700000000187</v>
      </c>
      <c r="T110" s="288">
        <f t="shared" si="52"/>
        <v>0.19567272727272811</v>
      </c>
      <c r="U110" s="288">
        <f t="shared" si="57"/>
        <v>0.20027679144385108</v>
      </c>
      <c r="V110" s="224"/>
      <c r="Y110" s="287">
        <v>2.64</v>
      </c>
      <c r="Z110" s="262">
        <f t="shared" si="58"/>
        <v>72600</v>
      </c>
      <c r="AB110" s="304">
        <v>3541.6666667151721</v>
      </c>
      <c r="AC110" s="289" t="s">
        <v>70</v>
      </c>
    </row>
    <row r="111" spans="1:29" x14ac:dyDescent="0.3">
      <c r="A111" s="146">
        <v>43358.645833333336</v>
      </c>
      <c r="B111" s="146">
        <v>43361.173611111109</v>
      </c>
      <c r="C111" s="23"/>
      <c r="D111" s="23"/>
      <c r="E111" s="35" t="s">
        <v>227</v>
      </c>
      <c r="F111" s="700" t="s">
        <v>58</v>
      </c>
      <c r="G111" s="700" t="s">
        <v>213</v>
      </c>
      <c r="H111" s="269">
        <f>74224-H112</f>
        <v>67499</v>
      </c>
      <c r="I111" s="269" t="s">
        <v>49</v>
      </c>
      <c r="J111" s="269">
        <v>159680</v>
      </c>
      <c r="K111" s="26">
        <f t="shared" si="53"/>
        <v>-92181</v>
      </c>
      <c r="L111" s="267">
        <f>'[148]Mineral Brugge'!$F$58</f>
        <v>2.5277777777737356</v>
      </c>
      <c r="M111" s="267">
        <f>'[148]Mineral Brugge'!$F$58-'[148]Mineral Brugge'!$F$54</f>
        <v>1.480902777776161</v>
      </c>
      <c r="N111" s="266">
        <f>(H111+H112)/L111</f>
        <v>29363.340659387613</v>
      </c>
      <c r="O111" s="266">
        <f>(H111+H112)/M111</f>
        <v>50120.778429128579</v>
      </c>
      <c r="P111" s="265">
        <v>30000</v>
      </c>
      <c r="Q111" s="69">
        <f>(162226/10000)*8.7</f>
        <v>141.13661999999999</v>
      </c>
      <c r="R111" s="69">
        <f>(147731/10000)*8.7</f>
        <v>128.52596999999997</v>
      </c>
      <c r="S111" s="224">
        <f t="shared" si="56"/>
        <v>12.610650000000021</v>
      </c>
      <c r="T111" s="288">
        <f>S111/8.7*10000/(H111+H112)</f>
        <v>0.1952872386290152</v>
      </c>
      <c r="U111" s="288">
        <f>S111/8.5*10000/(H111+H112)</f>
        <v>0.19988223247910966</v>
      </c>
      <c r="V111" s="224"/>
      <c r="Y111" s="287">
        <v>2.64</v>
      </c>
      <c r="Z111" s="262">
        <f t="shared" si="58"/>
        <v>178197.36000000002</v>
      </c>
      <c r="AB111" s="304">
        <v>9932.3055555717256</v>
      </c>
      <c r="AC111" s="289" t="s">
        <v>70</v>
      </c>
    </row>
    <row r="112" spans="1:29" x14ac:dyDescent="0.3">
      <c r="A112" s="146"/>
      <c r="B112" s="146"/>
      <c r="C112" s="23"/>
      <c r="D112" s="23"/>
      <c r="E112" s="35" t="s">
        <v>226</v>
      </c>
      <c r="F112" s="700"/>
      <c r="G112" s="700"/>
      <c r="H112" s="269">
        <v>6725</v>
      </c>
      <c r="I112" s="269"/>
      <c r="J112" s="269"/>
      <c r="K112" s="26"/>
      <c r="L112" s="267"/>
      <c r="M112" s="267"/>
      <c r="N112" s="266"/>
      <c r="O112" s="266"/>
      <c r="P112" s="265"/>
      <c r="Q112" s="69"/>
      <c r="R112" s="69"/>
      <c r="S112" s="224"/>
      <c r="T112" s="288"/>
      <c r="U112" s="288"/>
      <c r="V112" s="224"/>
      <c r="Y112" s="287">
        <v>6.5</v>
      </c>
      <c r="Z112" s="262">
        <f t="shared" si="58"/>
        <v>43712.5</v>
      </c>
      <c r="AB112"/>
      <c r="AC112" s="289" t="s">
        <v>70</v>
      </c>
    </row>
    <row r="113" spans="1:29" x14ac:dyDescent="0.3">
      <c r="A113" s="146">
        <v>43361.534722222219</v>
      </c>
      <c r="B113" s="146">
        <v>43364.052083333336</v>
      </c>
      <c r="C113" s="23"/>
      <c r="D113" s="23"/>
      <c r="E113" s="35" t="s">
        <v>225</v>
      </c>
      <c r="F113" s="36" t="s">
        <v>32</v>
      </c>
      <c r="G113" s="36" t="s">
        <v>213</v>
      </c>
      <c r="H113" s="269">
        <v>66105</v>
      </c>
      <c r="I113" s="269" t="s">
        <v>33</v>
      </c>
      <c r="J113" s="269">
        <v>66100</v>
      </c>
      <c r="K113" s="26">
        <f>H113-J113</f>
        <v>5</v>
      </c>
      <c r="L113" s="267">
        <f>'[148]Yi Hui'!$F$69</f>
        <v>2.5173611111167702</v>
      </c>
      <c r="M113" s="267">
        <f>'[148]Yi Hui'!$F$69-'[148]Yi Hui'!$F$65</f>
        <v>1.2291666666812187</v>
      </c>
      <c r="N113" s="266">
        <f>(H113)/L113</f>
        <v>26259.641379251312</v>
      </c>
      <c r="O113" s="266">
        <f>(H113)/M113</f>
        <v>53780.338982414149</v>
      </c>
      <c r="P113" s="265">
        <v>30000</v>
      </c>
      <c r="Q113" s="69">
        <f>(146486/10000)*8.7</f>
        <v>127.44281999999998</v>
      </c>
      <c r="R113" s="69">
        <f>(133019/10000)*8.7</f>
        <v>115.72652999999998</v>
      </c>
      <c r="S113" s="224">
        <f>Q113-R113</f>
        <v>11.716290000000001</v>
      </c>
      <c r="T113" s="288">
        <f>S113/8.7*10000/H113</f>
        <v>0.20372135239391878</v>
      </c>
      <c r="U113" s="288">
        <f>S113/8.5*10000/H113</f>
        <v>0.20851479597965802</v>
      </c>
      <c r="V113" s="224"/>
      <c r="Y113" s="287">
        <v>2.64</v>
      </c>
      <c r="Z113" s="262">
        <f t="shared" si="58"/>
        <v>174517.2</v>
      </c>
      <c r="AB113" s="304">
        <v>9743.333333187813</v>
      </c>
      <c r="AC113" s="289" t="s">
        <v>70</v>
      </c>
    </row>
    <row r="114" spans="1:29" x14ac:dyDescent="0.3">
      <c r="A114" s="146">
        <v>43364.916666666664</v>
      </c>
      <c r="B114" s="146">
        <v>43366.1875</v>
      </c>
      <c r="C114" s="23"/>
      <c r="D114" s="23"/>
      <c r="E114" s="35" t="s">
        <v>224</v>
      </c>
      <c r="F114" s="700" t="s">
        <v>212</v>
      </c>
      <c r="G114" s="700" t="s">
        <v>211</v>
      </c>
      <c r="H114" s="269">
        <f>40535-H115</f>
        <v>32810</v>
      </c>
      <c r="I114" s="269" t="s">
        <v>36</v>
      </c>
      <c r="J114" s="269">
        <v>40534</v>
      </c>
      <c r="K114" s="26">
        <f>H114-J114</f>
        <v>-7724</v>
      </c>
      <c r="L114" s="267">
        <f>'[148]Victoria I'!$F$48</f>
        <v>1.2708333333357587</v>
      </c>
      <c r="M114" s="267">
        <f>'[148]Victoria I'!$F$48-'[148]Victoria I'!$F$44</f>
        <v>0.76909722222141375</v>
      </c>
      <c r="N114" s="266">
        <f>(H114+H115)/L114</f>
        <v>31896.393442562079</v>
      </c>
      <c r="O114" s="266">
        <f>(H114+H115)/M114</f>
        <v>52704.650112922223</v>
      </c>
      <c r="P114" s="265">
        <v>30000</v>
      </c>
      <c r="Q114" s="69">
        <f>(130801/10000)*8.7</f>
        <v>113.79686999999998</v>
      </c>
      <c r="R114" s="69">
        <f>(123518/10000)*8.7</f>
        <v>107.46066</v>
      </c>
      <c r="S114" s="224">
        <f>Q114-R114</f>
        <v>6.3362099999999799</v>
      </c>
      <c r="T114" s="288">
        <f>S114/8.7*10000/(H114+H115)</f>
        <v>0.1796718884914266</v>
      </c>
      <c r="U114" s="288">
        <f>S114/8.5*10000/(H114+H115)</f>
        <v>0.18389946233828369</v>
      </c>
      <c r="V114" s="224"/>
      <c r="Y114" s="287">
        <v>2.64</v>
      </c>
      <c r="Z114" s="262">
        <f t="shared" si="58"/>
        <v>86618.400000000009</v>
      </c>
      <c r="AB114" s="304">
        <v>5820.6944444525288</v>
      </c>
      <c r="AC114" s="289" t="s">
        <v>70</v>
      </c>
    </row>
    <row r="115" spans="1:29" x14ac:dyDescent="0.3">
      <c r="A115" s="146"/>
      <c r="B115" s="146"/>
      <c r="C115" s="23"/>
      <c r="D115" s="23"/>
      <c r="E115" s="35" t="s">
        <v>223</v>
      </c>
      <c r="F115" s="700"/>
      <c r="G115" s="700"/>
      <c r="H115" s="269">
        <v>7725</v>
      </c>
      <c r="I115" s="269"/>
      <c r="J115" s="269"/>
      <c r="K115" s="26"/>
      <c r="L115" s="267"/>
      <c r="M115" s="267"/>
      <c r="N115" s="266"/>
      <c r="O115" s="266"/>
      <c r="P115" s="265"/>
      <c r="Q115" s="69"/>
      <c r="R115" s="69"/>
      <c r="S115" s="224"/>
      <c r="T115" s="288"/>
      <c r="U115" s="288"/>
      <c r="V115" s="224"/>
      <c r="Y115" s="287">
        <v>6.5</v>
      </c>
      <c r="Z115" s="262">
        <f t="shared" si="58"/>
        <v>50212.5</v>
      </c>
      <c r="AB115"/>
      <c r="AC115" s="289" t="s">
        <v>70</v>
      </c>
    </row>
    <row r="116" spans="1:29" s="243" customFormat="1" x14ac:dyDescent="0.3">
      <c r="A116" s="146">
        <v>43368.236111111109</v>
      </c>
      <c r="B116" s="146">
        <v>43369.666666666664</v>
      </c>
      <c r="C116" s="23"/>
      <c r="D116" s="23"/>
      <c r="E116" s="35" t="s">
        <v>222</v>
      </c>
      <c r="F116" s="36" t="s">
        <v>58</v>
      </c>
      <c r="G116" s="36" t="s">
        <v>213</v>
      </c>
      <c r="H116" s="269">
        <v>40987</v>
      </c>
      <c r="I116" s="269"/>
      <c r="J116" s="269">
        <v>165000</v>
      </c>
      <c r="K116" s="26">
        <f>H116-J116</f>
        <v>-124013</v>
      </c>
      <c r="L116" s="267">
        <f>'[148]Australia Maru'!$F$47</f>
        <v>1.4305555555547471</v>
      </c>
      <c r="M116" s="267">
        <f>'[148]Australia Maru'!$F$47-'[148]Australia Maru'!$F$43</f>
        <v>0.82291666666666663</v>
      </c>
      <c r="N116" s="266">
        <f>(H116)/L116</f>
        <v>28651.106796132695</v>
      </c>
      <c r="O116" s="266">
        <f>(H116)/M116</f>
        <v>49806.987341772154</v>
      </c>
      <c r="P116" s="265">
        <v>30000</v>
      </c>
      <c r="Q116" s="69">
        <f>(119656/10000)*8.7</f>
        <v>104.10072</v>
      </c>
      <c r="R116" s="69">
        <f>(111686/10000)*8.7</f>
        <v>97.166819999999987</v>
      </c>
      <c r="S116" s="224">
        <f>Q116-R116</f>
        <v>6.9339000000000084</v>
      </c>
      <c r="T116" s="288">
        <f>S116/8.7*10000/H116</f>
        <v>0.19445189938273136</v>
      </c>
      <c r="U116" s="288">
        <f>S116/8.5*10000/H116</f>
        <v>0.19902723819173679</v>
      </c>
      <c r="V116" s="224"/>
      <c r="W116" s="242"/>
      <c r="Y116" s="287">
        <v>2.64</v>
      </c>
      <c r="Z116" s="262">
        <f t="shared" si="58"/>
        <v>108205.68000000001</v>
      </c>
      <c r="AA116" s="244"/>
      <c r="AB116" s="304">
        <v>5433.1666666666679</v>
      </c>
      <c r="AC116" s="289" t="s">
        <v>70</v>
      </c>
    </row>
    <row r="117" spans="1:29" s="243" customFormat="1" x14ac:dyDescent="0.3">
      <c r="A117" s="146">
        <v>43369.975694444445</v>
      </c>
      <c r="B117" s="146">
        <v>43372.305555555555</v>
      </c>
      <c r="C117" s="23"/>
      <c r="D117" s="23"/>
      <c r="E117" s="35" t="s">
        <v>71</v>
      </c>
      <c r="F117" s="700" t="s">
        <v>32</v>
      </c>
      <c r="G117" s="700" t="s">
        <v>213</v>
      </c>
      <c r="H117" s="269">
        <v>25200</v>
      </c>
      <c r="I117" s="269" t="s">
        <v>36</v>
      </c>
      <c r="J117" s="269">
        <v>67000</v>
      </c>
      <c r="K117" s="26">
        <f>H117-J117</f>
        <v>-41800</v>
      </c>
      <c r="L117" s="267">
        <f>'[148]Chandra Kirana'!$F$86</f>
        <v>2.3298611111094942</v>
      </c>
      <c r="M117" s="267">
        <f>'[148]Chandra Kirana'!$F$86-'[148]Chandra Kirana'!$F$82</f>
        <v>1.2482638889038451</v>
      </c>
      <c r="N117" s="266">
        <f>(H117+H118)/L117</f>
        <v>28757.078986607139</v>
      </c>
      <c r="O117" s="266">
        <f>(H117+H118)/M117</f>
        <v>53674.547982667049</v>
      </c>
      <c r="P117" s="265">
        <v>30000</v>
      </c>
      <c r="Q117" s="69">
        <f>(110821/10000)*8.7</f>
        <v>96.414270000000002</v>
      </c>
      <c r="R117" s="69">
        <f>(97543/10000)*8.7</f>
        <v>84.862409999999997</v>
      </c>
      <c r="S117" s="224">
        <f>Q117-R117</f>
        <v>11.551860000000005</v>
      </c>
      <c r="T117" s="288">
        <f>S117/8.7*10000/(H117+H118)</f>
        <v>0.19817910447761206</v>
      </c>
      <c r="U117" s="288">
        <f>S117/8.5*10000/(H117+H118)</f>
        <v>0.20284214223002642</v>
      </c>
      <c r="V117" s="224"/>
      <c r="W117" s="242"/>
      <c r="Y117" s="287">
        <v>2.64</v>
      </c>
      <c r="Z117" s="262">
        <f t="shared" si="58"/>
        <v>66528</v>
      </c>
      <c r="AA117" s="244"/>
      <c r="AB117" s="304">
        <v>9850.6944442948825</v>
      </c>
      <c r="AC117" s="289" t="s">
        <v>70</v>
      </c>
    </row>
    <row r="118" spans="1:29" s="243" customFormat="1" x14ac:dyDescent="0.3">
      <c r="A118" s="146"/>
      <c r="B118" s="146"/>
      <c r="C118" s="23"/>
      <c r="D118" s="23"/>
      <c r="E118" s="35" t="s">
        <v>71</v>
      </c>
      <c r="F118" s="700"/>
      <c r="G118" s="700"/>
      <c r="H118" s="269">
        <v>41800</v>
      </c>
      <c r="I118" s="269"/>
      <c r="J118" s="269"/>
      <c r="K118" s="26"/>
      <c r="L118" s="267"/>
      <c r="M118" s="267"/>
      <c r="N118" s="266"/>
      <c r="O118" s="266"/>
      <c r="P118" s="265"/>
      <c r="Q118" s="69"/>
      <c r="R118" s="69"/>
      <c r="S118" s="224"/>
      <c r="T118" s="288"/>
      <c r="U118" s="288"/>
      <c r="V118" s="224"/>
      <c r="W118" s="242"/>
      <c r="Y118" s="287">
        <v>2.64</v>
      </c>
      <c r="Z118" s="262">
        <f t="shared" si="58"/>
        <v>110352</v>
      </c>
      <c r="AA118" s="244"/>
      <c r="AC118" s="289" t="s">
        <v>70</v>
      </c>
    </row>
    <row r="119" spans="1:29" s="243" customFormat="1" x14ac:dyDescent="0.3">
      <c r="A119" s="146">
        <v>43372.5625</v>
      </c>
      <c r="B119" s="146">
        <v>43373.989583333336</v>
      </c>
      <c r="C119" s="23"/>
      <c r="D119" s="23"/>
      <c r="E119" s="35" t="s">
        <v>221</v>
      </c>
      <c r="F119" s="36" t="s">
        <v>32</v>
      </c>
      <c r="G119" s="36" t="s">
        <v>213</v>
      </c>
      <c r="H119" s="269">
        <v>37415</v>
      </c>
      <c r="I119" s="269" t="s">
        <v>49</v>
      </c>
      <c r="J119" s="269">
        <v>60500</v>
      </c>
      <c r="K119" s="26">
        <f>H119-J119</f>
        <v>-23085</v>
      </c>
      <c r="L119" s="267">
        <f>'[148]Mona Manx'!$F$47</f>
        <v>1.4270833333357587</v>
      </c>
      <c r="M119" s="267">
        <f>'[148]Mona Manx'!$F$47-'[148]Mona Manx'!$F$43</f>
        <v>0.74826388888201711</v>
      </c>
      <c r="N119" s="266">
        <f>(H119)/L119</f>
        <v>26217.810218933544</v>
      </c>
      <c r="O119" s="266">
        <f>(H119)/M119</f>
        <v>50002.412993498649</v>
      </c>
      <c r="P119" s="265">
        <v>30000</v>
      </c>
      <c r="Q119" s="69">
        <f>(96770/10000)*8.7</f>
        <v>84.189899999999994</v>
      </c>
      <c r="R119" s="69">
        <f>(89088/10000)*8.7</f>
        <v>77.506559999999993</v>
      </c>
      <c r="S119" s="224">
        <f>Q119-R119</f>
        <v>6.6833400000000012</v>
      </c>
      <c r="T119" s="288">
        <f>S119/8.7*10000/H119</f>
        <v>0.20531872243752511</v>
      </c>
      <c r="U119" s="288">
        <f>S119/8.5*10000/H119</f>
        <v>0.21014975120076096</v>
      </c>
      <c r="V119" s="224"/>
      <c r="W119" s="242"/>
      <c r="Y119" s="287">
        <v>2.64</v>
      </c>
      <c r="Z119" s="262">
        <f t="shared" si="58"/>
        <v>98775.6</v>
      </c>
      <c r="AA119" s="244"/>
      <c r="AB119" s="304">
        <v>4989.0277778464961</v>
      </c>
      <c r="AC119" s="289" t="s">
        <v>70</v>
      </c>
    </row>
    <row r="120" spans="1:29" s="220" customFormat="1" x14ac:dyDescent="0.3">
      <c r="A120" s="210"/>
      <c r="B120" s="210"/>
      <c r="C120" s="13"/>
      <c r="D120" s="13"/>
      <c r="E120" s="39" t="s">
        <v>51</v>
      </c>
      <c r="F120" s="40"/>
      <c r="G120" s="40"/>
      <c r="H120" s="298">
        <v>-79215</v>
      </c>
      <c r="I120" s="298"/>
      <c r="J120" s="298"/>
      <c r="K120" s="18"/>
      <c r="L120" s="297"/>
      <c r="M120" s="297"/>
      <c r="N120" s="296"/>
      <c r="O120" s="296"/>
      <c r="P120" s="295"/>
      <c r="Q120" s="246"/>
      <c r="R120" s="246"/>
      <c r="S120" s="247"/>
      <c r="T120" s="294"/>
      <c r="U120" s="294"/>
      <c r="V120" s="247"/>
      <c r="W120" s="221"/>
      <c r="Y120" s="287">
        <v>2.84</v>
      </c>
      <c r="Z120" s="262">
        <f t="shared" si="58"/>
        <v>-224970.59999999998</v>
      </c>
      <c r="AA120" s="222"/>
      <c r="AB120" s="303"/>
      <c r="AC120" s="289" t="s">
        <v>70</v>
      </c>
    </row>
    <row r="121" spans="1:29" s="35" customFormat="1" ht="12.9" customHeight="1" x14ac:dyDescent="0.3">
      <c r="E121" s="122" t="s">
        <v>78</v>
      </c>
      <c r="F121" s="123"/>
      <c r="G121" s="123"/>
      <c r="H121" s="277">
        <f>SUM(H105:H119)</f>
        <v>501090</v>
      </c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6">
        <f>SUM(S105:S119)</f>
        <v>86.022120000000015</v>
      </c>
      <c r="T121" s="271">
        <f>S121/8.7*10000/H121</f>
        <v>0.19732183839230483</v>
      </c>
      <c r="U121" s="276"/>
      <c r="V121" s="276"/>
      <c r="W121" s="275">
        <v>421875</v>
      </c>
      <c r="X121" s="22">
        <f>H121-W121</f>
        <v>79215</v>
      </c>
      <c r="Y121" s="22"/>
      <c r="Z121" s="274">
        <f>SUM(Z105:Z115)</f>
        <v>1018572.7200000001</v>
      </c>
      <c r="AA121" s="274"/>
      <c r="AB121" s="273">
        <f>SUM(AB105:AB120)</f>
        <v>66682.777777118914</v>
      </c>
      <c r="AC121" s="273">
        <f>SUM(AC105:AC120)</f>
        <v>0</v>
      </c>
    </row>
    <row r="122" spans="1:29" s="301" customFormat="1" ht="12.9" customHeight="1" x14ac:dyDescent="0.3">
      <c r="A122" s="146">
        <v>43374.767361111109</v>
      </c>
      <c r="B122" s="146">
        <v>43377.548611111109</v>
      </c>
      <c r="E122" s="301" t="s">
        <v>111</v>
      </c>
      <c r="F122" s="45" t="s">
        <v>32</v>
      </c>
      <c r="G122" s="36" t="s">
        <v>213</v>
      </c>
      <c r="H122" s="269">
        <v>66000</v>
      </c>
      <c r="I122" s="269" t="s">
        <v>36</v>
      </c>
      <c r="J122" s="269">
        <v>60500</v>
      </c>
      <c r="K122" s="26">
        <f>H122-J122</f>
        <v>5500</v>
      </c>
      <c r="L122" s="302">
        <f>'[149]Andhika Paramesti'!$F$67</f>
        <v>2.78125</v>
      </c>
      <c r="M122" s="302">
        <f>'[149]Andhika Paramesti'!$F$67-'[149]Andhika Paramesti'!$F$63</f>
        <v>1.9392361111119194</v>
      </c>
      <c r="N122" s="266">
        <f>(H122)/L122</f>
        <v>23730.337078651686</v>
      </c>
      <c r="O122" s="266">
        <f>(H122)/M122</f>
        <v>34034.019695599061</v>
      </c>
      <c r="P122" s="265">
        <v>30000</v>
      </c>
      <c r="Q122" s="69">
        <f>(87180/10000)*8.7</f>
        <v>75.846599999999995</v>
      </c>
      <c r="R122" s="69">
        <f>(72709/10000)*8.7</f>
        <v>63.256829999999994</v>
      </c>
      <c r="S122" s="224">
        <f>Q122-R122</f>
        <v>12.589770000000001</v>
      </c>
      <c r="T122" s="288">
        <f>S122/8.7*10000/H122</f>
        <v>0.21925757575757582</v>
      </c>
      <c r="U122" s="288">
        <f>S122/8.5*10000/H122</f>
        <v>0.22441657754010699</v>
      </c>
      <c r="Y122" s="287">
        <v>2.64</v>
      </c>
      <c r="Z122" s="262">
        <f t="shared" ref="Z122:Z140" si="59">H122*Y122</f>
        <v>174240</v>
      </c>
      <c r="AB122" s="291">
        <v>2607.6388888808078</v>
      </c>
      <c r="AC122" s="289" t="s">
        <v>70</v>
      </c>
    </row>
    <row r="123" spans="1:29" s="237" customFormat="1" x14ac:dyDescent="0.3">
      <c r="A123" s="228">
        <v>43381.604166666664</v>
      </c>
      <c r="B123" s="228">
        <v>43383.173611111109</v>
      </c>
      <c r="C123" s="70"/>
      <c r="D123" s="70"/>
      <c r="E123" s="71" t="s">
        <v>220</v>
      </c>
      <c r="F123" s="738" t="s">
        <v>219</v>
      </c>
      <c r="G123" s="738" t="s">
        <v>211</v>
      </c>
      <c r="H123" s="268">
        <f>42800-H124</f>
        <v>34772</v>
      </c>
      <c r="I123" s="268" t="s">
        <v>36</v>
      </c>
      <c r="J123" s="268">
        <v>42800</v>
      </c>
      <c r="K123" s="73">
        <f>(H123+H124)-J123</f>
        <v>0</v>
      </c>
      <c r="L123" s="267">
        <f>'[149]Lumoso Aman'!$F$51</f>
        <v>1.5694444444452529</v>
      </c>
      <c r="M123" s="267">
        <f>'[149]Lumoso Aman'!$F$51-'[149]Lumoso Aman'!$F$47</f>
        <v>0.8836805555389825</v>
      </c>
      <c r="N123" s="281">
        <f>(H123+H124)/L123</f>
        <v>27270.796460162943</v>
      </c>
      <c r="O123" s="281">
        <f>(H123+H124)/M123</f>
        <v>48433.79174943488</v>
      </c>
      <c r="P123" s="280">
        <v>30000</v>
      </c>
      <c r="Q123" s="75">
        <f>(64041/10000)*8.7</f>
        <v>55.715669999999996</v>
      </c>
      <c r="R123" s="75">
        <f>(55062/10000)*8.7</f>
        <v>47.903939999999992</v>
      </c>
      <c r="S123" s="232">
        <f>Q123-R123</f>
        <v>7.8117300000000043</v>
      </c>
      <c r="T123" s="282">
        <f>S123/8.7*10000/(H123+H124)</f>
        <v>0.20978971962616835</v>
      </c>
      <c r="U123" s="282">
        <f>S123/8.5*10000/(H123+H124)</f>
        <v>0.21472594832325465</v>
      </c>
      <c r="V123" s="232"/>
      <c r="W123" s="236"/>
      <c r="Y123" s="279">
        <v>2.64</v>
      </c>
      <c r="Z123" s="278">
        <f t="shared" si="59"/>
        <v>91798.080000000002</v>
      </c>
      <c r="AA123" s="239"/>
      <c r="AB123" s="299">
        <v>5429.8611112768422</v>
      </c>
      <c r="AC123" s="289" t="s">
        <v>70</v>
      </c>
    </row>
    <row r="124" spans="1:29" s="237" customFormat="1" x14ac:dyDescent="0.3">
      <c r="A124" s="228"/>
      <c r="B124" s="228"/>
      <c r="C124" s="70"/>
      <c r="D124" s="70"/>
      <c r="E124" s="71" t="s">
        <v>218</v>
      </c>
      <c r="F124" s="738"/>
      <c r="G124" s="738"/>
      <c r="H124" s="268">
        <v>8028</v>
      </c>
      <c r="I124" s="268"/>
      <c r="J124" s="268"/>
      <c r="K124" s="73"/>
      <c r="L124" s="267"/>
      <c r="M124" s="267"/>
      <c r="N124" s="281"/>
      <c r="O124" s="281"/>
      <c r="P124" s="280"/>
      <c r="Q124" s="75"/>
      <c r="R124" s="75"/>
      <c r="S124" s="232"/>
      <c r="T124" s="282"/>
      <c r="U124" s="282"/>
      <c r="V124" s="232"/>
      <c r="W124" s="236"/>
      <c r="Y124" s="279">
        <v>6.5</v>
      </c>
      <c r="Z124" s="278">
        <f t="shared" si="59"/>
        <v>52182</v>
      </c>
      <c r="AA124" s="239"/>
      <c r="AB124" s="299"/>
      <c r="AC124" s="289" t="s">
        <v>70</v>
      </c>
    </row>
    <row r="125" spans="1:29" s="237" customFormat="1" x14ac:dyDescent="0.3">
      <c r="A125" s="228">
        <v>43384.104166666664</v>
      </c>
      <c r="B125" s="228">
        <v>43387.041666666664</v>
      </c>
      <c r="C125" s="70"/>
      <c r="D125" s="70"/>
      <c r="E125" s="71" t="s">
        <v>217</v>
      </c>
      <c r="F125" s="738" t="s">
        <v>32</v>
      </c>
      <c r="G125" s="738" t="s">
        <v>213</v>
      </c>
      <c r="H125" s="268">
        <f>79187-H126</f>
        <v>71805</v>
      </c>
      <c r="I125" s="268" t="s">
        <v>49</v>
      </c>
      <c r="J125" s="268">
        <v>79187</v>
      </c>
      <c r="K125" s="73">
        <f>(H125+H126)-J125</f>
        <v>0</v>
      </c>
      <c r="L125" s="267">
        <f>'[149]Trade Vision'!$F$83</f>
        <v>2.9375</v>
      </c>
      <c r="M125" s="267">
        <f>'[149]Trade Vision'!$F$83-'[149]Trade Vision'!$F$79</f>
        <v>1.5642361111082816</v>
      </c>
      <c r="N125" s="281">
        <f>(H125+H126)/L125</f>
        <v>26957.276595744679</v>
      </c>
      <c r="O125" s="281">
        <f>(H125+H126)/M125</f>
        <v>50623.431742599896</v>
      </c>
      <c r="P125" s="280">
        <v>30000</v>
      </c>
      <c r="Q125" s="75">
        <f>(252692/10000)*8.7</f>
        <v>219.84204</v>
      </c>
      <c r="R125" s="75">
        <f>(236987/10000)*8.7</f>
        <v>206.17868999999996</v>
      </c>
      <c r="S125" s="232">
        <f>Q125-R125</f>
        <v>13.663350000000037</v>
      </c>
      <c r="T125" s="282">
        <f>S125/8.7*10000/(H125+H126)</f>
        <v>0.1983280083852153</v>
      </c>
      <c r="U125" s="282">
        <f>S125/8.5*10000/(H125+H126)</f>
        <v>0.20299454975898504</v>
      </c>
      <c r="V125" s="232"/>
      <c r="W125" s="236"/>
      <c r="Y125" s="279">
        <v>2.64</v>
      </c>
      <c r="Z125" s="278">
        <f t="shared" si="59"/>
        <v>189565.2</v>
      </c>
      <c r="AA125" s="239"/>
      <c r="AB125" s="299">
        <v>10753.305555583849</v>
      </c>
      <c r="AC125" s="289" t="s">
        <v>70</v>
      </c>
    </row>
    <row r="126" spans="1:29" s="237" customFormat="1" x14ac:dyDescent="0.3">
      <c r="A126" s="228"/>
      <c r="B126" s="228"/>
      <c r="C126" s="70"/>
      <c r="D126" s="70"/>
      <c r="E126" s="71" t="s">
        <v>216</v>
      </c>
      <c r="F126" s="738"/>
      <c r="G126" s="738"/>
      <c r="H126" s="268">
        <v>7382</v>
      </c>
      <c r="I126" s="268"/>
      <c r="J126" s="268"/>
      <c r="K126" s="73"/>
      <c r="L126" s="267"/>
      <c r="M126" s="267"/>
      <c r="N126" s="281"/>
      <c r="O126" s="281"/>
      <c r="P126" s="280"/>
      <c r="Q126" s="75"/>
      <c r="R126" s="75"/>
      <c r="S126" s="232"/>
      <c r="T126" s="282"/>
      <c r="U126" s="282"/>
      <c r="V126" s="232"/>
      <c r="W126" s="236"/>
      <c r="Y126" s="279">
        <v>6.5</v>
      </c>
      <c r="Z126" s="278">
        <f t="shared" si="59"/>
        <v>47983</v>
      </c>
      <c r="AA126" s="239"/>
      <c r="AB126" s="299"/>
      <c r="AC126" s="289" t="s">
        <v>70</v>
      </c>
    </row>
    <row r="127" spans="1:29" s="237" customFormat="1" x14ac:dyDescent="0.3">
      <c r="A127" s="228">
        <v>43387.677083333336</v>
      </c>
      <c r="B127" s="228">
        <v>43388.291666666664</v>
      </c>
      <c r="C127" s="70"/>
      <c r="D127" s="70"/>
      <c r="E127" s="71" t="s">
        <v>167</v>
      </c>
      <c r="F127" s="300" t="s">
        <v>32</v>
      </c>
      <c r="G127" s="229" t="s">
        <v>213</v>
      </c>
      <c r="H127" s="268">
        <v>18380</v>
      </c>
      <c r="I127" s="268" t="s">
        <v>33</v>
      </c>
      <c r="J127" s="268">
        <v>67337</v>
      </c>
      <c r="K127" s="73">
        <f t="shared" ref="K127:K133" si="60">(H127)-J127</f>
        <v>-48957</v>
      </c>
      <c r="L127" s="267">
        <f>'[149]Genco Beauty'!$F$34</f>
        <v>0.61458333332848269</v>
      </c>
      <c r="M127" s="267">
        <f>'[149]Genco Beauty'!$F$34-'[149]Genco Beauty'!$F$30</f>
        <v>0.42708333333575865</v>
      </c>
      <c r="N127" s="281">
        <f t="shared" ref="N127:N132" si="61">(H127)/L127</f>
        <v>29906.44067820214</v>
      </c>
      <c r="O127" s="281">
        <f t="shared" ref="O127:O132" si="62">(H127)/M127</f>
        <v>43036.097560731214</v>
      </c>
      <c r="P127" s="280">
        <v>30000</v>
      </c>
      <c r="Q127" s="75">
        <f>(235196/10000)*8.7</f>
        <v>204.62052</v>
      </c>
      <c r="R127" s="75">
        <f>(231723/10000)*8.7</f>
        <v>201.59900999999999</v>
      </c>
      <c r="S127" s="232">
        <f t="shared" ref="S127:S133" si="63">Q127-R127</f>
        <v>3.0215100000000064</v>
      </c>
      <c r="T127" s="282">
        <f t="shared" ref="T127:T132" si="64">S127/8.7*10000/H127</f>
        <v>0.18895538628944547</v>
      </c>
      <c r="U127" s="282">
        <f t="shared" ref="U127:U132" si="65">S127/8.5*10000/H127</f>
        <v>0.19340139537860887</v>
      </c>
      <c r="V127" s="232"/>
      <c r="W127" s="236"/>
      <c r="Y127" s="279">
        <v>2.64</v>
      </c>
      <c r="Z127" s="278">
        <f t="shared" si="59"/>
        <v>48523.200000000004</v>
      </c>
      <c r="AA127" s="239"/>
      <c r="AB127" s="299">
        <v>1855.8333333090804</v>
      </c>
      <c r="AC127" s="289" t="s">
        <v>70</v>
      </c>
    </row>
    <row r="128" spans="1:29" s="237" customFormat="1" x14ac:dyDescent="0.3">
      <c r="A128" s="228">
        <v>43388.548611111109</v>
      </c>
      <c r="B128" s="228">
        <v>43389.645833333336</v>
      </c>
      <c r="C128" s="70"/>
      <c r="D128" s="70"/>
      <c r="E128" s="71" t="s">
        <v>154</v>
      </c>
      <c r="F128" s="300" t="s">
        <v>58</v>
      </c>
      <c r="G128" s="229" t="s">
        <v>213</v>
      </c>
      <c r="H128" s="268">
        <v>33514</v>
      </c>
      <c r="I128" s="268" t="s">
        <v>49</v>
      </c>
      <c r="J128" s="268">
        <v>85726</v>
      </c>
      <c r="K128" s="73">
        <f t="shared" si="60"/>
        <v>-52212</v>
      </c>
      <c r="L128" s="267">
        <f>'[149]Cape Brazilia'!$F$39</f>
        <v>1.0972222222262644</v>
      </c>
      <c r="M128" s="267">
        <f>'[149]Cape Brazilia'!$F$39-'[149]Cape Brazilia'!$F$35</f>
        <v>0.68576388889778173</v>
      </c>
      <c r="N128" s="281">
        <f t="shared" si="61"/>
        <v>30544.405063178612</v>
      </c>
      <c r="O128" s="281">
        <f t="shared" si="62"/>
        <v>48871.048100632077</v>
      </c>
      <c r="P128" s="280">
        <v>30000</v>
      </c>
      <c r="Q128" s="75">
        <f>(230622/10000)*8.7</f>
        <v>200.64113999999998</v>
      </c>
      <c r="R128" s="75">
        <f>(224878/10000)*8.7</f>
        <v>195.64385999999999</v>
      </c>
      <c r="S128" s="232">
        <f t="shared" si="63"/>
        <v>4.9972799999999893</v>
      </c>
      <c r="T128" s="282">
        <f t="shared" si="64"/>
        <v>0.17139106045234792</v>
      </c>
      <c r="U128" s="282">
        <f t="shared" si="65"/>
        <v>0.1754237912865208</v>
      </c>
      <c r="V128" s="232"/>
      <c r="W128" s="236"/>
      <c r="Y128" s="279">
        <v>2.64</v>
      </c>
      <c r="Z128" s="278">
        <f t="shared" si="59"/>
        <v>88476.96</v>
      </c>
      <c r="AA128" s="239"/>
      <c r="AB128" s="299">
        <v>4313.6944443555158</v>
      </c>
      <c r="AC128" s="289" t="s">
        <v>70</v>
      </c>
    </row>
    <row r="129" spans="1:29" s="237" customFormat="1" x14ac:dyDescent="0.3">
      <c r="A129" s="228">
        <v>43389.895833333336</v>
      </c>
      <c r="B129" s="228">
        <v>43391.90625</v>
      </c>
      <c r="C129" s="70"/>
      <c r="D129" s="70"/>
      <c r="E129" s="71" t="s">
        <v>215</v>
      </c>
      <c r="F129" s="193" t="s">
        <v>212</v>
      </c>
      <c r="G129" s="300" t="s">
        <v>211</v>
      </c>
      <c r="H129" s="268">
        <v>55000</v>
      </c>
      <c r="I129" s="268" t="s">
        <v>49</v>
      </c>
      <c r="J129" s="268">
        <v>55000</v>
      </c>
      <c r="K129" s="73">
        <f t="shared" si="60"/>
        <v>0</v>
      </c>
      <c r="L129" s="267">
        <f>'[149]Paros Seas'!$F$56</f>
        <v>2.0104166666642413</v>
      </c>
      <c r="M129" s="267">
        <f>'[149]Paros Seas'!$F$56-'[149]Paros Seas'!$F$52</f>
        <v>1.2135416666703045</v>
      </c>
      <c r="N129" s="281">
        <f t="shared" si="61"/>
        <v>27357.512953400877</v>
      </c>
      <c r="O129" s="281">
        <f t="shared" si="62"/>
        <v>45321.888411881308</v>
      </c>
      <c r="P129" s="280">
        <v>30000</v>
      </c>
      <c r="Q129" s="75">
        <f>(224039/10000)*8.7</f>
        <v>194.91392999999999</v>
      </c>
      <c r="R129" s="75">
        <f>(212635/10000)*8.7</f>
        <v>184.99244999999999</v>
      </c>
      <c r="S129" s="232">
        <f t="shared" si="63"/>
        <v>9.9214800000000025</v>
      </c>
      <c r="T129" s="282">
        <f t="shared" si="64"/>
        <v>0.20734545454545461</v>
      </c>
      <c r="U129" s="282">
        <f t="shared" si="65"/>
        <v>0.21222417112299469</v>
      </c>
      <c r="V129" s="232"/>
      <c r="W129" s="236"/>
      <c r="Y129" s="279">
        <v>2.64</v>
      </c>
      <c r="Z129" s="278">
        <f t="shared" si="59"/>
        <v>145200</v>
      </c>
      <c r="AA129" s="239"/>
      <c r="AB129" s="299">
        <v>6197.9166666302872</v>
      </c>
      <c r="AC129" s="289" t="s">
        <v>70</v>
      </c>
    </row>
    <row r="130" spans="1:29" s="237" customFormat="1" x14ac:dyDescent="0.3">
      <c r="A130" s="228">
        <v>43392.1875</v>
      </c>
      <c r="B130" s="228">
        <v>43393.333333333336</v>
      </c>
      <c r="C130" s="70"/>
      <c r="D130" s="70"/>
      <c r="E130" s="71" t="s">
        <v>82</v>
      </c>
      <c r="F130" s="300" t="s">
        <v>32</v>
      </c>
      <c r="G130" s="229" t="s">
        <v>213</v>
      </c>
      <c r="H130" s="268">
        <v>34479</v>
      </c>
      <c r="I130" s="268" t="s">
        <v>33</v>
      </c>
      <c r="J130" s="268">
        <v>67290</v>
      </c>
      <c r="K130" s="73">
        <f t="shared" si="60"/>
        <v>-32811</v>
      </c>
      <c r="L130" s="267">
        <f>'[149]Blessed Luck'!$F$41</f>
        <v>1.1458333333357587</v>
      </c>
      <c r="M130" s="267">
        <f>'[149]Blessed Luck'!$F$41-'[149]Blessed Luck'!$F$37</f>
        <v>0.81944444445495424</v>
      </c>
      <c r="N130" s="281">
        <f t="shared" si="61"/>
        <v>30090.763636299944</v>
      </c>
      <c r="O130" s="281">
        <f t="shared" si="62"/>
        <v>42076.067796070522</v>
      </c>
      <c r="P130" s="280">
        <v>30000</v>
      </c>
      <c r="Q130" s="75">
        <f>(211739/10000)*8.7</f>
        <v>184.21292999999997</v>
      </c>
      <c r="R130" s="75">
        <f>(205318/10000)*8.7</f>
        <v>178.62665999999999</v>
      </c>
      <c r="S130" s="232">
        <f t="shared" si="63"/>
        <v>5.5862699999999847</v>
      </c>
      <c r="T130" s="282">
        <f t="shared" si="64"/>
        <v>0.18622929899358984</v>
      </c>
      <c r="U130" s="282">
        <f t="shared" si="65"/>
        <v>0.19061116485226251</v>
      </c>
      <c r="V130" s="232"/>
      <c r="W130" s="236"/>
      <c r="Y130" s="279">
        <v>2.64</v>
      </c>
      <c r="Z130" s="278">
        <f t="shared" si="59"/>
        <v>91024.56</v>
      </c>
      <c r="AA130" s="239"/>
      <c r="AB130" s="299">
        <v>3298.5555554504576</v>
      </c>
      <c r="AC130" s="289" t="s">
        <v>70</v>
      </c>
    </row>
    <row r="131" spans="1:29" s="237" customFormat="1" x14ac:dyDescent="0.3">
      <c r="A131" s="228">
        <v>43393.583333333336</v>
      </c>
      <c r="B131" s="228">
        <v>43394.670138888891</v>
      </c>
      <c r="C131" s="70"/>
      <c r="D131" s="70"/>
      <c r="E131" s="71" t="s">
        <v>214</v>
      </c>
      <c r="G131" s="229" t="s">
        <v>213</v>
      </c>
      <c r="H131" s="268">
        <v>33848</v>
      </c>
      <c r="I131" s="268" t="s">
        <v>33</v>
      </c>
      <c r="J131" s="268">
        <v>73180</v>
      </c>
      <c r="K131" s="73">
        <f t="shared" si="60"/>
        <v>-39332</v>
      </c>
      <c r="L131" s="267">
        <f>'[149]Rui Ning 21'!$F$40</f>
        <v>1.0868055555547471</v>
      </c>
      <c r="M131" s="267">
        <f>'[149]Rui Ning 21'!$F$40-'[149]Rui Ning 21'!$F$36</f>
        <v>0.78124999996968358</v>
      </c>
      <c r="N131" s="281">
        <f t="shared" si="61"/>
        <v>31144.485623026361</v>
      </c>
      <c r="O131" s="281">
        <f t="shared" si="62"/>
        <v>43325.440001681243</v>
      </c>
      <c r="P131" s="280">
        <v>30000</v>
      </c>
      <c r="Q131" s="75">
        <f>(203978/10000)*8.7</f>
        <v>177.46086</v>
      </c>
      <c r="R131" s="75">
        <f>(197700/10000)*8.7</f>
        <v>171.999</v>
      </c>
      <c r="S131" s="232">
        <f t="shared" si="63"/>
        <v>5.4618600000000015</v>
      </c>
      <c r="T131" s="282">
        <f t="shared" si="64"/>
        <v>0.18547624675017735</v>
      </c>
      <c r="U131" s="282">
        <f t="shared" si="65"/>
        <v>0.18984039373253442</v>
      </c>
      <c r="V131" s="232"/>
      <c r="W131" s="236"/>
      <c r="Y131" s="279">
        <v>2.64</v>
      </c>
      <c r="Z131" s="278">
        <f t="shared" si="59"/>
        <v>89358.720000000001</v>
      </c>
      <c r="AA131" s="239"/>
      <c r="AB131" s="299">
        <v>3470.1666669698316</v>
      </c>
      <c r="AC131" s="289" t="s">
        <v>70</v>
      </c>
    </row>
    <row r="132" spans="1:29" s="237" customFormat="1" x14ac:dyDescent="0.3">
      <c r="A132" s="228">
        <v>43395.541666666664</v>
      </c>
      <c r="B132" s="228">
        <v>43397.517361111109</v>
      </c>
      <c r="C132" s="70"/>
      <c r="D132" s="70"/>
      <c r="E132" s="71" t="s">
        <v>83</v>
      </c>
      <c r="F132" s="300" t="s">
        <v>58</v>
      </c>
      <c r="H132" s="268">
        <v>52386</v>
      </c>
      <c r="I132" s="268"/>
      <c r="J132" s="268">
        <v>165000</v>
      </c>
      <c r="K132" s="73">
        <f t="shared" si="60"/>
        <v>-112614</v>
      </c>
      <c r="L132" s="267">
        <f>'[149]Tiger Guangdong'!$F$46</f>
        <v>1.9756944444452529</v>
      </c>
      <c r="M132" s="267">
        <f>'[149]Tiger Guangdong'!$F$46-'[149]Tiger Guangdong'!$F$42</f>
        <v>1.4322916666666665</v>
      </c>
      <c r="N132" s="281">
        <f t="shared" si="61"/>
        <v>26515.233743398639</v>
      </c>
      <c r="O132" s="281">
        <f t="shared" si="62"/>
        <v>36574.952727272728</v>
      </c>
      <c r="P132" s="280">
        <v>30000</v>
      </c>
      <c r="Q132" s="75">
        <f>(195299/10000)*8.7</f>
        <v>169.91013000000001</v>
      </c>
      <c r="R132" s="75">
        <f>(184546/10000)*8.7</f>
        <v>160.55501999999998</v>
      </c>
      <c r="S132" s="232">
        <f t="shared" si="63"/>
        <v>9.3551100000000247</v>
      </c>
      <c r="T132" s="282">
        <f t="shared" si="64"/>
        <v>0.20526476539533522</v>
      </c>
      <c r="U132" s="282">
        <f t="shared" si="65"/>
        <v>0.21009452458110778</v>
      </c>
      <c r="V132" s="232"/>
      <c r="W132" s="236"/>
      <c r="Y132" s="279">
        <v>2.64</v>
      </c>
      <c r="Z132" s="278">
        <f t="shared" si="59"/>
        <v>138299.04</v>
      </c>
      <c r="AA132" s="239"/>
      <c r="AB132" s="299">
        <v>3139.0833333333344</v>
      </c>
      <c r="AC132" s="289" t="s">
        <v>70</v>
      </c>
    </row>
    <row r="133" spans="1:29" s="237" customFormat="1" x14ac:dyDescent="0.3">
      <c r="A133" s="228">
        <v>43397.885416666664</v>
      </c>
      <c r="B133" s="228">
        <v>43400.368055555555</v>
      </c>
      <c r="C133" s="70"/>
      <c r="D133" s="70"/>
      <c r="E133" s="71" t="s">
        <v>210</v>
      </c>
      <c r="F133" s="738" t="s">
        <v>212</v>
      </c>
      <c r="G133" s="229" t="s">
        <v>211</v>
      </c>
      <c r="H133" s="268">
        <v>6281</v>
      </c>
      <c r="I133" s="268" t="s">
        <v>33</v>
      </c>
      <c r="J133" s="268">
        <v>49500</v>
      </c>
      <c r="K133" s="73">
        <f t="shared" si="60"/>
        <v>-43219</v>
      </c>
      <c r="L133" s="267">
        <f>'[149]Pacific Integrity'!$F$52</f>
        <v>2.4826388888905058</v>
      </c>
      <c r="M133" s="267">
        <f>'[149]Pacific Integrity'!$F$52-'[149]Pacific Integrity'!$F$48</f>
        <v>1.3246527777834369</v>
      </c>
      <c r="N133" s="281">
        <f>(H133+H135+H134)/L133</f>
        <v>19938.461538448551</v>
      </c>
      <c r="O133" s="281">
        <f>(H133+H135+H134)/M133</f>
        <v>37368.283092894089</v>
      </c>
      <c r="P133" s="280">
        <v>30000</v>
      </c>
      <c r="Q133" s="75">
        <f>(183105/10000)*8.7</f>
        <v>159.30134999999999</v>
      </c>
      <c r="R133" s="75">
        <f>(171149/10000)*8.7</f>
        <v>148.89962999999997</v>
      </c>
      <c r="S133" s="232">
        <f t="shared" si="63"/>
        <v>10.401720000000012</v>
      </c>
      <c r="T133" s="282">
        <f>S133/8.7*10000/(H133+H134+H135)</f>
        <v>0.2415353535353538</v>
      </c>
      <c r="U133" s="282">
        <f>S133/8.5*10000/(H133+H134+H135)</f>
        <v>0.24721853832442095</v>
      </c>
      <c r="V133" s="232"/>
      <c r="W133" s="236"/>
      <c r="Y133" s="279">
        <v>2.64</v>
      </c>
      <c r="Z133" s="278">
        <f t="shared" si="59"/>
        <v>16581.84</v>
      </c>
      <c r="AA133" s="239"/>
      <c r="AB133" s="299">
        <v>3253.4722221656298</v>
      </c>
      <c r="AC133" s="289" t="s">
        <v>70</v>
      </c>
    </row>
    <row r="134" spans="1:29" s="237" customFormat="1" x14ac:dyDescent="0.3">
      <c r="A134" s="228"/>
      <c r="B134" s="228"/>
      <c r="C134" s="70"/>
      <c r="D134" s="70"/>
      <c r="E134" s="71" t="s">
        <v>210</v>
      </c>
      <c r="F134" s="738"/>
      <c r="G134" s="229"/>
      <c r="H134" s="268">
        <v>35462</v>
      </c>
      <c r="I134" s="268"/>
      <c r="J134" s="268"/>
      <c r="K134" s="73"/>
      <c r="L134" s="267"/>
      <c r="M134" s="267"/>
      <c r="N134" s="281"/>
      <c r="O134" s="281"/>
      <c r="P134" s="280"/>
      <c r="Q134" s="75"/>
      <c r="R134" s="75"/>
      <c r="S134" s="232"/>
      <c r="T134" s="282"/>
      <c r="U134" s="282"/>
      <c r="V134" s="232"/>
      <c r="W134" s="236"/>
      <c r="Y134" s="279">
        <v>2.64</v>
      </c>
      <c r="Z134" s="278">
        <f t="shared" si="59"/>
        <v>93619.680000000008</v>
      </c>
      <c r="AA134" s="239"/>
      <c r="AB134" s="299"/>
      <c r="AC134" s="289" t="s">
        <v>70</v>
      </c>
    </row>
    <row r="135" spans="1:29" s="237" customFormat="1" x14ac:dyDescent="0.3">
      <c r="A135" s="228"/>
      <c r="B135" s="228"/>
      <c r="C135" s="70"/>
      <c r="D135" s="70"/>
      <c r="E135" s="71" t="s">
        <v>209</v>
      </c>
      <c r="F135" s="738"/>
      <c r="G135" s="229"/>
      <c r="H135" s="268">
        <v>7757</v>
      </c>
      <c r="I135" s="268"/>
      <c r="J135" s="268"/>
      <c r="K135" s="73"/>
      <c r="L135" s="267"/>
      <c r="M135" s="267"/>
      <c r="N135" s="281"/>
      <c r="O135" s="281"/>
      <c r="P135" s="280"/>
      <c r="Q135" s="75"/>
      <c r="R135" s="75"/>
      <c r="S135" s="232"/>
      <c r="T135" s="282"/>
      <c r="U135" s="282"/>
      <c r="V135" s="232"/>
      <c r="W135" s="236"/>
      <c r="Y135" s="279">
        <v>6.5</v>
      </c>
      <c r="Z135" s="278">
        <f t="shared" si="59"/>
        <v>50420.5</v>
      </c>
      <c r="AA135" s="239"/>
      <c r="AB135" s="299"/>
      <c r="AC135" s="289" t="s">
        <v>70</v>
      </c>
    </row>
    <row r="136" spans="1:29" s="237" customFormat="1" x14ac:dyDescent="0.3">
      <c r="A136" s="228">
        <v>43401.1875</v>
      </c>
      <c r="B136" s="228">
        <v>43401.777777777781</v>
      </c>
      <c r="C136" s="70"/>
      <c r="D136" s="70"/>
      <c r="E136" s="71" t="s">
        <v>208</v>
      </c>
      <c r="F136" s="193"/>
      <c r="G136" s="229"/>
      <c r="H136" s="268">
        <f>20618-H137</f>
        <v>13824</v>
      </c>
      <c r="I136" s="268" t="s">
        <v>33</v>
      </c>
      <c r="J136" s="268">
        <v>99999</v>
      </c>
      <c r="K136" s="73">
        <f>(H136+H137)-J136</f>
        <v>-79381</v>
      </c>
      <c r="L136" s="267">
        <f>'[149]Ocean Energy'!$F$33</f>
        <v>0.59027777778101154</v>
      </c>
      <c r="M136" s="267">
        <f>'[149]Ocean Energy'!$F$33-'[149]Ocean Energy'!$F$29</f>
        <v>0.47743055555353442</v>
      </c>
      <c r="N136" s="281">
        <f>(H136+H137)/L136</f>
        <v>34929.317646867465</v>
      </c>
      <c r="O136" s="281">
        <f>(H136+H137)/M136</f>
        <v>43185.338182001004</v>
      </c>
      <c r="P136" s="280">
        <v>30000</v>
      </c>
      <c r="Q136" s="75">
        <f>(169008/10000)*8.7</f>
        <v>147.03695999999999</v>
      </c>
      <c r="R136" s="75">
        <f>(165614/10000)*8.7</f>
        <v>144.08417999999998</v>
      </c>
      <c r="S136" s="232">
        <f>Q136-R136</f>
        <v>2.9527800000000184</v>
      </c>
      <c r="T136" s="282">
        <f>S136/8.7*10000/(H136+H137)</f>
        <v>0.16461344456300422</v>
      </c>
      <c r="U136" s="282">
        <f>S136/8.5*10000/(H136+H137)</f>
        <v>0.16848670208213373</v>
      </c>
      <c r="V136" s="232"/>
      <c r="W136" s="236"/>
      <c r="Y136" s="279">
        <v>2.64</v>
      </c>
      <c r="Z136" s="278">
        <f t="shared" si="59"/>
        <v>36495.360000000001</v>
      </c>
      <c r="AA136" s="239"/>
      <c r="AB136" s="299">
        <v>2098.3611111313226</v>
      </c>
      <c r="AC136" s="289" t="s">
        <v>70</v>
      </c>
    </row>
    <row r="137" spans="1:29" s="237" customFormat="1" x14ac:dyDescent="0.3">
      <c r="A137" s="228"/>
      <c r="B137" s="228"/>
      <c r="C137" s="70"/>
      <c r="D137" s="70"/>
      <c r="E137" s="71" t="s">
        <v>207</v>
      </c>
      <c r="F137" s="193"/>
      <c r="G137" s="229"/>
      <c r="H137" s="268">
        <v>6794</v>
      </c>
      <c r="I137" s="268"/>
      <c r="J137" s="268"/>
      <c r="K137" s="73"/>
      <c r="L137" s="267"/>
      <c r="M137" s="267"/>
      <c r="N137" s="281"/>
      <c r="O137" s="281"/>
      <c r="P137" s="280"/>
      <c r="Q137" s="75"/>
      <c r="R137" s="75"/>
      <c r="S137" s="232"/>
      <c r="T137" s="282"/>
      <c r="U137" s="282"/>
      <c r="V137" s="232"/>
      <c r="W137" s="236"/>
      <c r="Y137" s="279">
        <v>6.5</v>
      </c>
      <c r="Z137" s="278">
        <f t="shared" si="59"/>
        <v>44161</v>
      </c>
      <c r="AA137" s="239"/>
      <c r="AB137" s="299"/>
      <c r="AC137" s="289" t="s">
        <v>70</v>
      </c>
    </row>
    <row r="138" spans="1:29" s="237" customFormat="1" x14ac:dyDescent="0.3">
      <c r="A138" s="228">
        <v>43402.166666666664</v>
      </c>
      <c r="B138" s="228">
        <v>43403.458333333336</v>
      </c>
      <c r="C138" s="70"/>
      <c r="D138" s="70"/>
      <c r="E138" s="71" t="s">
        <v>206</v>
      </c>
      <c r="F138" s="193"/>
      <c r="G138" s="229"/>
      <c r="H138" s="268">
        <v>46309</v>
      </c>
      <c r="I138" s="268" t="s">
        <v>33</v>
      </c>
      <c r="J138" s="268">
        <v>67300</v>
      </c>
      <c r="K138" s="73">
        <f>(H138)-J138</f>
        <v>-20991</v>
      </c>
      <c r="L138" s="267">
        <f>'[149]Best Trader'!$F$44</f>
        <v>1.2916666666715173</v>
      </c>
      <c r="M138" s="267">
        <f>'[149]Best Trader'!$F$44-'[149]Best Trader'!$F$40</f>
        <v>0.98090277778707491</v>
      </c>
      <c r="N138" s="281">
        <f>(H138)/L138</f>
        <v>35852.129032123426</v>
      </c>
      <c r="O138" s="281">
        <f>(H138)/M138</f>
        <v>47210.591149995009</v>
      </c>
      <c r="P138" s="280">
        <v>30000</v>
      </c>
      <c r="Q138" s="75">
        <f>(164529/10000)*8.7</f>
        <v>143.14022999999997</v>
      </c>
      <c r="R138" s="75">
        <f>(157102/10000)*8.7</f>
        <v>136.67874</v>
      </c>
      <c r="S138" s="232">
        <f>Q138-R138</f>
        <v>6.4614899999999693</v>
      </c>
      <c r="T138" s="282">
        <f>S138/8.7*10000/H138</f>
        <v>0.16037919194972824</v>
      </c>
      <c r="U138" s="282">
        <f>S138/8.5*10000/H138</f>
        <v>0.16415281999560416</v>
      </c>
      <c r="V138" s="232"/>
      <c r="W138" s="236"/>
      <c r="Y138" s="279">
        <v>2.64</v>
      </c>
      <c r="Z138" s="278">
        <f t="shared" si="59"/>
        <v>122255.76000000001</v>
      </c>
      <c r="AA138" s="239"/>
      <c r="AB138" s="299">
        <v>5627.3055554625853</v>
      </c>
      <c r="AC138" s="289" t="s">
        <v>70</v>
      </c>
    </row>
    <row r="139" spans="1:29" s="237" customFormat="1" x14ac:dyDescent="0.3">
      <c r="A139" s="228">
        <v>43403.677083333336</v>
      </c>
      <c r="B139" s="228">
        <v>43404.552083333336</v>
      </c>
      <c r="C139" s="70"/>
      <c r="D139" s="70"/>
      <c r="E139" s="71" t="s">
        <v>205</v>
      </c>
      <c r="F139" s="193"/>
      <c r="G139" s="229"/>
      <c r="H139" s="268">
        <v>28726</v>
      </c>
      <c r="I139" s="268" t="s">
        <v>40</v>
      </c>
      <c r="J139" s="268">
        <v>90000</v>
      </c>
      <c r="K139" s="73">
        <f>(H139)-J139</f>
        <v>-61274</v>
      </c>
      <c r="L139" s="267">
        <f>'[149]Taipower Prosperity V'!$F$41</f>
        <v>0.875</v>
      </c>
      <c r="M139" s="267">
        <f>'[149]Taipower Prosperity V'!$F$41-'[149]Taipower Prosperity V'!$F$37</f>
        <v>0.64236111110100558</v>
      </c>
      <c r="N139" s="281">
        <f>(H139)/L139</f>
        <v>32829.714285714283</v>
      </c>
      <c r="O139" s="281">
        <f>(H139)/M139</f>
        <v>44719.394595298116</v>
      </c>
      <c r="P139" s="280">
        <v>30000</v>
      </c>
      <c r="Q139" s="75">
        <f>(156182/10000)*8.7</f>
        <v>135.87833999999998</v>
      </c>
      <c r="R139" s="75">
        <f>(151210/10000)*8.7</f>
        <v>131.55269999999999</v>
      </c>
      <c r="S139" s="232">
        <f>Q139-R139</f>
        <v>4.3256399999999928</v>
      </c>
      <c r="T139" s="282">
        <f>S139/8.7*10000/H139</f>
        <v>0.17308361762862884</v>
      </c>
      <c r="U139" s="282">
        <f>S139/8.5*10000/H139</f>
        <v>0.17715617333753775</v>
      </c>
      <c r="V139" s="232"/>
      <c r="W139" s="236"/>
      <c r="Y139" s="279">
        <v>2.64</v>
      </c>
      <c r="Z139" s="278">
        <f t="shared" si="59"/>
        <v>75836.639999999999</v>
      </c>
      <c r="AA139" s="239"/>
      <c r="AB139" s="299">
        <v>3151.7222223232775</v>
      </c>
      <c r="AC139" s="289" t="s">
        <v>70</v>
      </c>
    </row>
    <row r="140" spans="1:29" s="220" customFormat="1" x14ac:dyDescent="0.3">
      <c r="A140" s="210"/>
      <c r="B140" s="210"/>
      <c r="C140" s="13"/>
      <c r="D140" s="13"/>
      <c r="E140" s="39" t="s">
        <v>51</v>
      </c>
      <c r="F140" s="211"/>
      <c r="G140" s="40"/>
      <c r="H140" s="298">
        <v>-25409</v>
      </c>
      <c r="I140" s="298"/>
      <c r="J140" s="298"/>
      <c r="K140" s="18"/>
      <c r="L140" s="297"/>
      <c r="M140" s="297"/>
      <c r="N140" s="296"/>
      <c r="O140" s="296"/>
      <c r="P140" s="295"/>
      <c r="Q140" s="246"/>
      <c r="R140" s="246"/>
      <c r="S140" s="247"/>
      <c r="T140" s="294"/>
      <c r="U140" s="294"/>
      <c r="V140" s="247"/>
      <c r="W140" s="221"/>
      <c r="Y140" s="293">
        <v>2.84</v>
      </c>
      <c r="Z140" s="292">
        <f t="shared" si="59"/>
        <v>-72161.56</v>
      </c>
      <c r="AA140" s="222"/>
      <c r="AB140" s="291"/>
      <c r="AC140" s="289" t="s">
        <v>70</v>
      </c>
    </row>
    <row r="141" spans="1:29" s="35" customFormat="1" ht="12.9" customHeight="1" x14ac:dyDescent="0.3">
      <c r="E141" s="122" t="s">
        <v>84</v>
      </c>
      <c r="F141" s="123"/>
      <c r="G141" s="123"/>
      <c r="H141" s="277">
        <f>SUM(H122:H139)</f>
        <v>560747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6">
        <f>SUM(S122:S139)</f>
        <v>96.549990000000037</v>
      </c>
      <c r="T141" s="271">
        <f>S141/8.7*10000/H141</f>
        <v>0.19790921752590748</v>
      </c>
      <c r="U141" s="276"/>
      <c r="V141" s="276"/>
      <c r="W141" s="275">
        <v>421875</v>
      </c>
      <c r="X141" s="22">
        <f>H141-W141</f>
        <v>138872</v>
      </c>
      <c r="Y141" s="22"/>
      <c r="Z141" s="274">
        <f>SUM(Z122:Z132)</f>
        <v>1156650.76</v>
      </c>
      <c r="AA141" s="274"/>
      <c r="AB141" s="273">
        <f>SUM(AB122:AB140)</f>
        <v>55196.916666872814</v>
      </c>
      <c r="AC141" s="273">
        <f>SUM(AC123:AC131)</f>
        <v>0</v>
      </c>
    </row>
    <row r="142" spans="1:29" s="237" customFormat="1" x14ac:dyDescent="0.3">
      <c r="A142" s="228">
        <v>43404.805555555555</v>
      </c>
      <c r="B142" s="228">
        <v>43409.947916666664</v>
      </c>
      <c r="C142" s="70"/>
      <c r="D142" s="70"/>
      <c r="E142" s="71" t="s">
        <v>204</v>
      </c>
      <c r="F142" s="229" t="s">
        <v>58</v>
      </c>
      <c r="G142" s="229"/>
      <c r="H142" s="268">
        <f>123507-H143</f>
        <v>116576</v>
      </c>
      <c r="I142" s="268" t="s">
        <v>49</v>
      </c>
      <c r="J142" s="268">
        <v>163200</v>
      </c>
      <c r="K142" s="73">
        <f>(H142+H143)-J142</f>
        <v>-39693</v>
      </c>
      <c r="L142" s="267">
        <f>'[150]Lake Dolphin'!$F$88</f>
        <v>5.1423611111094942</v>
      </c>
      <c r="M142" s="267">
        <f>'[151]Lake Dolphin'!$F$88-'[151]Lake Dolphin'!$F$84</f>
        <v>2.6729166666251936</v>
      </c>
      <c r="N142" s="281">
        <f>(H142+H143)/L142</f>
        <v>24017.566509123015</v>
      </c>
      <c r="O142" s="281">
        <f>(H142+H143)/M142</f>
        <v>46206.827748183823</v>
      </c>
      <c r="P142" s="280">
        <v>30000</v>
      </c>
      <c r="Q142" s="75">
        <f>(149862/10000)*8.7</f>
        <v>130.37994</v>
      </c>
      <c r="R142" s="75">
        <f>(123877/10000)*8.7</f>
        <v>107.77298999999999</v>
      </c>
      <c r="S142" s="232">
        <f>Q142-R142</f>
        <v>22.606950000000012</v>
      </c>
      <c r="T142" s="282">
        <f>S142/8.7*10000/(H142+H143)</f>
        <v>0.2103929331940701</v>
      </c>
      <c r="U142" s="282">
        <f>S142/8.5*10000/(H142+H143)</f>
        <v>0.21534335515157763</v>
      </c>
      <c r="V142" s="232"/>
      <c r="W142" s="236"/>
      <c r="Y142" s="279">
        <v>2.64</v>
      </c>
      <c r="Z142" s="278">
        <f t="shared" ref="Z142:Z155" si="66">H142*Y142</f>
        <v>307760.64000000001</v>
      </c>
      <c r="AA142" s="239"/>
      <c r="AB142" s="290">
        <v>14439.833333748067</v>
      </c>
      <c r="AC142" s="289" t="s">
        <v>70</v>
      </c>
    </row>
    <row r="143" spans="1:29" s="237" customFormat="1" x14ac:dyDescent="0.3">
      <c r="A143" s="228"/>
      <c r="B143" s="228"/>
      <c r="C143" s="70"/>
      <c r="D143" s="70"/>
      <c r="E143" s="71" t="s">
        <v>203</v>
      </c>
      <c r="F143" s="229"/>
      <c r="G143" s="229"/>
      <c r="H143" s="268">
        <v>6931</v>
      </c>
      <c r="I143" s="268"/>
      <c r="J143" s="268"/>
      <c r="K143" s="73"/>
      <c r="L143" s="267"/>
      <c r="M143" s="267"/>
      <c r="N143" s="281"/>
      <c r="O143" s="281"/>
      <c r="P143" s="280"/>
      <c r="Q143" s="75"/>
      <c r="R143" s="75"/>
      <c r="S143" s="232"/>
      <c r="T143" s="282"/>
      <c r="U143" s="282"/>
      <c r="V143" s="232"/>
      <c r="W143" s="236"/>
      <c r="Y143" s="279">
        <v>6.5</v>
      </c>
      <c r="Z143" s="278">
        <f t="shared" si="66"/>
        <v>45051.5</v>
      </c>
      <c r="AA143" s="239"/>
      <c r="AC143" s="289" t="s">
        <v>70</v>
      </c>
    </row>
    <row r="144" spans="1:29" s="237" customFormat="1" x14ac:dyDescent="0.3">
      <c r="A144" s="228">
        <v>43410.885416666664</v>
      </c>
      <c r="B144" s="228">
        <v>43413.645833333336</v>
      </c>
      <c r="C144" s="70"/>
      <c r="D144" s="70"/>
      <c r="E144" s="71" t="s">
        <v>202</v>
      </c>
      <c r="F144" s="83"/>
      <c r="H144" s="268">
        <f>69330-H145</f>
        <v>62567</v>
      </c>
      <c r="I144" s="268" t="s">
        <v>33</v>
      </c>
      <c r="J144" s="268">
        <v>69300</v>
      </c>
      <c r="K144" s="73">
        <f>(H144+H145)-J144</f>
        <v>30</v>
      </c>
      <c r="L144" s="267">
        <f>'[150]Genco Vigour'!$F$66</f>
        <v>2.7604166666715173</v>
      </c>
      <c r="M144" s="267">
        <f>'[151]Genco Vigour'!$F$66-'[151]Genco Vigour'!$F$62</f>
        <v>1.4461805555753624</v>
      </c>
      <c r="N144" s="281">
        <f>(H144+H145)/L144</f>
        <v>25115.773584861527</v>
      </c>
      <c r="O144" s="281">
        <f>(H144+H145)/M144</f>
        <v>47940.072028154937</v>
      </c>
      <c r="P144" s="280">
        <v>30000</v>
      </c>
      <c r="Q144" s="75">
        <f>(121612/10000)*8.7</f>
        <v>105.80243999999999</v>
      </c>
      <c r="R144" s="75">
        <f>(107332/10000)*8.7</f>
        <v>93.378839999999997</v>
      </c>
      <c r="S144" s="232">
        <f>Q144-R144</f>
        <v>12.423599999999993</v>
      </c>
      <c r="T144" s="282">
        <f>S144/8.7*10000/(H144+H145)</f>
        <v>0.20597144093466022</v>
      </c>
      <c r="U144" s="282">
        <f>S144/8.5*10000/(H144+H145)</f>
        <v>0.2108178277801816</v>
      </c>
      <c r="V144" s="232"/>
      <c r="W144" s="236"/>
      <c r="Y144" s="279">
        <v>2.64</v>
      </c>
      <c r="Z144" s="278">
        <f t="shared" si="66"/>
        <v>165176.88</v>
      </c>
      <c r="AA144" s="239"/>
      <c r="AB144" s="290">
        <v>8648.1944442463755</v>
      </c>
      <c r="AC144" s="289" t="s">
        <v>70</v>
      </c>
    </row>
    <row r="145" spans="1:29" s="237" customFormat="1" x14ac:dyDescent="0.3">
      <c r="A145" s="228"/>
      <c r="B145" s="228"/>
      <c r="C145" s="70"/>
      <c r="D145" s="70"/>
      <c r="E145" s="71" t="s">
        <v>201</v>
      </c>
      <c r="F145" s="83"/>
      <c r="H145" s="268">
        <v>6763</v>
      </c>
      <c r="I145" s="268"/>
      <c r="J145" s="268"/>
      <c r="K145" s="73"/>
      <c r="L145" s="267"/>
      <c r="M145" s="267"/>
      <c r="N145" s="281"/>
      <c r="O145" s="281"/>
      <c r="P145" s="280"/>
      <c r="Q145" s="75"/>
      <c r="R145" s="75"/>
      <c r="S145" s="232"/>
      <c r="T145" s="282"/>
      <c r="U145" s="282"/>
      <c r="V145" s="232"/>
      <c r="W145" s="236"/>
      <c r="Y145" s="279">
        <v>6.5</v>
      </c>
      <c r="Z145" s="278">
        <f t="shared" si="66"/>
        <v>43959.5</v>
      </c>
      <c r="AA145" s="239"/>
      <c r="AC145" s="289" t="s">
        <v>70</v>
      </c>
    </row>
    <row r="146" spans="1:29" s="237" customFormat="1" x14ac:dyDescent="0.3">
      <c r="A146" s="228">
        <v>43413.885416666664</v>
      </c>
      <c r="B146" s="228">
        <v>43415.024305555555</v>
      </c>
      <c r="C146" s="70"/>
      <c r="D146" s="70"/>
      <c r="E146" s="71" t="s">
        <v>200</v>
      </c>
      <c r="F146" s="229"/>
      <c r="G146" s="229"/>
      <c r="H146" s="268">
        <v>27500</v>
      </c>
      <c r="I146" s="268" t="s">
        <v>199</v>
      </c>
      <c r="J146" s="268">
        <v>27500</v>
      </c>
      <c r="K146" s="73">
        <f>(H146)-J146</f>
        <v>0</v>
      </c>
      <c r="L146" s="267">
        <f>[150]Anemone!$F$44</f>
        <v>1.1388888888905058</v>
      </c>
      <c r="M146" s="267">
        <f>[150]Anemone!$F$44-[150]Anemone!$F$40</f>
        <v>0.61284722223960364</v>
      </c>
      <c r="N146" s="281">
        <f>(H146)/L146</f>
        <v>24146.341463380355</v>
      </c>
      <c r="O146" s="281">
        <f>(H146)/M146</f>
        <v>44872.521245186261</v>
      </c>
      <c r="P146" s="280">
        <v>30000</v>
      </c>
      <c r="Q146" s="75">
        <f>(106136/10000)*8.7</f>
        <v>92.338319999999996</v>
      </c>
      <c r="R146" s="75">
        <f>(99732/10000)*8.7</f>
        <v>86.766840000000002</v>
      </c>
      <c r="S146" s="232">
        <f>Q146-R146</f>
        <v>5.571479999999994</v>
      </c>
      <c r="T146" s="282">
        <f>S146/8.7*10000/H146</f>
        <v>0.23287272727272706</v>
      </c>
      <c r="U146" s="282">
        <f>S146/8.5*10000/H146</f>
        <v>0.23835208556149706</v>
      </c>
      <c r="V146" s="232"/>
      <c r="W146" s="236"/>
      <c r="Y146" s="279">
        <v>2.64</v>
      </c>
      <c r="Z146" s="278">
        <f t="shared" si="66"/>
        <v>72600</v>
      </c>
      <c r="AA146" s="239"/>
      <c r="AB146" s="290">
        <v>3038.1944442706299</v>
      </c>
      <c r="AC146" s="289" t="s">
        <v>70</v>
      </c>
    </row>
    <row r="147" spans="1:29" s="237" customFormat="1" x14ac:dyDescent="0.3">
      <c r="A147" s="228">
        <v>43415.243055555555</v>
      </c>
      <c r="B147" s="228">
        <v>43418.020833333336</v>
      </c>
      <c r="C147" s="70"/>
      <c r="D147" s="70"/>
      <c r="E147" s="71" t="s">
        <v>143</v>
      </c>
      <c r="F147" s="229"/>
      <c r="G147" s="229"/>
      <c r="H147" s="268">
        <f>80002-H148</f>
        <v>73327</v>
      </c>
      <c r="I147" s="268" t="s">
        <v>93</v>
      </c>
      <c r="J147" s="268">
        <v>80000</v>
      </c>
      <c r="K147" s="73">
        <f>(H147+H148)-J147</f>
        <v>2</v>
      </c>
      <c r="L147" s="267">
        <f>'[150]Pan Flower'!$F$68</f>
        <v>2.7777777777810115</v>
      </c>
      <c r="M147" s="267">
        <f>'[151]Pan Flower'!$F$68-'[151]Pan Flower'!$F$64</f>
        <v>1.7725694444367643</v>
      </c>
      <c r="N147" s="281">
        <f>(H147+H148)/L147</f>
        <v>28800.71999996647</v>
      </c>
      <c r="O147" s="281">
        <f>(H147+H148)/M147</f>
        <v>45133.351616258238</v>
      </c>
      <c r="P147" s="280">
        <v>30000</v>
      </c>
      <c r="Q147" s="75">
        <f>(98708/10000)*8.7</f>
        <v>85.875959999999992</v>
      </c>
      <c r="R147" s="75">
        <f>(82922/10000)*8.7</f>
        <v>72.142139999999984</v>
      </c>
      <c r="S147" s="232">
        <f>Q147-R147</f>
        <v>13.733820000000009</v>
      </c>
      <c r="T147" s="282">
        <f>S147/8.7*10000/(H147+H148)</f>
        <v>0.19732006699832519</v>
      </c>
      <c r="U147" s="282">
        <f>S147/8.5*10000/(H147+H148)</f>
        <v>0.2019628921041681</v>
      </c>
      <c r="V147" s="232"/>
      <c r="W147" s="236"/>
      <c r="Y147" s="279">
        <v>2.64</v>
      </c>
      <c r="Z147" s="278">
        <f t="shared" si="66"/>
        <v>193583.28</v>
      </c>
      <c r="AA147" s="239"/>
      <c r="AB147" s="290">
        <v>8941.6388889656882</v>
      </c>
      <c r="AC147" s="289" t="s">
        <v>70</v>
      </c>
    </row>
    <row r="148" spans="1:29" s="237" customFormat="1" x14ac:dyDescent="0.3">
      <c r="A148" s="228"/>
      <c r="B148" s="228"/>
      <c r="C148" s="70"/>
      <c r="D148" s="70"/>
      <c r="E148" s="71" t="s">
        <v>198</v>
      </c>
      <c r="F148" s="229"/>
      <c r="G148" s="229"/>
      <c r="H148" s="268">
        <v>6675</v>
      </c>
      <c r="I148" s="268"/>
      <c r="J148" s="268"/>
      <c r="K148" s="73"/>
      <c r="L148" s="267"/>
      <c r="M148" s="267"/>
      <c r="N148" s="281"/>
      <c r="O148" s="281"/>
      <c r="P148" s="280"/>
      <c r="Q148" s="75"/>
      <c r="R148" s="75"/>
      <c r="S148" s="232"/>
      <c r="T148" s="282"/>
      <c r="U148" s="282"/>
      <c r="V148" s="232"/>
      <c r="W148" s="236"/>
      <c r="Y148" s="279">
        <v>6.5</v>
      </c>
      <c r="Z148" s="278">
        <f t="shared" si="66"/>
        <v>43387.5</v>
      </c>
      <c r="AA148" s="239"/>
      <c r="AC148" s="289" t="s">
        <v>70</v>
      </c>
    </row>
    <row r="149" spans="1:29" s="237" customFormat="1" x14ac:dyDescent="0.3">
      <c r="A149" s="228">
        <v>43418.875</v>
      </c>
      <c r="B149" s="228">
        <v>43422.857638888891</v>
      </c>
      <c r="C149" s="70"/>
      <c r="D149" s="70"/>
      <c r="E149" s="71" t="s">
        <v>197</v>
      </c>
      <c r="F149" s="229"/>
      <c r="G149" s="229"/>
      <c r="H149" s="268">
        <v>81225</v>
      </c>
      <c r="I149" s="268" t="s">
        <v>33</v>
      </c>
      <c r="J149" s="268">
        <v>81200</v>
      </c>
      <c r="K149" s="73">
        <f>(H149)-J149</f>
        <v>25</v>
      </c>
      <c r="L149" s="267">
        <f>'[150]Navios Harmony'!$F$72</f>
        <v>3.9826388888905058</v>
      </c>
      <c r="M149" s="267">
        <f>'[151]Navios Harmony'!$F$72-'[151]Navios Harmony'!$F$68</f>
        <v>1.9114583333381838</v>
      </c>
      <c r="N149" s="281">
        <f>(H149)/L149</f>
        <v>20394.768962502618</v>
      </c>
      <c r="O149" s="281">
        <f>(H149)/M149</f>
        <v>42493.732969919416</v>
      </c>
      <c r="P149" s="280">
        <v>30000</v>
      </c>
      <c r="Q149" s="75">
        <f>(81236/10000)*8.7</f>
        <v>70.675319999999985</v>
      </c>
      <c r="R149" s="75">
        <f>(63054/10000)*8.7</f>
        <v>54.856979999999993</v>
      </c>
      <c r="S149" s="232">
        <f>Q149-R149</f>
        <v>15.818339999999992</v>
      </c>
      <c r="T149" s="282">
        <f>S149/8.7*10000/H149</f>
        <v>0.2238473376423514</v>
      </c>
      <c r="U149" s="282">
        <f>S149/8.5*10000/H149</f>
        <v>0.22911433382217139</v>
      </c>
      <c r="V149" s="232"/>
      <c r="W149" s="236"/>
      <c r="Y149" s="279">
        <v>2.64</v>
      </c>
      <c r="Z149" s="278">
        <f t="shared" si="66"/>
        <v>214434</v>
      </c>
      <c r="AA149" s="239"/>
      <c r="AB149" s="290">
        <v>7960.4166666181618</v>
      </c>
      <c r="AC149" s="289" t="s">
        <v>70</v>
      </c>
    </row>
    <row r="150" spans="1:29" s="237" customFormat="1" x14ac:dyDescent="0.3">
      <c r="A150" s="228">
        <v>43423.611111111109</v>
      </c>
      <c r="B150" s="228">
        <v>43426.125</v>
      </c>
      <c r="C150" s="70"/>
      <c r="D150" s="70"/>
      <c r="E150" s="71" t="s">
        <v>196</v>
      </c>
      <c r="H150" s="268">
        <v>40311</v>
      </c>
      <c r="I150" s="725" t="s">
        <v>33</v>
      </c>
      <c r="J150" s="725">
        <v>82200</v>
      </c>
      <c r="K150" s="726">
        <f>(H150+H151)-J150</f>
        <v>0</v>
      </c>
      <c r="L150" s="267">
        <f>'[150]Sfakia Wave'!$F$63</f>
        <v>2.5138888888905058</v>
      </c>
      <c r="M150" s="267">
        <f>'[150]Sfakia Wave'!$F$63-'[150]Sfakia Wave'!$F$59</f>
        <v>1.6770833333345458</v>
      </c>
      <c r="N150" s="281">
        <f>(H150+H151)/L150</f>
        <v>32698.342541415434</v>
      </c>
      <c r="O150" s="281">
        <f>(H150+H151)/M150</f>
        <v>49013.664596237853</v>
      </c>
      <c r="P150" s="280">
        <v>30000</v>
      </c>
      <c r="Q150" s="75">
        <f>(110741/10000)*8.7</f>
        <v>96.344669999999994</v>
      </c>
      <c r="R150" s="75">
        <f>(96407/10000)*8.7</f>
        <v>83.874089999999995</v>
      </c>
      <c r="S150" s="232">
        <f>Q150-R150</f>
        <v>12.470579999999998</v>
      </c>
      <c r="T150" s="282">
        <f>S150/8.7*10000/(H150+H151)</f>
        <v>0.17437956204379562</v>
      </c>
      <c r="U150" s="282">
        <f>S150/8.5*10000/(H150+H151)</f>
        <v>0.17848261056247314</v>
      </c>
      <c r="V150" s="232"/>
      <c r="W150" s="236"/>
      <c r="Y150" s="279">
        <v>2.64</v>
      </c>
      <c r="Z150" s="278">
        <f t="shared" si="66"/>
        <v>106421.04000000001</v>
      </c>
      <c r="AA150" s="239"/>
      <c r="AC150" s="289" t="s">
        <v>70</v>
      </c>
    </row>
    <row r="151" spans="1:29" s="237" customFormat="1" x14ac:dyDescent="0.3">
      <c r="A151" s="228"/>
      <c r="B151" s="228"/>
      <c r="C151" s="70"/>
      <c r="D151" s="70"/>
      <c r="E151" s="71" t="s">
        <v>196</v>
      </c>
      <c r="H151" s="268">
        <v>41889</v>
      </c>
      <c r="I151" s="725"/>
      <c r="J151" s="725"/>
      <c r="K151" s="726"/>
      <c r="L151" s="267"/>
      <c r="M151" s="267"/>
      <c r="N151" s="281"/>
      <c r="O151" s="281"/>
      <c r="P151" s="280"/>
      <c r="Q151" s="75"/>
      <c r="R151" s="75"/>
      <c r="S151" s="232"/>
      <c r="T151" s="282"/>
      <c r="U151" s="282"/>
      <c r="V151" s="232"/>
      <c r="W151" s="236"/>
      <c r="Y151" s="279">
        <v>2.64</v>
      </c>
      <c r="Z151" s="278">
        <f t="shared" si="66"/>
        <v>110586.96</v>
      </c>
      <c r="AA151" s="239"/>
      <c r="AB151" s="290">
        <v>10629.166666654544</v>
      </c>
      <c r="AC151" s="289" t="s">
        <v>70</v>
      </c>
    </row>
    <row r="152" spans="1:29" s="237" customFormat="1" x14ac:dyDescent="0.3">
      <c r="A152" s="228">
        <v>43428.777777777781</v>
      </c>
      <c r="B152" s="228">
        <v>43431.34375</v>
      </c>
      <c r="C152" s="70"/>
      <c r="D152" s="70"/>
      <c r="E152" s="71" t="s">
        <v>195</v>
      </c>
      <c r="H152" s="268">
        <f>64063-H153</f>
        <v>55669</v>
      </c>
      <c r="I152" s="268"/>
      <c r="J152" s="268">
        <v>156830</v>
      </c>
      <c r="K152" s="73">
        <f>(H153+H152)-J152</f>
        <v>-92767</v>
      </c>
      <c r="L152" s="267">
        <f>'[150]Cape Ioanna'!$F$56</f>
        <v>2.5659722222189885</v>
      </c>
      <c r="M152" s="267">
        <f>'[150]Cape Ioanna'!$F$56-'[150]Cape Ioanna'!$F$52</f>
        <v>1.3729166666441113</v>
      </c>
      <c r="N152" s="281">
        <f>(H152+H153)/L152</f>
        <v>24966.365358624156</v>
      </c>
      <c r="O152" s="281">
        <f>(H152+H153)/M152</f>
        <v>46661.972686654306</v>
      </c>
      <c r="P152" s="280">
        <v>30000</v>
      </c>
      <c r="Q152" s="75">
        <f>(90596/10000)*8.7</f>
        <v>78.818519999999992</v>
      </c>
      <c r="R152" s="75">
        <f>(77632/10000)*8.7</f>
        <v>67.539839999999998</v>
      </c>
      <c r="S152" s="232">
        <f>Q152-R152</f>
        <v>11.278679999999994</v>
      </c>
      <c r="T152" s="282">
        <f>S152/8.7*10000/(H152+H153)</f>
        <v>0.20236329862791308</v>
      </c>
      <c r="U152" s="282">
        <f>S152/8.5*10000/(H152+H153)</f>
        <v>0.20712478800739334</v>
      </c>
      <c r="V152" s="232"/>
      <c r="W152" s="236"/>
      <c r="Y152" s="279">
        <v>2.64</v>
      </c>
      <c r="Z152" s="278">
        <f t="shared" si="66"/>
        <v>146966.16</v>
      </c>
      <c r="AA152" s="239"/>
      <c r="AB152" s="290">
        <v>7625.1666668922198</v>
      </c>
      <c r="AC152" s="289" t="s">
        <v>70</v>
      </c>
    </row>
    <row r="153" spans="1:29" s="237" customFormat="1" x14ac:dyDescent="0.3">
      <c r="A153" s="70"/>
      <c r="B153" s="70"/>
      <c r="C153" s="70"/>
      <c r="D153" s="70"/>
      <c r="E153" s="71" t="s">
        <v>194</v>
      </c>
      <c r="H153" s="268">
        <v>8394</v>
      </c>
      <c r="I153" s="268"/>
      <c r="L153" s="267"/>
      <c r="M153" s="267"/>
      <c r="N153" s="281"/>
      <c r="O153" s="281"/>
      <c r="P153" s="280"/>
      <c r="Q153" s="75"/>
      <c r="R153" s="75"/>
      <c r="S153" s="232"/>
      <c r="T153" s="232"/>
      <c r="U153" s="232"/>
      <c r="V153" s="232"/>
      <c r="W153" s="236"/>
      <c r="Y153" s="279">
        <v>6.5</v>
      </c>
      <c r="Z153" s="278">
        <f t="shared" si="66"/>
        <v>54561</v>
      </c>
      <c r="AA153" s="239"/>
      <c r="AC153" s="289" t="s">
        <v>70</v>
      </c>
    </row>
    <row r="154" spans="1:29" s="237" customFormat="1" x14ac:dyDescent="0.3">
      <c r="A154" s="228">
        <v>43431.614583333336</v>
      </c>
      <c r="B154" s="228">
        <v>43432.25</v>
      </c>
      <c r="C154" s="70"/>
      <c r="D154" s="70"/>
      <c r="E154" s="71" t="s">
        <v>102</v>
      </c>
      <c r="H154" s="268">
        <v>21443</v>
      </c>
      <c r="I154" s="268"/>
      <c r="J154" s="268">
        <v>65000</v>
      </c>
      <c r="K154" s="73">
        <f>(H154)-J154</f>
        <v>-43557</v>
      </c>
      <c r="L154" s="267">
        <f>'[150]Shao Shan 1'!$F$32</f>
        <v>0.63541666666424135</v>
      </c>
      <c r="M154" s="267">
        <f>'[150]Shao Shan 1'!$F$32-'[150]Shao Shan 1'!$F$28</f>
        <v>0.49131944444889086</v>
      </c>
      <c r="N154" s="281">
        <f>(H154)/L154</f>
        <v>33746.360655866512</v>
      </c>
      <c r="O154" s="281">
        <f>(H154)/M154</f>
        <v>43643.703179817043</v>
      </c>
      <c r="P154" s="280">
        <v>30000</v>
      </c>
      <c r="Q154" s="75">
        <f>(76409/10000)*8.7</f>
        <v>66.475830000000002</v>
      </c>
      <c r="R154" s="75">
        <f>(72756/10000)*8.7</f>
        <v>63.297719999999991</v>
      </c>
      <c r="S154" s="232">
        <f>Q154-R154</f>
        <v>3.1781100000000109</v>
      </c>
      <c r="T154" s="282">
        <f>S154/8.7*10000/(H154)</f>
        <v>0.17035862519237108</v>
      </c>
      <c r="U154" s="282">
        <f>S154/8.5*10000/(H154)</f>
        <v>0.17436706343219155</v>
      </c>
      <c r="V154" s="232"/>
      <c r="W154" s="236"/>
      <c r="Y154" s="279">
        <v>2.64</v>
      </c>
      <c r="Z154" s="278">
        <f t="shared" si="66"/>
        <v>56609.520000000004</v>
      </c>
      <c r="AA154" s="239"/>
      <c r="AB154" s="290">
        <v>2234.4722221777579</v>
      </c>
      <c r="AC154" s="289" t="s">
        <v>70</v>
      </c>
    </row>
    <row r="155" spans="1:29" s="237" customFormat="1" x14ac:dyDescent="0.3">
      <c r="A155" s="228">
        <v>43432.979166666664</v>
      </c>
      <c r="B155" s="228">
        <v>43434.010416666664</v>
      </c>
      <c r="C155" s="70"/>
      <c r="D155" s="70"/>
      <c r="E155" s="71" t="s">
        <v>193</v>
      </c>
      <c r="H155" s="268">
        <v>33154</v>
      </c>
      <c r="I155" s="268"/>
      <c r="J155" s="268">
        <v>79088</v>
      </c>
      <c r="K155" s="73">
        <f>(H155)-J155</f>
        <v>-45934</v>
      </c>
      <c r="L155" s="267">
        <f>'[150]Daebo Gladstone'!$F$39</f>
        <v>1.03125</v>
      </c>
      <c r="M155" s="267">
        <f>'[150]Daebo Gladstone'!$F$39-'[150]Daebo Gladstone'!$F$35</f>
        <v>0.69791666666302876</v>
      </c>
      <c r="N155" s="281">
        <f>(H155)/L155</f>
        <v>32149.333333333332</v>
      </c>
      <c r="O155" s="281">
        <f>(H155)/M155</f>
        <v>47504.238806217763</v>
      </c>
      <c r="P155" s="280">
        <v>30000</v>
      </c>
      <c r="Q155" s="75">
        <f>(70861/10000)*8.7</f>
        <v>61.649069999999995</v>
      </c>
      <c r="R155" s="75">
        <f>(65194/10000)*8.7</f>
        <v>56.718779999999995</v>
      </c>
      <c r="S155" s="232">
        <f>Q155-R155</f>
        <v>4.9302899999999994</v>
      </c>
      <c r="T155" s="282">
        <f>S155/8.7*10000/(H155)</f>
        <v>0.17092960125475057</v>
      </c>
      <c r="U155" s="282">
        <f>S155/8.5*10000/(H155)</f>
        <v>0.17495147422545054</v>
      </c>
      <c r="V155" s="232"/>
      <c r="W155" s="236"/>
      <c r="Y155" s="279">
        <v>2.64</v>
      </c>
      <c r="Z155" s="278">
        <f t="shared" si="66"/>
        <v>87526.56</v>
      </c>
      <c r="AA155" s="239"/>
      <c r="AB155" s="290">
        <v>4072.1666667030454</v>
      </c>
      <c r="AC155" s="289" t="s">
        <v>70</v>
      </c>
    </row>
    <row r="156" spans="1:29" x14ac:dyDescent="0.3">
      <c r="E156" s="122" t="s">
        <v>89</v>
      </c>
      <c r="F156" s="123"/>
      <c r="G156" s="123"/>
      <c r="H156" s="277">
        <f>SUM(H142:H155)</f>
        <v>582424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6">
        <f>SUM(S142:S155)</f>
        <v>102.01185</v>
      </c>
      <c r="T156" s="271">
        <f>S156/8.7*10000/H156</f>
        <v>0.20132240429652623</v>
      </c>
      <c r="U156" s="276"/>
      <c r="V156" s="276"/>
      <c r="W156" s="275">
        <v>421875</v>
      </c>
      <c r="X156" s="22">
        <f>H156-W156</f>
        <v>160549</v>
      </c>
      <c r="Y156" s="22"/>
      <c r="Z156" s="274">
        <f>SUM(Z142:Z155)</f>
        <v>1648624.54</v>
      </c>
      <c r="AA156" s="274"/>
      <c r="AB156" s="273">
        <f>SUM(AB142:AB155)</f>
        <v>67589.250000276486</v>
      </c>
      <c r="AC156" s="273">
        <f>SUM(AC142:AC154)</f>
        <v>0</v>
      </c>
    </row>
    <row r="157" spans="1:29" x14ac:dyDescent="0.3">
      <c r="A157" s="146">
        <v>43434.791666666664</v>
      </c>
      <c r="B157" s="146">
        <v>43435.875</v>
      </c>
      <c r="C157" s="23"/>
      <c r="D157" s="23"/>
      <c r="E157" s="35" t="s">
        <v>171</v>
      </c>
      <c r="F157" s="36"/>
      <c r="G157" s="36"/>
      <c r="H157" s="269">
        <v>33689</v>
      </c>
      <c r="I157" s="269" t="s">
        <v>49</v>
      </c>
      <c r="J157" s="269">
        <v>72400</v>
      </c>
      <c r="K157" s="26">
        <f>(H157)-J157</f>
        <v>-38711</v>
      </c>
      <c r="L157" s="267">
        <f>'[152]Great Dragon 9'!$F$42</f>
        <v>1.0833333333357587</v>
      </c>
      <c r="M157" s="267">
        <f>'[152]Great Dragon 9'!$F$42-'[152]Great Dragon 9'!$F$38</f>
        <v>0.76215277779071289</v>
      </c>
      <c r="N157" s="266">
        <f>(H157)/L157</f>
        <v>31097.538461468841</v>
      </c>
      <c r="O157" s="266">
        <f>(H157)/M157</f>
        <v>44202.423689454816</v>
      </c>
      <c r="P157" s="265">
        <v>30000</v>
      </c>
      <c r="Q157" s="69">
        <f>(63045/10000)*8.7</f>
        <v>54.849149999999995</v>
      </c>
      <c r="R157" s="69">
        <f>(56815/10000)*8.7</f>
        <v>49.429049999999997</v>
      </c>
      <c r="S157" s="224">
        <f t="shared" ref="S157:S162" si="67">Q157-R157</f>
        <v>5.4200999999999979</v>
      </c>
      <c r="T157" s="288">
        <f>S157/8.7*10000/(H157)</f>
        <v>0.18492683071625748</v>
      </c>
      <c r="U157" s="288">
        <f>S157/8.5*10000/(H157)</f>
        <v>0.18927805026252234</v>
      </c>
      <c r="V157" s="224"/>
      <c r="Y157" s="287">
        <v>2.64</v>
      </c>
      <c r="Z157" s="262">
        <f t="shared" ref="Z157:Z174" si="68">H157*Y157</f>
        <v>88938.96</v>
      </c>
      <c r="AB157" s="262">
        <v>3608.1388887595376</v>
      </c>
      <c r="AC157" s="262"/>
    </row>
    <row r="158" spans="1:29" x14ac:dyDescent="0.3">
      <c r="A158" s="146">
        <v>43436.75</v>
      </c>
      <c r="B158" s="146">
        <v>43437.805555555555</v>
      </c>
      <c r="C158" s="23"/>
      <c r="D158" s="23"/>
      <c r="E158" s="35" t="s">
        <v>192</v>
      </c>
      <c r="F158" s="36"/>
      <c r="G158" s="36"/>
      <c r="H158" s="269">
        <v>34881</v>
      </c>
      <c r="I158" s="269" t="s">
        <v>100</v>
      </c>
      <c r="J158" s="269">
        <v>88000</v>
      </c>
      <c r="K158" s="26">
        <f>(H158)-J158</f>
        <v>-53119</v>
      </c>
      <c r="L158" s="267">
        <f>'[152]Ocean Sapphire'!$F$41</f>
        <v>1.0555555555547471</v>
      </c>
      <c r="M158" s="267">
        <f>'[152]Ocean Sapphire'!$F$41-'[152]Ocean Sapphire'!$F$37</f>
        <v>0.76562500000606337</v>
      </c>
      <c r="N158" s="266">
        <f>(H158)/L158</f>
        <v>33045.157894762153</v>
      </c>
      <c r="O158" s="266">
        <f>(H158)/M158</f>
        <v>45558.857142496337</v>
      </c>
      <c r="P158" s="265">
        <v>30000</v>
      </c>
      <c r="Q158" s="69">
        <f>(178737/10000)*8.7</f>
        <v>155.50118999999998</v>
      </c>
      <c r="R158" s="69">
        <f>(172580/10000)*8.7</f>
        <v>150.14459999999997</v>
      </c>
      <c r="S158" s="224">
        <f t="shared" si="67"/>
        <v>5.3565900000000113</v>
      </c>
      <c r="T158" s="288">
        <f>S158/8.7*10000/(H158)</f>
        <v>0.17651443479258089</v>
      </c>
      <c r="U158" s="288">
        <f>S158/8.5*10000/(H158)</f>
        <v>0.18066771561122982</v>
      </c>
      <c r="V158" s="224"/>
      <c r="Y158" s="287">
        <v>2.64</v>
      </c>
      <c r="Z158" s="262">
        <f t="shared" si="68"/>
        <v>92085.840000000011</v>
      </c>
      <c r="AB158" s="262">
        <v>3970.7499999393672</v>
      </c>
      <c r="AC158" s="262"/>
    </row>
    <row r="159" spans="1:29" x14ac:dyDescent="0.3">
      <c r="A159" s="146">
        <v>43438.489583333336</v>
      </c>
      <c r="B159" s="146">
        <v>43439.069444444445</v>
      </c>
      <c r="C159" s="23"/>
      <c r="D159" s="23"/>
      <c r="E159" s="35" t="s">
        <v>173</v>
      </c>
      <c r="F159" s="36"/>
      <c r="G159" s="36"/>
      <c r="H159" s="269">
        <v>18535</v>
      </c>
      <c r="I159" s="269" t="s">
        <v>33</v>
      </c>
      <c r="J159" s="269">
        <v>62005</v>
      </c>
      <c r="K159" s="268">
        <f>(H159)-J159</f>
        <v>-43470</v>
      </c>
      <c r="L159" s="267">
        <f>'[152]Genco Knight'!$F$33</f>
        <v>0.57986111110949423</v>
      </c>
      <c r="M159" s="267">
        <f>'[152]Genco Knight'!$F$33-'[152]Genco Knight'!$F$29</f>
        <v>0.41666666665211471</v>
      </c>
      <c r="N159" s="266">
        <f>(H159)/L159</f>
        <v>31964.550898292724</v>
      </c>
      <c r="O159" s="266">
        <f>(H159)/M159</f>
        <v>44484.000001553592</v>
      </c>
      <c r="P159" s="265">
        <v>30000</v>
      </c>
      <c r="Q159" s="69">
        <f>(170651/10000)*8.7</f>
        <v>148.46636999999998</v>
      </c>
      <c r="R159" s="69">
        <f>(167237/10000)*8.7</f>
        <v>145.49618999999998</v>
      </c>
      <c r="S159" s="224">
        <f t="shared" si="67"/>
        <v>2.9701799999999992</v>
      </c>
      <c r="T159" s="288">
        <f>S159/8.7*10000/(H159)</f>
        <v>0.18419206905853786</v>
      </c>
      <c r="U159" s="288">
        <f>S159/8.5*10000/(H159)</f>
        <v>0.18852600009520934</v>
      </c>
      <c r="V159" s="224"/>
      <c r="Y159" s="287">
        <v>2.64</v>
      </c>
      <c r="Z159" s="262">
        <f t="shared" si="68"/>
        <v>48932.4</v>
      </c>
      <c r="AB159" s="262">
        <v>2011.6666668121863</v>
      </c>
      <c r="AC159" s="262"/>
    </row>
    <row r="160" spans="1:29" x14ac:dyDescent="0.3">
      <c r="A160" s="146">
        <v>43440.895833333336</v>
      </c>
      <c r="B160" s="146">
        <v>43442.3125</v>
      </c>
      <c r="C160" s="23"/>
      <c r="D160" s="23"/>
      <c r="E160" s="35" t="s">
        <v>175</v>
      </c>
      <c r="F160" s="36"/>
      <c r="G160" s="36"/>
      <c r="H160" s="269">
        <v>33249</v>
      </c>
      <c r="I160" s="269" t="s">
        <v>33</v>
      </c>
      <c r="J160" s="269">
        <v>68400</v>
      </c>
      <c r="K160" s="268">
        <f>(H160)-J160</f>
        <v>-35151</v>
      </c>
      <c r="L160" s="267">
        <f>B160-A160</f>
        <v>1.4166666666642413</v>
      </c>
      <c r="M160" s="267">
        <f>[152]Evermerit!$F$49-[152]Evermerit!$F$45</f>
        <v>0.74652777776160895</v>
      </c>
      <c r="N160" s="266">
        <f>(H160)/L160</f>
        <v>23469.882352981356</v>
      </c>
      <c r="O160" s="266">
        <f>(H160)/M160</f>
        <v>44538.195349801848</v>
      </c>
      <c r="P160" s="265">
        <v>30000</v>
      </c>
      <c r="Q160" s="69">
        <f>(163419/10000)*8.7</f>
        <v>142.17452999999998</v>
      </c>
      <c r="R160" s="69">
        <f>(155940/10000)*8.7</f>
        <v>135.66779999999997</v>
      </c>
      <c r="S160" s="224">
        <f t="shared" si="67"/>
        <v>6.5067300000000046</v>
      </c>
      <c r="T160" s="288">
        <f>S160/8.7*10000/(H160)</f>
        <v>0.2249390959126592</v>
      </c>
      <c r="U160" s="288">
        <f>S160/8.5*10000/(H160)</f>
        <v>0.23023178052236881</v>
      </c>
      <c r="V160" s="224"/>
      <c r="Y160" s="287">
        <v>2.64</v>
      </c>
      <c r="Z160" s="262">
        <f t="shared" si="68"/>
        <v>87777.36</v>
      </c>
      <c r="AB160" s="262">
        <v>3617.7222223839112</v>
      </c>
      <c r="AC160" s="262"/>
    </row>
    <row r="161" spans="1:29" x14ac:dyDescent="0.3">
      <c r="A161" s="146">
        <v>43443.833333333336</v>
      </c>
      <c r="B161" s="146">
        <v>43446.777777777781</v>
      </c>
      <c r="C161" s="23"/>
      <c r="D161" s="23"/>
      <c r="E161" s="35" t="s">
        <v>177</v>
      </c>
      <c r="F161" s="36"/>
      <c r="G161" s="36"/>
      <c r="H161" s="269">
        <v>77271</v>
      </c>
      <c r="I161" s="269" t="s">
        <v>49</v>
      </c>
      <c r="J161" s="269">
        <v>163050</v>
      </c>
      <c r="K161" s="268">
        <f>(H161)-J161</f>
        <v>-85779</v>
      </c>
      <c r="L161" s="267">
        <f>'[152]Cape Istanbul'!$F$72</f>
        <v>2.9444444444452529</v>
      </c>
      <c r="M161" s="267">
        <f>'[152]Cape Istanbul'!$F$72-'[152]Cape Istanbul'!$F$68</f>
        <v>1.543402777776161</v>
      </c>
      <c r="N161" s="266">
        <f>(H161)/L161</f>
        <v>26242.981132068267</v>
      </c>
      <c r="O161" s="266">
        <f>(H161)/M161</f>
        <v>50065.34983132354</v>
      </c>
      <c r="P161" s="265">
        <v>30000</v>
      </c>
      <c r="Q161" s="69">
        <f>(152461/10000)*8.7</f>
        <v>132.64106999999998</v>
      </c>
      <c r="R161" s="69">
        <f>(136239/10000)*8.7</f>
        <v>118.52793</v>
      </c>
      <c r="S161" s="224">
        <f t="shared" si="67"/>
        <v>14.113139999999987</v>
      </c>
      <c r="T161" s="288">
        <f>S161/8.7*10000/(H161)</f>
        <v>0.20993645740316533</v>
      </c>
      <c r="U161" s="288">
        <f>S161/8.5*10000/(H161)</f>
        <v>0.21487613875382799</v>
      </c>
      <c r="V161" s="224"/>
      <c r="Y161" s="287">
        <v>2.64</v>
      </c>
      <c r="Z161" s="262">
        <f t="shared" si="68"/>
        <v>203995.44</v>
      </c>
      <c r="AB161" s="262">
        <v>10322.97222223839</v>
      </c>
      <c r="AC161" s="262"/>
    </row>
    <row r="162" spans="1:29" x14ac:dyDescent="0.3">
      <c r="A162" s="146">
        <v>43448.041666666664</v>
      </c>
      <c r="B162" s="146">
        <v>43448.868055555555</v>
      </c>
      <c r="C162" s="23"/>
      <c r="D162" s="23"/>
      <c r="E162" s="35" t="s">
        <v>179</v>
      </c>
      <c r="F162" s="36"/>
      <c r="G162" s="36"/>
      <c r="H162" s="269">
        <f>26291-H163</f>
        <v>19666</v>
      </c>
      <c r="I162" s="269" t="s">
        <v>49</v>
      </c>
      <c r="J162" s="269">
        <v>75326</v>
      </c>
      <c r="K162" s="268">
        <f>(H162+H163)-J162</f>
        <v>-49035</v>
      </c>
      <c r="L162" s="267">
        <f>'[152]Xing Le Hai'!$F$37</f>
        <v>0.82638888889050577</v>
      </c>
      <c r="M162" s="267">
        <f>'[152]Xing Le Hai'!$F$37-'[152]Xing Le Hai'!$F$33</f>
        <v>0.54513888889293116</v>
      </c>
      <c r="N162" s="266">
        <f>(H162+H163)/L162</f>
        <v>31814.319327668847</v>
      </c>
      <c r="O162" s="266">
        <f>(H162+H163)/M162</f>
        <v>48228.076432763402</v>
      </c>
      <c r="P162" s="265">
        <v>30000</v>
      </c>
      <c r="Q162" s="69">
        <f>(133121/10000)*8.7</f>
        <v>115.81526999999998</v>
      </c>
      <c r="R162" s="69">
        <f>(128536/10000)*8.7</f>
        <v>111.82632</v>
      </c>
      <c r="S162" s="224">
        <f t="shared" si="67"/>
        <v>3.9889499999999884</v>
      </c>
      <c r="T162" s="288">
        <f>S162/8.7*10000/(H162+H163)</f>
        <v>0.17439427941120486</v>
      </c>
      <c r="U162" s="288">
        <f>S162/8.5*10000/(H162+H163)</f>
        <v>0.17849767422088025</v>
      </c>
      <c r="V162" s="224"/>
      <c r="Y162" s="287">
        <v>2.64</v>
      </c>
      <c r="Z162" s="262">
        <f t="shared" si="68"/>
        <v>51918.240000000005</v>
      </c>
      <c r="AB162" s="262">
        <v>3312.2777777373549</v>
      </c>
      <c r="AC162" s="262"/>
    </row>
    <row r="163" spans="1:29" x14ac:dyDescent="0.3">
      <c r="A163" s="146"/>
      <c r="B163" s="146"/>
      <c r="C163" s="23"/>
      <c r="D163" s="23"/>
      <c r="E163" s="35" t="s">
        <v>191</v>
      </c>
      <c r="F163" s="36"/>
      <c r="G163" s="36"/>
      <c r="H163" s="269">
        <v>6625</v>
      </c>
      <c r="I163" s="269"/>
      <c r="J163" s="269"/>
      <c r="K163" s="268"/>
      <c r="L163" s="267"/>
      <c r="M163" s="267"/>
      <c r="N163" s="266"/>
      <c r="O163" s="266"/>
      <c r="P163" s="265"/>
      <c r="Q163" s="69"/>
      <c r="R163" s="69"/>
      <c r="S163" s="224"/>
      <c r="T163" s="288"/>
      <c r="U163" s="288"/>
      <c r="V163" s="224"/>
      <c r="Y163" s="287">
        <v>6.5</v>
      </c>
      <c r="Z163" s="262">
        <f t="shared" si="68"/>
        <v>43062.5</v>
      </c>
      <c r="AB163" s="262"/>
      <c r="AC163" s="262"/>
    </row>
    <row r="164" spans="1:29" x14ac:dyDescent="0.3">
      <c r="A164" s="146">
        <v>43449.71875</v>
      </c>
      <c r="B164" s="146">
        <v>43451.354166666664</v>
      </c>
      <c r="C164" s="23"/>
      <c r="D164" s="23"/>
      <c r="E164" s="35" t="s">
        <v>190</v>
      </c>
      <c r="F164" s="36"/>
      <c r="G164" s="36"/>
      <c r="H164" s="269">
        <f>51637-H165</f>
        <v>44662</v>
      </c>
      <c r="I164" s="269" t="s">
        <v>33</v>
      </c>
      <c r="J164" s="269">
        <v>70201</v>
      </c>
      <c r="K164" s="268">
        <f>(H164)-J164</f>
        <v>-25539</v>
      </c>
      <c r="L164" s="267">
        <f>B164-A164</f>
        <v>1.6354166666642413</v>
      </c>
      <c r="M164" s="267">
        <f>'[152]Wei Qin'!$F$49-'[152]Wei Qin'!$F$45</f>
        <v>1.1076388888711031</v>
      </c>
      <c r="N164" s="266">
        <f>(H164+H165)/L164</f>
        <v>31574.216560556379</v>
      </c>
      <c r="O164" s="266">
        <f>(H164+H165)/M164</f>
        <v>46618.984326767386</v>
      </c>
      <c r="P164" s="265">
        <v>30000</v>
      </c>
      <c r="Q164" s="69">
        <f>(126381/10000)*8.7</f>
        <v>109.95146999999999</v>
      </c>
      <c r="R164" s="69">
        <f>(116977/10000)*8.7</f>
        <v>101.76998999999999</v>
      </c>
      <c r="S164" s="224">
        <f>Q164-R164</f>
        <v>8.1814799999999934</v>
      </c>
      <c r="T164" s="288">
        <f>S164/8.7*10000/(H164+H165)</f>
        <v>0.18211747390437075</v>
      </c>
      <c r="U164" s="288">
        <f>S164/8.5*10000/(H164+H165)</f>
        <v>0.18640259093741476</v>
      </c>
      <c r="V164" s="224"/>
      <c r="Y164" s="287">
        <v>2.64</v>
      </c>
      <c r="Z164" s="262">
        <f t="shared" si="68"/>
        <v>117907.68000000001</v>
      </c>
      <c r="AB164" s="262">
        <v>6135.9444446223033</v>
      </c>
      <c r="AC164" s="262"/>
    </row>
    <row r="165" spans="1:29" x14ac:dyDescent="0.3">
      <c r="A165" s="146"/>
      <c r="B165" s="146"/>
      <c r="C165" s="23"/>
      <c r="D165" s="23"/>
      <c r="E165" s="35" t="s">
        <v>189</v>
      </c>
      <c r="F165" s="36"/>
      <c r="G165" s="36"/>
      <c r="H165" s="269">
        <v>6975</v>
      </c>
      <c r="I165" s="269"/>
      <c r="J165" s="269"/>
      <c r="K165" s="268"/>
      <c r="L165" s="267"/>
      <c r="M165" s="267"/>
      <c r="N165" s="266"/>
      <c r="O165" s="266"/>
      <c r="P165" s="265"/>
      <c r="Q165" s="69"/>
      <c r="R165" s="69"/>
      <c r="S165" s="224"/>
      <c r="T165" s="288"/>
      <c r="U165" s="288"/>
      <c r="V165" s="224"/>
      <c r="Y165" s="287">
        <v>6.5</v>
      </c>
      <c r="Z165" s="262">
        <f t="shared" si="68"/>
        <v>45337.5</v>
      </c>
      <c r="AB165" s="262"/>
      <c r="AC165" s="262"/>
    </row>
    <row r="166" spans="1:29" x14ac:dyDescent="0.3">
      <c r="A166" s="146">
        <v>43452.333333333336</v>
      </c>
      <c r="B166" s="146">
        <v>43454.680555555555</v>
      </c>
      <c r="C166" s="23"/>
      <c r="D166" s="23"/>
      <c r="E166" s="35" t="s">
        <v>188</v>
      </c>
      <c r="F166" s="36"/>
      <c r="G166" s="36"/>
      <c r="H166" s="269">
        <v>54882</v>
      </c>
      <c r="I166" s="269" t="s">
        <v>49</v>
      </c>
      <c r="J166" s="269">
        <v>54985</v>
      </c>
      <c r="K166" s="268">
        <f>(H166)-J166</f>
        <v>-103</v>
      </c>
      <c r="L166" s="267">
        <f>B166-A166</f>
        <v>2.3472222222189885</v>
      </c>
      <c r="M166" s="267">
        <f>[152]Antoine!$F$45-[152]Antoine!$F$41</f>
        <v>1.1458333333309081</v>
      </c>
      <c r="N166" s="266">
        <f>(H166)/L166</f>
        <v>23381.680473404995</v>
      </c>
      <c r="O166" s="266">
        <f>(H166)/M166</f>
        <v>47897.018181919557</v>
      </c>
      <c r="P166" s="265">
        <v>30000</v>
      </c>
      <c r="Q166" s="69">
        <f>(239199/10000)*8.7</f>
        <v>208.10312999999996</v>
      </c>
      <c r="R166" s="69">
        <f>(227454/10000)*8.7</f>
        <v>197.88497999999998</v>
      </c>
      <c r="S166" s="224">
        <f>Q166-R166</f>
        <v>10.21814999999998</v>
      </c>
      <c r="T166" s="288">
        <f>S166/8.7*10000/(H166)</f>
        <v>0.21400459166939942</v>
      </c>
      <c r="U166" s="288">
        <f>S166/8.5*10000/(H166)</f>
        <v>0.21903999382632641</v>
      </c>
      <c r="V166" s="224"/>
      <c r="Y166" s="287">
        <v>2.64</v>
      </c>
      <c r="Z166" s="262">
        <f t="shared" si="68"/>
        <v>144888.48000000001</v>
      </c>
      <c r="AB166" s="262">
        <v>6835.6666666909186</v>
      </c>
      <c r="AC166" s="262"/>
    </row>
    <row r="167" spans="1:29" x14ac:dyDescent="0.3">
      <c r="A167" s="146">
        <v>43455.635416666664</v>
      </c>
      <c r="B167" s="146">
        <v>43456.333333333336</v>
      </c>
      <c r="C167" s="23"/>
      <c r="D167" s="23"/>
      <c r="E167" s="35" t="s">
        <v>38</v>
      </c>
      <c r="F167" s="36"/>
      <c r="G167" s="36"/>
      <c r="H167" s="269">
        <v>22802</v>
      </c>
      <c r="I167" s="269" t="s">
        <v>40</v>
      </c>
      <c r="J167" s="269">
        <v>86157</v>
      </c>
      <c r="K167" s="268">
        <f>(H167)-J167</f>
        <v>-63355</v>
      </c>
      <c r="L167" s="267">
        <f>'[152]Taipower Prosperity I'!$F$32</f>
        <v>0.69791666667151731</v>
      </c>
      <c r="M167" s="267">
        <f>'[152]Taipower Prosperity I'!$F$32-'[152]Taipower Prosperity I'!$F$28</f>
        <v>0.46180555556566105</v>
      </c>
      <c r="N167" s="266">
        <f>(H167)/L167</f>
        <v>32671.522387832629</v>
      </c>
      <c r="O167" s="266">
        <f>(H167)/M167</f>
        <v>49375.759397415772</v>
      </c>
      <c r="P167" s="265">
        <v>30000</v>
      </c>
      <c r="Q167" s="69">
        <f>(225222/10000)*8.7</f>
        <v>195.94314</v>
      </c>
      <c r="R167" s="69">
        <f>(221317/10000)*8.7</f>
        <v>192.54578999999998</v>
      </c>
      <c r="S167" s="224">
        <f>Q167-R167</f>
        <v>3.3973500000000172</v>
      </c>
      <c r="T167" s="288">
        <f>S167/8.7*10000/(H167)</f>
        <v>0.17125690728883519</v>
      </c>
      <c r="U167" s="288">
        <f>S167/8.5*10000/(H167)</f>
        <v>0.17528648157798424</v>
      </c>
      <c r="V167" s="224"/>
      <c r="Y167" s="287">
        <v>2.64</v>
      </c>
      <c r="Z167" s="262">
        <f t="shared" si="68"/>
        <v>60197.280000000006</v>
      </c>
      <c r="AB167" s="262">
        <v>2982.611111010056</v>
      </c>
      <c r="AC167" s="262"/>
    </row>
    <row r="168" spans="1:29" x14ac:dyDescent="0.3">
      <c r="A168" s="146">
        <v>43456.833333333336</v>
      </c>
      <c r="B168" s="146">
        <v>43458.3125</v>
      </c>
      <c r="C168" s="23"/>
      <c r="D168" s="23"/>
      <c r="E168" s="35" t="s">
        <v>187</v>
      </c>
      <c r="F168" s="36"/>
      <c r="G168" s="36"/>
      <c r="H168" s="269">
        <v>41766</v>
      </c>
      <c r="I168" s="269" t="s">
        <v>33</v>
      </c>
      <c r="J168" s="269">
        <v>74376</v>
      </c>
      <c r="K168" s="268">
        <f>(H168)-J168</f>
        <v>-32610</v>
      </c>
      <c r="L168" s="267">
        <f>[152]Aquaman!$F$47</f>
        <v>1.4791666666642413</v>
      </c>
      <c r="M168" s="267">
        <f>[152]Aquaman!$F$47-[152]Aquaman!$F$43</f>
        <v>0.8159722222286897</v>
      </c>
      <c r="N168" s="266">
        <f>(H168)/L168</f>
        <v>28236.169014130806</v>
      </c>
      <c r="O168" s="266">
        <f>(H168)/M168</f>
        <v>51185.565957041108</v>
      </c>
      <c r="P168" s="265">
        <v>30000</v>
      </c>
      <c r="Q168" s="69">
        <f>(219742/10000)*8.7</f>
        <v>191.17553999999998</v>
      </c>
      <c r="R168" s="69">
        <f>(211821/10000)*8.7</f>
        <v>184.28426999999996</v>
      </c>
      <c r="S168" s="224">
        <f>Q168-R168</f>
        <v>6.89127000000002</v>
      </c>
      <c r="T168" s="288">
        <f>S168/8.7*10000/(H168)</f>
        <v>0.18965186994205871</v>
      </c>
      <c r="U168" s="288">
        <f>S168/8.5*10000/(H168)</f>
        <v>0.19411426688187183</v>
      </c>
      <c r="V168" s="224"/>
      <c r="Y168" s="287">
        <v>2.64</v>
      </c>
      <c r="Z168" s="262">
        <f t="shared" si="68"/>
        <v>110262.24</v>
      </c>
      <c r="AB168" s="262">
        <v>5762.2777777131041</v>
      </c>
      <c r="AC168" s="262"/>
    </row>
    <row r="169" spans="1:29" s="237" customFormat="1" x14ac:dyDescent="0.3">
      <c r="A169" s="228">
        <v>43459.833333333336</v>
      </c>
      <c r="B169" s="228">
        <v>43460.854166666664</v>
      </c>
      <c r="C169" s="70"/>
      <c r="D169" s="70"/>
      <c r="E169" s="71" t="s">
        <v>186</v>
      </c>
      <c r="F169" s="229"/>
      <c r="G169" s="229"/>
      <c r="H169" s="268">
        <v>26872</v>
      </c>
      <c r="I169" s="268"/>
      <c r="J169" s="268">
        <v>49408</v>
      </c>
      <c r="K169" s="268">
        <f>(H169)-J169</f>
        <v>-22536</v>
      </c>
      <c r="L169" s="267">
        <f>'[152]Navios Astra'!$F$37</f>
        <v>1.0208333333284827</v>
      </c>
      <c r="M169" s="267">
        <f>'[152]Navios Astra'!$F$37-'[152]Navios Astra'!$F$33</f>
        <v>0.74305555554989655</v>
      </c>
      <c r="N169" s="281">
        <f>(H169+H170)/L169</f>
        <v>26467.591836860458</v>
      </c>
      <c r="O169" s="281">
        <f>(H169+H170)/M169</f>
        <v>36362.018691865713</v>
      </c>
      <c r="P169" s="280">
        <v>30000</v>
      </c>
      <c r="Q169" s="75">
        <f>(208343/10000)*8.7</f>
        <v>181.25840999999997</v>
      </c>
      <c r="R169" s="75">
        <f>(202152/10000)*8.7</f>
        <v>175.87223999999998</v>
      </c>
      <c r="S169" s="232">
        <f>Q169-R169</f>
        <v>5.3861699999999928</v>
      </c>
      <c r="T169" s="282">
        <f>S169/8.7*10000/(H169)</f>
        <v>0.23038850848466774</v>
      </c>
      <c r="U169" s="282">
        <f>S169/8.5*10000/(H169)</f>
        <v>0.23580941456665996</v>
      </c>
      <c r="V169" s="232"/>
      <c r="W169" s="236"/>
      <c r="Y169" s="279">
        <v>2.64</v>
      </c>
      <c r="Z169" s="278">
        <f t="shared" si="68"/>
        <v>70942.080000000002</v>
      </c>
      <c r="AA169" s="239"/>
      <c r="AB169" s="262">
        <v>1575.7777778343673</v>
      </c>
      <c r="AC169" s="278"/>
    </row>
    <row r="170" spans="1:29" s="237" customFormat="1" x14ac:dyDescent="0.3">
      <c r="A170" s="228"/>
      <c r="B170" s="228"/>
      <c r="C170" s="70"/>
      <c r="D170" s="70"/>
      <c r="E170" s="71" t="s">
        <v>186</v>
      </c>
      <c r="F170" s="229"/>
      <c r="G170" s="229"/>
      <c r="H170" s="268">
        <v>147</v>
      </c>
      <c r="I170" s="268"/>
      <c r="J170" s="268"/>
      <c r="K170" s="268"/>
      <c r="L170" s="267"/>
      <c r="M170" s="267"/>
      <c r="N170" s="281"/>
      <c r="O170" s="281"/>
      <c r="P170" s="280"/>
      <c r="Q170" s="75"/>
      <c r="R170" s="75"/>
      <c r="S170" s="232"/>
      <c r="T170" s="282"/>
      <c r="U170" s="282"/>
      <c r="V170" s="232"/>
      <c r="W170" s="236"/>
      <c r="Y170" s="279">
        <v>2.64</v>
      </c>
      <c r="Z170" s="278">
        <f t="shared" si="68"/>
        <v>388.08000000000004</v>
      </c>
      <c r="AA170" s="239"/>
      <c r="AB170" s="262"/>
      <c r="AC170" s="278"/>
    </row>
    <row r="171" spans="1:29" s="283" customFormat="1" x14ac:dyDescent="0.3">
      <c r="A171" s="228">
        <v>43461.229166666664</v>
      </c>
      <c r="B171" s="228">
        <v>43462.708333333336</v>
      </c>
      <c r="C171" s="70"/>
      <c r="D171" s="70"/>
      <c r="E171" s="71" t="s">
        <v>180</v>
      </c>
      <c r="F171" s="229"/>
      <c r="G171" s="229"/>
      <c r="H171" s="268">
        <v>47330</v>
      </c>
      <c r="I171" s="268"/>
      <c r="J171" s="268">
        <v>74875</v>
      </c>
      <c r="K171" s="268">
        <f>(H171)-J171</f>
        <v>-27545</v>
      </c>
      <c r="L171" s="267">
        <f>'[152]Odysseas L'!$F$46</f>
        <v>1.4791666666715173</v>
      </c>
      <c r="M171" s="267">
        <f>'[152]Odysseas L'!$F$46-'[152]Odysseas L'!$F$42</f>
        <v>0.97222222223960364</v>
      </c>
      <c r="N171" s="281">
        <f>(H171)/L171</f>
        <v>31997.746478768309</v>
      </c>
      <c r="O171" s="281">
        <f>(H171)/M171</f>
        <v>48682.285713415367</v>
      </c>
      <c r="P171" s="280">
        <v>30000</v>
      </c>
      <c r="Q171" s="75">
        <f>(201297/10000)*8.7</f>
        <v>175.12839</v>
      </c>
      <c r="R171" s="75">
        <f>(195136/10000)*8.7</f>
        <v>169.76831999999999</v>
      </c>
      <c r="S171" s="232">
        <f>Q171-R171</f>
        <v>5.3600700000000074</v>
      </c>
      <c r="T171" s="282">
        <f>S171/8.7*10000/(H171)</f>
        <v>0.13017113881259262</v>
      </c>
      <c r="U171" s="282">
        <f>S171/8.5*10000/(H171)</f>
        <v>0.13323398913759479</v>
      </c>
      <c r="V171" s="232"/>
      <c r="W171" s="286"/>
      <c r="Y171" s="279">
        <v>2.64</v>
      </c>
      <c r="Z171" s="278">
        <f t="shared" si="68"/>
        <v>124951.20000000001</v>
      </c>
      <c r="AA171" s="285"/>
      <c r="AB171" s="262">
        <v>6054.4444442706317</v>
      </c>
      <c r="AC171" s="284"/>
    </row>
    <row r="172" spans="1:29" s="237" customFormat="1" x14ac:dyDescent="0.3">
      <c r="A172" s="228">
        <v>43462.989583333336</v>
      </c>
      <c r="B172" s="228">
        <v>43463.333333333336</v>
      </c>
      <c r="C172" s="70"/>
      <c r="D172" s="70"/>
      <c r="E172" s="71" t="s">
        <v>185</v>
      </c>
      <c r="F172" s="229"/>
      <c r="G172" s="229"/>
      <c r="H172" s="268">
        <v>12793</v>
      </c>
      <c r="I172" s="268"/>
      <c r="J172" s="268">
        <v>58090</v>
      </c>
      <c r="K172" s="268">
        <f>(H172)-J172</f>
        <v>-45297</v>
      </c>
      <c r="L172" s="267">
        <f>'[152]Alpha Afovos'!$F$29</f>
        <v>0.34375</v>
      </c>
      <c r="M172" s="267">
        <f>'[152]Alpha Afovos'!$F$29-'[152]Alpha Afovos'!$F$25</f>
        <v>0.30555555555717245</v>
      </c>
      <c r="N172" s="281">
        <f>(H172)/L172</f>
        <v>37216</v>
      </c>
      <c r="O172" s="281">
        <f>(H172)/M172</f>
        <v>41867.999999778447</v>
      </c>
      <c r="P172" s="280">
        <v>30000</v>
      </c>
      <c r="Q172" s="75">
        <f>(194645/10000)*8.7</f>
        <v>169.34115</v>
      </c>
      <c r="R172" s="75">
        <f>(192395/10000)*8.7</f>
        <v>167.38364999999999</v>
      </c>
      <c r="S172" s="232">
        <f>Q172-R172</f>
        <v>1.9575000000000102</v>
      </c>
      <c r="T172" s="282">
        <f>S172/8.7*10000/(H172)</f>
        <v>0.17587743297115702</v>
      </c>
      <c r="U172" s="282">
        <f>S172/8.5*10000/(H172)</f>
        <v>0.18001572551165484</v>
      </c>
      <c r="V172" s="232"/>
      <c r="W172" s="236"/>
      <c r="Y172" s="279">
        <v>2.64</v>
      </c>
      <c r="Z172" s="278">
        <f t="shared" si="68"/>
        <v>33773.520000000004</v>
      </c>
      <c r="AA172" s="239"/>
      <c r="AB172" s="262">
        <v>1208.7777777616088</v>
      </c>
      <c r="AC172" s="278"/>
    </row>
    <row r="173" spans="1:29" s="237" customFormat="1" x14ac:dyDescent="0.3">
      <c r="A173" s="228">
        <v>43463.684027777781</v>
      </c>
      <c r="B173" s="228">
        <v>43465.888888888891</v>
      </c>
      <c r="C173" s="70"/>
      <c r="D173" s="70"/>
      <c r="E173" s="71" t="s">
        <v>184</v>
      </c>
      <c r="F173" s="229"/>
      <c r="G173" s="229"/>
      <c r="H173" s="268">
        <f>60711-H174</f>
        <v>53589</v>
      </c>
      <c r="I173" s="268"/>
      <c r="J173" s="268">
        <v>73895</v>
      </c>
      <c r="K173" s="268">
        <f>(H173)-J173</f>
        <v>-20306</v>
      </c>
      <c r="L173" s="267">
        <f>B173-A173</f>
        <v>2.2048611111094942</v>
      </c>
      <c r="M173" s="267">
        <f>[152]Tasmania!$F$53-[152]Tasmania!$F$49</f>
        <v>1.1250000000169773</v>
      </c>
      <c r="N173" s="281">
        <f>(H173+H174)/L173</f>
        <v>27535.067716555626</v>
      </c>
      <c r="O173" s="281">
        <f>(H173+H174)/M173</f>
        <v>53965.333332518945</v>
      </c>
      <c r="P173" s="280">
        <v>30000</v>
      </c>
      <c r="Q173" s="75">
        <f>(191812/10000)*8.7</f>
        <v>166.87644</v>
      </c>
      <c r="R173" s="75">
        <f>(180849/10000)*8.7</f>
        <v>157.33862999999999</v>
      </c>
      <c r="S173" s="232">
        <f>Q173-R173</f>
        <v>9.5378100000000074</v>
      </c>
      <c r="T173" s="282">
        <f>S173/8.7*10000/(H173)</f>
        <v>0.20457556588105785</v>
      </c>
      <c r="U173" s="282">
        <f>S173/8.5*10000/(H173)</f>
        <v>0.20938910860767093</v>
      </c>
      <c r="V173" s="232"/>
      <c r="W173" s="236"/>
      <c r="Y173" s="279">
        <v>2.64</v>
      </c>
      <c r="Z173" s="278">
        <f t="shared" si="68"/>
        <v>141474.96000000002</v>
      </c>
      <c r="AA173" s="239"/>
      <c r="AB173" s="262">
        <v>8986.9999998302246</v>
      </c>
      <c r="AC173" s="278"/>
    </row>
    <row r="174" spans="1:29" s="237" customFormat="1" x14ac:dyDescent="0.3">
      <c r="A174" s="70"/>
      <c r="B174" s="70"/>
      <c r="C174" s="70"/>
      <c r="D174" s="70"/>
      <c r="E174" s="71" t="s">
        <v>183</v>
      </c>
      <c r="F174" s="229"/>
      <c r="G174" s="229"/>
      <c r="H174" s="268">
        <v>7122</v>
      </c>
      <c r="I174" s="268"/>
      <c r="J174" s="268"/>
      <c r="K174" s="268"/>
      <c r="L174" s="267"/>
      <c r="M174" s="267"/>
      <c r="N174" s="281"/>
      <c r="O174" s="281"/>
      <c r="P174" s="280"/>
      <c r="Q174" s="71"/>
      <c r="R174" s="71"/>
      <c r="S174" s="232"/>
      <c r="T174" s="232"/>
      <c r="U174" s="232"/>
      <c r="V174" s="232"/>
      <c r="W174" s="236"/>
      <c r="Y174" s="279">
        <v>6.5</v>
      </c>
      <c r="Z174" s="278">
        <f t="shared" si="68"/>
        <v>46293</v>
      </c>
      <c r="AA174" s="239"/>
      <c r="AB174" s="262"/>
      <c r="AC174" s="278"/>
    </row>
    <row r="175" spans="1:29" x14ac:dyDescent="0.3">
      <c r="E175" s="122" t="s">
        <v>95</v>
      </c>
      <c r="F175" s="123"/>
      <c r="G175" s="123"/>
      <c r="H175" s="277">
        <f>SUM(H157:H174)</f>
        <v>542856</v>
      </c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6">
        <f>SUM(S157:S173)</f>
        <v>89.28549000000001</v>
      </c>
      <c r="T175" s="271">
        <f>S175/8.7*10000/H175</f>
        <v>0.18905013484238919</v>
      </c>
      <c r="U175" s="276"/>
      <c r="V175" s="276"/>
      <c r="W175" s="275">
        <v>421875</v>
      </c>
      <c r="X175" s="22">
        <f>H175-W175</f>
        <v>120981</v>
      </c>
      <c r="Y175" s="22"/>
      <c r="Z175" s="274">
        <f>SUM(Z157:Z174)</f>
        <v>1513126.7600000002</v>
      </c>
      <c r="AA175" s="274"/>
      <c r="AB175" s="273">
        <f>SUM(AB157:AB173)</f>
        <v>66386.027777603958</v>
      </c>
      <c r="AC175" s="273">
        <f>SUM(AC156:AC160)</f>
        <v>0</v>
      </c>
    </row>
    <row r="177" spans="1:30" x14ac:dyDescent="0.3">
      <c r="A177" s="146"/>
      <c r="B177" s="146"/>
      <c r="L177" s="272"/>
    </row>
    <row r="178" spans="1:30" x14ac:dyDescent="0.3">
      <c r="E178" s="35" t="s">
        <v>182</v>
      </c>
      <c r="F178" s="36"/>
      <c r="G178" s="36"/>
      <c r="H178" s="269">
        <f>SUM(H20,H28,H42,H52,H64,H78,H90,H104,H121,H141,H156,H175)</f>
        <v>5667716</v>
      </c>
      <c r="S178" s="270">
        <f>(S175/8.7*10000)/H175</f>
        <v>0.18905013484238919</v>
      </c>
      <c r="T178" s="271">
        <f>AVERAGE(T20,T28,T42,T52,T64,T78,T90,T104,T121,T141,T156,T175)</f>
        <v>0.20275802806241758</v>
      </c>
      <c r="U178" s="270"/>
      <c r="V178" s="270"/>
      <c r="AC178" s="3"/>
    </row>
    <row r="179" spans="1:30" x14ac:dyDescent="0.3">
      <c r="A179" s="23"/>
      <c r="B179" s="23"/>
      <c r="C179" s="23"/>
      <c r="D179" s="23"/>
      <c r="E179" s="35"/>
      <c r="F179" s="36"/>
      <c r="G179" s="36"/>
      <c r="H179" s="269"/>
      <c r="I179" s="269"/>
      <c r="J179" s="269"/>
      <c r="K179" s="268"/>
      <c r="L179" s="267"/>
      <c r="M179" s="267"/>
      <c r="N179" s="266"/>
      <c r="O179" s="266"/>
      <c r="P179" s="265"/>
      <c r="Q179" s="35"/>
      <c r="R179" s="35"/>
      <c r="S179" s="224"/>
      <c r="T179" s="224"/>
      <c r="U179" s="224"/>
      <c r="V179" s="224"/>
      <c r="Y179" s="264"/>
      <c r="Z179" s="263"/>
      <c r="AC179" s="262"/>
    </row>
    <row r="180" spans="1:30" x14ac:dyDescent="0.3">
      <c r="A180" s="90" t="s">
        <v>269</v>
      </c>
      <c r="H180" s="541"/>
      <c r="X180" s="1"/>
      <c r="Z180"/>
      <c r="AC180" s="3"/>
      <c r="AD180" s="3"/>
    </row>
    <row r="181" spans="1:30" ht="41.4" x14ac:dyDescent="0.3">
      <c r="A181" s="4" t="s">
        <v>0</v>
      </c>
      <c r="B181" s="4" t="s">
        <v>1</v>
      </c>
      <c r="C181" s="4" t="s">
        <v>2</v>
      </c>
      <c r="D181" s="4" t="s">
        <v>3</v>
      </c>
      <c r="E181" s="5" t="s">
        <v>4</v>
      </c>
      <c r="F181" s="5" t="s">
        <v>5</v>
      </c>
      <c r="G181" s="5" t="s">
        <v>268</v>
      </c>
      <c r="H181" s="426" t="s">
        <v>6</v>
      </c>
      <c r="I181" s="426" t="s">
        <v>7</v>
      </c>
      <c r="J181" s="426" t="s">
        <v>8</v>
      </c>
      <c r="K181" s="426" t="s">
        <v>9</v>
      </c>
      <c r="L181" s="426" t="s">
        <v>10</v>
      </c>
      <c r="M181" s="426" t="s">
        <v>11</v>
      </c>
      <c r="N181" s="426" t="s">
        <v>12</v>
      </c>
      <c r="O181" s="426" t="s">
        <v>13</v>
      </c>
      <c r="P181" s="426" t="s">
        <v>14</v>
      </c>
      <c r="Q181" s="426" t="s">
        <v>15</v>
      </c>
      <c r="R181" s="426" t="s">
        <v>16</v>
      </c>
      <c r="S181" s="426" t="s">
        <v>17</v>
      </c>
      <c r="T181" s="426" t="s">
        <v>18</v>
      </c>
      <c r="U181" s="426" t="s">
        <v>19</v>
      </c>
      <c r="V181" s="426" t="s">
        <v>20</v>
      </c>
      <c r="W181" s="426" t="s">
        <v>21</v>
      </c>
      <c r="X181" s="427" t="s">
        <v>22</v>
      </c>
      <c r="Y181" s="427" t="s">
        <v>23</v>
      </c>
      <c r="Z181" s="428" t="s">
        <v>24</v>
      </c>
      <c r="AA181" s="428" t="s">
        <v>26</v>
      </c>
      <c r="AB181" s="429" t="s">
        <v>27</v>
      </c>
      <c r="AC181" s="430" t="s">
        <v>28</v>
      </c>
    </row>
    <row r="182" spans="1:30" x14ac:dyDescent="0.3">
      <c r="A182" s="146">
        <v>43470.625</v>
      </c>
      <c r="B182" s="146">
        <v>43473.840277777781</v>
      </c>
      <c r="C182" s="23"/>
      <c r="D182" s="14"/>
      <c r="E182" s="97" t="s">
        <v>395</v>
      </c>
      <c r="F182" s="25" t="s">
        <v>91</v>
      </c>
      <c r="G182" s="25" t="s">
        <v>396</v>
      </c>
      <c r="H182" s="467">
        <f>90080-H183</f>
        <v>83390</v>
      </c>
      <c r="I182" s="468" t="s">
        <v>49</v>
      </c>
      <c r="J182" s="467">
        <v>165000</v>
      </c>
      <c r="K182" s="542">
        <f>(H182+H183)-J182</f>
        <v>-74920</v>
      </c>
      <c r="L182" s="27">
        <f>'[153]Cape Garland'!$F$65</f>
        <v>3.2152777777810115</v>
      </c>
      <c r="M182" s="27">
        <f>'[153]Cape Garland'!$F$65-'[153]Cape Garland'!$F$61</f>
        <v>1.8194444444549542</v>
      </c>
      <c r="N182" s="434">
        <f>(H182+H183)/L182</f>
        <v>28016.241900619771</v>
      </c>
      <c r="O182" s="434">
        <f>(H182+H183)/M182</f>
        <v>49509.618320324698</v>
      </c>
      <c r="P182" s="542">
        <v>30000</v>
      </c>
      <c r="Q182" s="69">
        <f>(172537/10000)*8.7</f>
        <v>150.10718999999997</v>
      </c>
      <c r="R182" s="69">
        <f>(154435/10000)*8.7</f>
        <v>134.35845</v>
      </c>
      <c r="S182" s="455">
        <f>Q182-R182</f>
        <v>15.74873999999997</v>
      </c>
      <c r="T182" s="435">
        <f>S182/8.7*10000/(H182+H183)</f>
        <v>0.20095470692717549</v>
      </c>
      <c r="U182" s="435">
        <f>S182/8.5*10000/(H182+H183)</f>
        <v>0.20568305297252076</v>
      </c>
      <c r="V182" s="526"/>
      <c r="W182" s="526"/>
      <c r="X182" s="543"/>
      <c r="Y182" s="544">
        <v>2.64</v>
      </c>
      <c r="Z182" s="469">
        <f t="shared" ref="Z182:Z188" si="69">H182*Y182</f>
        <v>220149.6</v>
      </c>
      <c r="AA182" s="469"/>
      <c r="AB182" s="545"/>
      <c r="AC182" s="546"/>
    </row>
    <row r="183" spans="1:30" x14ac:dyDescent="0.3">
      <c r="A183" s="146"/>
      <c r="B183" s="146"/>
      <c r="C183" s="23"/>
      <c r="D183" s="14"/>
      <c r="E183" s="97" t="s">
        <v>397</v>
      </c>
      <c r="F183" s="25"/>
      <c r="G183" s="25"/>
      <c r="H183" s="467">
        <v>6690</v>
      </c>
      <c r="I183" s="468"/>
      <c r="J183" s="467"/>
      <c r="K183" s="542"/>
      <c r="L183" s="27"/>
      <c r="M183" s="27"/>
      <c r="N183" s="433"/>
      <c r="O183" s="433"/>
      <c r="P183" s="542"/>
      <c r="Q183" s="486"/>
      <c r="R183" s="486"/>
      <c r="S183" s="486"/>
      <c r="T183" s="526"/>
      <c r="U183" s="526"/>
      <c r="V183" s="526"/>
      <c r="W183" s="526"/>
      <c r="X183" s="543"/>
      <c r="Y183" s="544">
        <v>6.5</v>
      </c>
      <c r="Z183" s="469">
        <f t="shared" si="69"/>
        <v>43485</v>
      </c>
      <c r="AA183" s="469"/>
      <c r="AB183" s="545"/>
      <c r="AC183" s="546"/>
    </row>
    <row r="184" spans="1:30" x14ac:dyDescent="0.3">
      <c r="A184" s="146">
        <v>43474.5</v>
      </c>
      <c r="B184" s="146">
        <v>43476.180555555555</v>
      </c>
      <c r="C184" s="23"/>
      <c r="D184" s="14"/>
      <c r="E184" s="97" t="s">
        <v>398</v>
      </c>
      <c r="F184" s="25" t="s">
        <v>212</v>
      </c>
      <c r="G184" s="25" t="s">
        <v>399</v>
      </c>
      <c r="H184" s="542">
        <v>51918</v>
      </c>
      <c r="I184" s="468" t="s">
        <v>33</v>
      </c>
      <c r="J184" s="542">
        <v>55000</v>
      </c>
      <c r="K184" s="542">
        <f t="shared" ref="K184:K196" si="70">H184-J184</f>
        <v>-3082</v>
      </c>
      <c r="L184" s="27">
        <f>'[153]Dubai Knight'!$F$51</f>
        <v>1.6805555555547471</v>
      </c>
      <c r="M184" s="27">
        <f>'[153]Dubai Knight'!$F$51-'[153]Dubai Knight'!$F$47</f>
        <v>1.0260416666593906</v>
      </c>
      <c r="N184" s="434">
        <f t="shared" ref="N184:N189" si="71">(H184)/L184</f>
        <v>30893.355371915688</v>
      </c>
      <c r="O184" s="434">
        <f t="shared" ref="O184:O189" si="72">(H184)/M184</f>
        <v>50600.284264318223</v>
      </c>
      <c r="P184" s="542">
        <v>30000</v>
      </c>
      <c r="Q184" s="69">
        <f>(153769/10000)*8.7</f>
        <v>133.77902999999998</v>
      </c>
      <c r="R184" s="69">
        <f>(143073/10000)*8.7</f>
        <v>124.47350999999999</v>
      </c>
      <c r="S184" s="455">
        <f t="shared" ref="S184:S190" si="73">Q184-R184</f>
        <v>9.3055199999999871</v>
      </c>
      <c r="T184" s="435">
        <f t="shared" ref="T184:T189" si="74">S184/8.7*10000/(H184)</f>
        <v>0.20601718093917304</v>
      </c>
      <c r="U184" s="435">
        <f t="shared" ref="U184:U189" si="75">S184/8.5*10000/(H184)</f>
        <v>0.21086464402009472</v>
      </c>
      <c r="V184" s="526"/>
      <c r="W184" s="526"/>
      <c r="X184" s="543"/>
      <c r="Y184" s="544">
        <v>2.64</v>
      </c>
      <c r="Z184" s="469">
        <f t="shared" si="69"/>
        <v>137063.52000000002</v>
      </c>
      <c r="AA184" s="469"/>
      <c r="AB184" s="545"/>
      <c r="AC184" s="546"/>
    </row>
    <row r="185" spans="1:30" x14ac:dyDescent="0.3">
      <c r="A185" s="146">
        <v>43476.854166666664</v>
      </c>
      <c r="B185" s="146">
        <v>43479.229166666664</v>
      </c>
      <c r="C185" s="23"/>
      <c r="D185" s="14"/>
      <c r="E185" s="97" t="s">
        <v>400</v>
      </c>
      <c r="F185" s="25" t="s">
        <v>32</v>
      </c>
      <c r="G185" s="25" t="s">
        <v>399</v>
      </c>
      <c r="H185" s="542">
        <v>65402</v>
      </c>
      <c r="I185" s="468" t="s">
        <v>33</v>
      </c>
      <c r="J185" s="542">
        <v>65400</v>
      </c>
      <c r="K185" s="542">
        <f t="shared" si="70"/>
        <v>2</v>
      </c>
      <c r="L185" s="27">
        <f>'[153]De Xin Hai'!$F$59</f>
        <v>2.375</v>
      </c>
      <c r="M185" s="27">
        <f>'[153]De Xin Hai'!$F$59-'[153]De Xin Hai'!$F$55</f>
        <v>1.3298611110937297</v>
      </c>
      <c r="N185" s="434">
        <f t="shared" si="71"/>
        <v>27537.684210526317</v>
      </c>
      <c r="O185" s="434">
        <f t="shared" si="72"/>
        <v>49179.571802209357</v>
      </c>
      <c r="P185" s="542">
        <v>30000</v>
      </c>
      <c r="Q185" s="69">
        <f>(141155/10000)*8.7</f>
        <v>122.80485</v>
      </c>
      <c r="R185" s="69">
        <f>(131035/10000)*8.7</f>
        <v>114.00045</v>
      </c>
      <c r="S185" s="455">
        <f t="shared" si="73"/>
        <v>8.8044000000000011</v>
      </c>
      <c r="T185" s="435">
        <f t="shared" si="74"/>
        <v>0.15473532919482588</v>
      </c>
      <c r="U185" s="435">
        <f t="shared" si="75"/>
        <v>0.15837616046999822</v>
      </c>
      <c r="V185" s="526"/>
      <c r="W185" s="526"/>
      <c r="X185" s="543"/>
      <c r="Y185" s="544">
        <v>2.64</v>
      </c>
      <c r="Z185" s="469">
        <f t="shared" si="69"/>
        <v>172661.28</v>
      </c>
      <c r="AA185" s="469"/>
      <c r="AB185" s="545"/>
      <c r="AC185" s="546"/>
    </row>
    <row r="186" spans="1:30" x14ac:dyDescent="0.3">
      <c r="A186" s="146">
        <v>43479.930555555555</v>
      </c>
      <c r="B186" s="146">
        <v>43481.861111111109</v>
      </c>
      <c r="C186" s="23"/>
      <c r="D186" s="14"/>
      <c r="E186" s="24" t="s">
        <v>44</v>
      </c>
      <c r="F186" s="25" t="s">
        <v>39</v>
      </c>
      <c r="G186" s="25" t="s">
        <v>396</v>
      </c>
      <c r="H186" s="434">
        <v>49566</v>
      </c>
      <c r="I186" s="468" t="s">
        <v>40</v>
      </c>
      <c r="J186" s="542">
        <v>90200</v>
      </c>
      <c r="K186" s="542">
        <f t="shared" si="70"/>
        <v>-40634</v>
      </c>
      <c r="L186" s="27">
        <f>'[153]Taipower Prosperity VIII'!$F$51</f>
        <v>1.9305555555547471</v>
      </c>
      <c r="M186" s="27">
        <f>'[153]Taipower Prosperity VIII'!$F$51-'[153]Taipower Prosperity VIII'!$F$47</f>
        <v>1.0243055555571723</v>
      </c>
      <c r="N186" s="434">
        <f t="shared" si="71"/>
        <v>25674.474820154635</v>
      </c>
      <c r="O186" s="434">
        <f t="shared" si="72"/>
        <v>48389.857627042264</v>
      </c>
      <c r="P186" s="542">
        <v>30000</v>
      </c>
      <c r="Q186" s="69">
        <f>(129104/10000)*8.7</f>
        <v>112.32047999999999</v>
      </c>
      <c r="R186" s="69">
        <f>(119227/10000)*8.7</f>
        <v>103.72749</v>
      </c>
      <c r="S186" s="455">
        <f t="shared" si="73"/>
        <v>8.5929899999999861</v>
      </c>
      <c r="T186" s="435">
        <f t="shared" si="74"/>
        <v>0.1992696606544806</v>
      </c>
      <c r="U186" s="435">
        <f t="shared" si="75"/>
        <v>0.20395835855223304</v>
      </c>
      <c r="V186" s="526"/>
      <c r="W186" s="526"/>
      <c r="X186" s="543"/>
      <c r="Y186" s="544">
        <v>2.64</v>
      </c>
      <c r="Z186" s="469">
        <f t="shared" si="69"/>
        <v>130854.24</v>
      </c>
      <c r="AA186" s="469"/>
      <c r="AB186" s="545"/>
      <c r="AC186" s="546"/>
    </row>
    <row r="187" spans="1:30" x14ac:dyDescent="0.3">
      <c r="A187" s="146">
        <v>43482.166666666664</v>
      </c>
      <c r="B187" s="146">
        <v>43482.770833333336</v>
      </c>
      <c r="C187" s="23"/>
      <c r="D187" s="14"/>
      <c r="E187" s="97" t="s">
        <v>401</v>
      </c>
      <c r="F187" s="25" t="s">
        <v>32</v>
      </c>
      <c r="G187" s="25" t="s">
        <v>396</v>
      </c>
      <c r="H187" s="542">
        <v>22196</v>
      </c>
      <c r="I187" s="468" t="s">
        <v>49</v>
      </c>
      <c r="J187" s="542">
        <v>73750</v>
      </c>
      <c r="K187" s="542">
        <f t="shared" si="70"/>
        <v>-51554</v>
      </c>
      <c r="L187" s="27">
        <f>'[153]NPS Century'!$F$31</f>
        <v>0.60416666667151731</v>
      </c>
      <c r="M187" s="27">
        <f>'[153]NPS Century'!$F$31-'[153]NPS Century'!$F$27</f>
        <v>0.45659722222262644</v>
      </c>
      <c r="N187" s="434">
        <f t="shared" si="71"/>
        <v>36738.206896256765</v>
      </c>
      <c r="O187" s="434">
        <f t="shared" si="72"/>
        <v>48611.771863074835</v>
      </c>
      <c r="P187" s="542">
        <v>30000</v>
      </c>
      <c r="Q187" s="69">
        <f>(118837/10000)*8.7</f>
        <v>103.38818999999998</v>
      </c>
      <c r="R187" s="69">
        <f>(115244/10000)*8.7</f>
        <v>100.26227999999999</v>
      </c>
      <c r="S187" s="455">
        <f t="shared" si="73"/>
        <v>3.1259099999999904</v>
      </c>
      <c r="T187" s="435">
        <f t="shared" si="74"/>
        <v>0.161876013696161</v>
      </c>
      <c r="U187" s="435">
        <f t="shared" si="75"/>
        <v>0.16568486107724711</v>
      </c>
      <c r="V187" s="526"/>
      <c r="W187" s="526"/>
      <c r="X187" s="543"/>
      <c r="Y187" s="544">
        <v>2.64</v>
      </c>
      <c r="Z187" s="469">
        <f t="shared" si="69"/>
        <v>58597.440000000002</v>
      </c>
      <c r="AA187" s="469"/>
      <c r="AB187" s="545"/>
      <c r="AC187" s="546"/>
    </row>
    <row r="188" spans="1:30" x14ac:dyDescent="0.3">
      <c r="A188" s="146">
        <v>43483.034722222219</v>
      </c>
      <c r="B188" s="146">
        <v>43484.055555555555</v>
      </c>
      <c r="C188" s="23"/>
      <c r="D188" s="14"/>
      <c r="E188" s="97" t="s">
        <v>348</v>
      </c>
      <c r="F188" s="25" t="s">
        <v>32</v>
      </c>
      <c r="G188" s="25" t="s">
        <v>396</v>
      </c>
      <c r="H188" s="542">
        <v>26962</v>
      </c>
      <c r="I188" s="468" t="s">
        <v>33</v>
      </c>
      <c r="J188" s="434">
        <v>75235</v>
      </c>
      <c r="K188" s="542">
        <f t="shared" si="70"/>
        <v>-48273</v>
      </c>
      <c r="L188" s="27">
        <f>'[153]Guang Xin'!$F$42</f>
        <v>1.0208333333357587</v>
      </c>
      <c r="M188" s="27">
        <f>'[153]Guang Xin'!$F$42-'[153]Guang Xin'!$F$38</f>
        <v>0.58854166667030472</v>
      </c>
      <c r="N188" s="434">
        <f t="shared" si="71"/>
        <v>26411.755101978066</v>
      </c>
      <c r="O188" s="434">
        <f t="shared" si="72"/>
        <v>45811.539822725666</v>
      </c>
      <c r="P188" s="542">
        <v>30000</v>
      </c>
      <c r="Q188" s="69">
        <f>(114952/10000)*8.7</f>
        <v>100.00824</v>
      </c>
      <c r="R188" s="69">
        <f>(109249/10000)*8.7</f>
        <v>95.046629999999979</v>
      </c>
      <c r="S188" s="455">
        <f t="shared" si="73"/>
        <v>4.9616100000000216</v>
      </c>
      <c r="T188" s="435">
        <f t="shared" si="74"/>
        <v>0.21151991692011074</v>
      </c>
      <c r="U188" s="435">
        <f t="shared" si="75"/>
        <v>0.21649685614176037</v>
      </c>
      <c r="V188" s="526"/>
      <c r="W188" s="526"/>
      <c r="X188" s="543"/>
      <c r="Y188" s="544">
        <v>2.64</v>
      </c>
      <c r="Z188" s="469">
        <f t="shared" si="69"/>
        <v>71179.680000000008</v>
      </c>
      <c r="AA188" s="469"/>
      <c r="AB188" s="545"/>
      <c r="AC188" s="546"/>
    </row>
    <row r="189" spans="1:30" x14ac:dyDescent="0.3">
      <c r="A189" s="146">
        <v>43485.677083333336</v>
      </c>
      <c r="B189" s="146">
        <v>43487.444444444445</v>
      </c>
      <c r="C189" s="23"/>
      <c r="D189" s="14"/>
      <c r="E189" s="109" t="s">
        <v>402</v>
      </c>
      <c r="F189" s="25" t="s">
        <v>212</v>
      </c>
      <c r="G189" s="110" t="s">
        <v>399</v>
      </c>
      <c r="H189" s="542">
        <v>48024</v>
      </c>
      <c r="I189" s="490" t="s">
        <v>33</v>
      </c>
      <c r="J189" s="491">
        <v>48024</v>
      </c>
      <c r="K189" s="491">
        <f t="shared" si="70"/>
        <v>0</v>
      </c>
      <c r="L189" s="493">
        <f>'[153]Yin Ning'!$F$49</f>
        <v>1.7673611111094942</v>
      </c>
      <c r="M189" s="493">
        <f>'[153]Yin Ning'!$F$49-'[153]Yin Ning'!$F$45</f>
        <v>1.0381944444404021</v>
      </c>
      <c r="N189" s="434">
        <f t="shared" si="71"/>
        <v>27172.715127726235</v>
      </c>
      <c r="O189" s="434">
        <f t="shared" si="72"/>
        <v>46257.230769410875</v>
      </c>
      <c r="P189" s="491">
        <v>30000</v>
      </c>
      <c r="Q189" s="69">
        <f>(105870/10000)*8.7</f>
        <v>92.106899999999996</v>
      </c>
      <c r="R189" s="69">
        <f>(96315/10000)*8.7</f>
        <v>83.794049999999999</v>
      </c>
      <c r="S189" s="455">
        <f t="shared" si="73"/>
        <v>8.3128499999999974</v>
      </c>
      <c r="T189" s="435">
        <f t="shared" si="74"/>
        <v>0.1989630184907546</v>
      </c>
      <c r="U189" s="435">
        <f t="shared" si="75"/>
        <v>0.20364450127877232</v>
      </c>
      <c r="V189" s="526"/>
      <c r="W189" s="526"/>
      <c r="X189" s="543"/>
      <c r="Y189" s="544">
        <v>2.64</v>
      </c>
      <c r="Z189" s="469">
        <f>H189*Y189</f>
        <v>126783.36</v>
      </c>
      <c r="AA189" s="469"/>
      <c r="AB189" s="547"/>
      <c r="AC189" s="546"/>
    </row>
    <row r="190" spans="1:30" x14ac:dyDescent="0.3">
      <c r="A190" s="146">
        <v>43488.114583333336</v>
      </c>
      <c r="B190" s="146">
        <v>43490.927083333336</v>
      </c>
      <c r="C190" s="23"/>
      <c r="D190" s="14"/>
      <c r="E190" s="342" t="s">
        <v>92</v>
      </c>
      <c r="F190" s="25" t="s">
        <v>32</v>
      </c>
      <c r="G190" s="110" t="s">
        <v>399</v>
      </c>
      <c r="H190" s="542">
        <v>67727</v>
      </c>
      <c r="I190" s="490" t="s">
        <v>93</v>
      </c>
      <c r="J190" s="491">
        <v>72800</v>
      </c>
      <c r="K190" s="491">
        <f t="shared" si="70"/>
        <v>-5073</v>
      </c>
      <c r="L190" s="493">
        <f>'[153]Wooyang Banders'!$F$67</f>
        <v>2.8125</v>
      </c>
      <c r="M190" s="493">
        <f>'[153]Wooyang Banders'!$F$67-'[153]Wooyang Banders'!$F$63</f>
        <v>1.4548611110791778</v>
      </c>
      <c r="N190" s="434">
        <f>(H190+H191)/L190</f>
        <v>25885.155555555557</v>
      </c>
      <c r="O190" s="434">
        <f>(H190+H191)/M190</f>
        <v>50040.515514224848</v>
      </c>
      <c r="P190" s="491">
        <v>30000</v>
      </c>
      <c r="Q190" s="69">
        <f>(94328/10000)*8.7</f>
        <v>82.065359999999998</v>
      </c>
      <c r="R190" s="69">
        <f>(80096/10000)*8.7</f>
        <v>69.683520000000001</v>
      </c>
      <c r="S190" s="455">
        <f t="shared" si="73"/>
        <v>12.381839999999997</v>
      </c>
      <c r="T190" s="435">
        <f>S190/8.7*10000/(H190+H191)</f>
        <v>0.19548913491387596</v>
      </c>
      <c r="U190" s="435">
        <f>S190/8.5*10000/(H190+H191)</f>
        <v>0.20008887926479066</v>
      </c>
      <c r="V190" s="526"/>
      <c r="W190" s="526"/>
      <c r="X190" s="543"/>
      <c r="Y190" s="544">
        <v>2.64</v>
      </c>
      <c r="Z190" s="469">
        <f>H190*Y190</f>
        <v>178799.28</v>
      </c>
      <c r="AA190" s="469"/>
      <c r="AB190" s="547"/>
      <c r="AC190" s="546"/>
    </row>
    <row r="191" spans="1:30" x14ac:dyDescent="0.3">
      <c r="A191" s="176"/>
      <c r="B191" s="176"/>
      <c r="C191" s="59"/>
      <c r="D191" s="694"/>
      <c r="E191" s="35"/>
      <c r="F191" s="44"/>
      <c r="G191" s="45"/>
      <c r="H191" s="548">
        <v>5075</v>
      </c>
      <c r="I191" s="447"/>
      <c r="J191" s="447"/>
      <c r="K191" s="447"/>
      <c r="L191" s="62"/>
      <c r="M191" s="62"/>
      <c r="N191" s="447"/>
      <c r="O191" s="447"/>
      <c r="P191" s="447"/>
      <c r="Q191" s="328"/>
      <c r="R191" s="328"/>
      <c r="S191" s="328"/>
      <c r="T191" s="549"/>
      <c r="U191" s="550"/>
      <c r="V191" s="450"/>
      <c r="W191" s="551"/>
      <c r="X191" s="552"/>
      <c r="Y191" s="544">
        <v>2.64</v>
      </c>
      <c r="Z191" s="469">
        <f>H191*Y191</f>
        <v>13398</v>
      </c>
      <c r="AA191" s="489"/>
      <c r="AB191" s="723"/>
      <c r="AC191" s="553"/>
    </row>
    <row r="192" spans="1:30" x14ac:dyDescent="0.3">
      <c r="A192" s="146">
        <v>43494.0625</v>
      </c>
      <c r="B192" s="146">
        <v>43495.270833333336</v>
      </c>
      <c r="C192" s="59"/>
      <c r="D192" s="694"/>
      <c r="E192" s="342" t="s">
        <v>38</v>
      </c>
      <c r="F192" s="45" t="s">
        <v>39</v>
      </c>
      <c r="G192" s="45" t="s">
        <v>396</v>
      </c>
      <c r="H192" s="548">
        <v>26898</v>
      </c>
      <c r="I192" s="434" t="s">
        <v>40</v>
      </c>
      <c r="J192" s="434">
        <v>86325</v>
      </c>
      <c r="K192" s="542">
        <f t="shared" si="70"/>
        <v>-59427</v>
      </c>
      <c r="L192" s="62">
        <f>'[153]Taipower Prosperity I'!$F$40</f>
        <v>1.2083333333357587</v>
      </c>
      <c r="M192" s="62">
        <f>'[153]Taipower Prosperity I'!$F$40-'[153]Taipower Prosperity I'!$F$36</f>
        <v>0.76736111111919558</v>
      </c>
      <c r="N192" s="434">
        <f>(H192)/L192</f>
        <v>22260.413793058768</v>
      </c>
      <c r="O192" s="434">
        <f>(H192)/M192</f>
        <v>35052.597284698582</v>
      </c>
      <c r="P192" s="447">
        <v>30000</v>
      </c>
      <c r="Q192" s="69">
        <f>(198869/10000)*8.7</f>
        <v>173.01603</v>
      </c>
      <c r="R192" s="69">
        <f>(192469/10000)*8.7</f>
        <v>167.44802999999999</v>
      </c>
      <c r="S192" s="455">
        <f>Q192-R192</f>
        <v>5.5680000000000121</v>
      </c>
      <c r="T192" s="435">
        <f>S192/8.7*10000/(H192)</f>
        <v>0.23793590601531767</v>
      </c>
      <c r="U192" s="435">
        <f>S192/8.5*10000/(H192)</f>
        <v>0.2435343979215604</v>
      </c>
      <c r="V192" s="450"/>
      <c r="W192" s="551"/>
      <c r="X192" s="552"/>
      <c r="Y192" s="544">
        <v>2.64</v>
      </c>
      <c r="Z192" s="469">
        <f>H192*Y192</f>
        <v>71010.720000000001</v>
      </c>
      <c r="AA192" s="489"/>
      <c r="AB192" s="723"/>
      <c r="AC192" s="553"/>
    </row>
    <row r="193" spans="1:29" x14ac:dyDescent="0.3">
      <c r="A193" s="146">
        <v>43495.527777777781</v>
      </c>
      <c r="B193" s="146">
        <v>43496.805555555555</v>
      </c>
      <c r="C193" s="59"/>
      <c r="D193" s="451"/>
      <c r="E193" s="342" t="s">
        <v>263</v>
      </c>
      <c r="F193" s="36" t="s">
        <v>39</v>
      </c>
      <c r="G193" s="36" t="s">
        <v>396</v>
      </c>
      <c r="H193" s="548">
        <v>33944</v>
      </c>
      <c r="I193" s="447" t="s">
        <v>33</v>
      </c>
      <c r="J193" s="447">
        <v>82165</v>
      </c>
      <c r="K193" s="542">
        <f t="shared" si="70"/>
        <v>-48221</v>
      </c>
      <c r="L193" s="62">
        <f>'[153]Leading Glory'!$F$47</f>
        <v>1.2777777777737356</v>
      </c>
      <c r="M193" s="62">
        <f>'[153]Leading Glory'!$F$47-'[153]Leading Glory'!$F$43</f>
        <v>0.74826388889656903</v>
      </c>
      <c r="N193" s="434">
        <f>(H193)/L193</f>
        <v>26564.869565301429</v>
      </c>
      <c r="O193" s="434">
        <f>(H193)/M193</f>
        <v>45363.675173548312</v>
      </c>
      <c r="P193" s="447">
        <v>30000</v>
      </c>
      <c r="Q193" s="69">
        <f>(192119/10000)*8.7</f>
        <v>167.14353</v>
      </c>
      <c r="R193" s="69">
        <f>(184948/10000)*8.7</f>
        <v>160.90476000000001</v>
      </c>
      <c r="S193" s="455">
        <f>Q193-R193</f>
        <v>6.2387699999999882</v>
      </c>
      <c r="T193" s="435">
        <f>S193/8.7*10000/(H193)</f>
        <v>0.21125972189488532</v>
      </c>
      <c r="U193" s="435">
        <f>S193/8.5*10000/(H193)</f>
        <v>0.21623053888064728</v>
      </c>
      <c r="V193" s="450"/>
      <c r="W193" s="551"/>
      <c r="X193" s="552"/>
      <c r="Y193" s="544">
        <v>2.64</v>
      </c>
      <c r="Z193" s="469">
        <f>H193*Y193</f>
        <v>89612.160000000003</v>
      </c>
      <c r="AA193" s="489"/>
      <c r="AB193" s="554"/>
      <c r="AC193" s="553"/>
    </row>
    <row r="194" spans="1:29" x14ac:dyDescent="0.3">
      <c r="A194" s="359"/>
      <c r="B194" s="359"/>
      <c r="C194" s="358">
        <v>1000000003</v>
      </c>
      <c r="D194" s="358"/>
      <c r="E194" s="21" t="s">
        <v>30</v>
      </c>
      <c r="F194" s="21"/>
      <c r="G194" s="123"/>
      <c r="H194" s="431">
        <f>SUM(H182:H193)</f>
        <v>487792</v>
      </c>
      <c r="I194" s="431"/>
      <c r="J194" s="431"/>
      <c r="K194" s="431"/>
      <c r="L194" s="431"/>
      <c r="M194" s="431"/>
      <c r="N194" s="431"/>
      <c r="O194" s="431"/>
      <c r="P194" s="431"/>
      <c r="Q194" s="431"/>
      <c r="R194" s="431"/>
      <c r="S194" s="440">
        <f>SUM(S182:S193)</f>
        <v>83.04062999999995</v>
      </c>
      <c r="T194" s="453">
        <f>S194/8.7*10000/H194</f>
        <v>0.19567561583625795</v>
      </c>
      <c r="U194" s="453">
        <f>S194/8.5*10000/H194</f>
        <v>0.2002797479735817</v>
      </c>
      <c r="V194" s="43">
        <f>(U194-T194)/U194</f>
        <v>2.2988505747126582E-2</v>
      </c>
      <c r="W194" s="485">
        <v>375000</v>
      </c>
      <c r="X194" s="485">
        <f>H194-W194</f>
        <v>112792</v>
      </c>
      <c r="Y194" s="130"/>
      <c r="Z194" s="446">
        <f>SUM(Z182:Z193)</f>
        <v>1313594.28</v>
      </c>
      <c r="AA194" s="446"/>
      <c r="AB194" s="555">
        <f>SUM(AB182:AB193)</f>
        <v>0</v>
      </c>
      <c r="AC194" s="556">
        <f>SUM(AC182:AC193)</f>
        <v>0</v>
      </c>
    </row>
    <row r="195" spans="1:29" x14ac:dyDescent="0.3">
      <c r="A195" s="146">
        <v>43497.833333333336</v>
      </c>
      <c r="B195" s="146">
        <v>43498.4375</v>
      </c>
      <c r="C195" s="23"/>
      <c r="D195" s="14"/>
      <c r="E195" s="24" t="s">
        <v>351</v>
      </c>
      <c r="F195" s="25" t="s">
        <v>91</v>
      </c>
      <c r="G195" s="25" t="s">
        <v>396</v>
      </c>
      <c r="H195" s="26">
        <v>18362</v>
      </c>
      <c r="I195" s="26" t="s">
        <v>49</v>
      </c>
      <c r="J195" s="434">
        <v>75200</v>
      </c>
      <c r="K195" s="542">
        <f t="shared" si="70"/>
        <v>-56838</v>
      </c>
      <c r="L195" s="27">
        <f>[154]Aquamarie!$F$31</f>
        <v>0.60416666666424135</v>
      </c>
      <c r="M195" s="27">
        <f>[154]Aquamarie!$F$31-[154]Aquamarie!$F$27</f>
        <v>0.44791666666302865</v>
      </c>
      <c r="N195" s="434">
        <f>(H195)/L195</f>
        <v>30392.275862190971</v>
      </c>
      <c r="O195" s="434">
        <f>(H195)/M195</f>
        <v>40994.232558472497</v>
      </c>
      <c r="P195" s="542">
        <v>30000</v>
      </c>
      <c r="Q195" s="69">
        <f>(183198/10000)*8.7</f>
        <v>159.38226</v>
      </c>
      <c r="R195" s="69">
        <f>(180284/10000)*8.7</f>
        <v>156.84708000000001</v>
      </c>
      <c r="S195" s="455">
        <f>Q195-R195</f>
        <v>2.5351799999999969</v>
      </c>
      <c r="T195" s="435">
        <f>S195/8.7*10000/(H195)</f>
        <v>0.15869730966125678</v>
      </c>
      <c r="U195" s="435">
        <f>S195/8.5*10000/(H195)</f>
        <v>0.16243136400622746</v>
      </c>
      <c r="V195" s="526"/>
      <c r="W195" s="444"/>
      <c r="X195" s="32"/>
      <c r="Y195" s="544">
        <v>2.64</v>
      </c>
      <c r="Z195" s="469">
        <f t="shared" ref="Z195:Z208" si="76">H195*Y195</f>
        <v>48475.68</v>
      </c>
      <c r="AA195" s="469"/>
      <c r="AB195" s="545"/>
      <c r="AC195" s="546"/>
    </row>
    <row r="196" spans="1:29" x14ac:dyDescent="0.3">
      <c r="A196" s="146">
        <v>43498.854166666664</v>
      </c>
      <c r="B196" s="146">
        <v>43500.65625</v>
      </c>
      <c r="C196" s="23"/>
      <c r="D196" s="14"/>
      <c r="E196" s="24" t="s">
        <v>352</v>
      </c>
      <c r="F196" s="25" t="s">
        <v>32</v>
      </c>
      <c r="G196" s="25" t="s">
        <v>399</v>
      </c>
      <c r="H196" s="434">
        <v>52965</v>
      </c>
      <c r="I196" s="434" t="s">
        <v>49</v>
      </c>
      <c r="J196" s="434">
        <v>73500</v>
      </c>
      <c r="K196" s="542">
        <f t="shared" si="70"/>
        <v>-20535</v>
      </c>
      <c r="L196" s="27">
        <f>[154]Reborn!$F$56</f>
        <v>1.8020833333357587</v>
      </c>
      <c r="M196" s="27">
        <f>[154]Reborn!$F$56-[154]Reborn!$F$52</f>
        <v>1.1111111111264713</v>
      </c>
      <c r="N196" s="434">
        <f>(H196)/L196</f>
        <v>29390.98265891998</v>
      </c>
      <c r="O196" s="434">
        <f>(H196)/M196</f>
        <v>47668.499999341024</v>
      </c>
      <c r="P196" s="542">
        <v>30000</v>
      </c>
      <c r="Q196" s="69">
        <f>(177672/10000)*8.7</f>
        <v>154.57463999999999</v>
      </c>
      <c r="R196" s="69">
        <f>(167129/10000)*8.7</f>
        <v>145.40223</v>
      </c>
      <c r="S196" s="455">
        <f>Q196-R196</f>
        <v>9.1724099999999851</v>
      </c>
      <c r="T196" s="435">
        <f>S196/8.7*10000/(H196)</f>
        <v>0.19905598036439132</v>
      </c>
      <c r="U196" s="435">
        <f>S196/8.5*10000/(H196)</f>
        <v>0.20373965049061221</v>
      </c>
      <c r="V196" s="526"/>
      <c r="W196" s="133"/>
      <c r="X196" s="24"/>
      <c r="Y196" s="544">
        <v>2.64</v>
      </c>
      <c r="Z196" s="469">
        <f t="shared" si="76"/>
        <v>139827.6</v>
      </c>
      <c r="AA196" s="469"/>
      <c r="AB196" s="545"/>
      <c r="AC196" s="546"/>
    </row>
    <row r="197" spans="1:29" x14ac:dyDescent="0.3">
      <c r="A197" s="146">
        <v>43500.916666666664</v>
      </c>
      <c r="B197" s="146">
        <v>43503.177083333336</v>
      </c>
      <c r="C197" s="23"/>
      <c r="D197" s="14"/>
      <c r="E197" s="24" t="s">
        <v>403</v>
      </c>
      <c r="F197" s="25" t="s">
        <v>32</v>
      </c>
      <c r="G197" s="25" t="s">
        <v>399</v>
      </c>
      <c r="H197" s="548">
        <f>64000-H198</f>
        <v>58600</v>
      </c>
      <c r="I197" s="434" t="s">
        <v>33</v>
      </c>
      <c r="J197" s="434">
        <v>64000</v>
      </c>
      <c r="K197" s="542">
        <f>(H197+H198)-J197</f>
        <v>0</v>
      </c>
      <c r="L197" s="27">
        <f>'[154]Grace One'!$F$60</f>
        <v>2.2604166666715173</v>
      </c>
      <c r="M197" s="27">
        <f>'[154]Grace One'!$F$60-'[154]Grace One'!$F$56</f>
        <v>1.3958333333600117</v>
      </c>
      <c r="N197" s="434">
        <f>(H197+H198)/L197</f>
        <v>28313.364055238781</v>
      </c>
      <c r="O197" s="434">
        <f>(H197+H198)/M197</f>
        <v>45850.746267780378</v>
      </c>
      <c r="P197" s="542">
        <v>30000</v>
      </c>
      <c r="Q197" s="69">
        <f>(166665/10000)*8.7</f>
        <v>144.99854999999999</v>
      </c>
      <c r="R197" s="69">
        <f>(154440/10000)*8.7</f>
        <v>134.36279999999999</v>
      </c>
      <c r="S197" s="455">
        <f>Q197-R197</f>
        <v>10.635750000000002</v>
      </c>
      <c r="T197" s="435">
        <f>S197/8.7*10000/(H197+H198)</f>
        <v>0.19101562500000005</v>
      </c>
      <c r="U197" s="435">
        <f>S197/8.5*10000/(H197+H198)</f>
        <v>0.19551011029411769</v>
      </c>
      <c r="V197" s="526"/>
      <c r="W197" s="133"/>
      <c r="X197" s="24"/>
      <c r="Y197" s="544">
        <v>2.64</v>
      </c>
      <c r="Z197" s="469">
        <f t="shared" si="76"/>
        <v>154704</v>
      </c>
      <c r="AA197" s="469"/>
      <c r="AB197" s="545"/>
      <c r="AC197" s="546"/>
    </row>
    <row r="198" spans="1:29" x14ac:dyDescent="0.3">
      <c r="A198" s="146"/>
      <c r="B198" s="146"/>
      <c r="C198" s="23"/>
      <c r="D198" s="14"/>
      <c r="E198" s="24" t="s">
        <v>403</v>
      </c>
      <c r="F198" s="25"/>
      <c r="G198" s="25"/>
      <c r="H198" s="548">
        <v>5400</v>
      </c>
      <c r="I198" s="434"/>
      <c r="J198" s="434"/>
      <c r="K198" s="542"/>
      <c r="L198" s="27"/>
      <c r="M198" s="27"/>
      <c r="N198" s="434"/>
      <c r="O198" s="434"/>
      <c r="P198" s="542"/>
      <c r="Q198" s="69"/>
      <c r="R198" s="69"/>
      <c r="S198" s="455"/>
      <c r="T198" s="435"/>
      <c r="U198" s="435"/>
      <c r="V198" s="526"/>
      <c r="W198" s="133"/>
      <c r="X198" s="24"/>
      <c r="Y198" s="544">
        <v>6.5</v>
      </c>
      <c r="Z198" s="469">
        <f t="shared" si="76"/>
        <v>35100</v>
      </c>
      <c r="AA198" s="469"/>
      <c r="AB198" s="545"/>
      <c r="AC198" s="546"/>
    </row>
    <row r="199" spans="1:29" x14ac:dyDescent="0.3">
      <c r="A199" s="146">
        <v>43503.5</v>
      </c>
      <c r="B199" s="146">
        <v>43504.736111111109</v>
      </c>
      <c r="C199" s="23"/>
      <c r="D199" s="14"/>
      <c r="E199" s="24" t="s">
        <v>353</v>
      </c>
      <c r="F199" s="25" t="s">
        <v>32</v>
      </c>
      <c r="G199" s="25" t="s">
        <v>396</v>
      </c>
      <c r="H199" s="434">
        <v>30204</v>
      </c>
      <c r="I199" s="434" t="s">
        <v>33</v>
      </c>
      <c r="J199" s="434">
        <v>68230</v>
      </c>
      <c r="K199" s="542">
        <f>H199-J199</f>
        <v>-38026</v>
      </c>
      <c r="L199" s="27">
        <f>'[154]Shandong Hai Yao'!$F$42</f>
        <v>1.2361111111094942</v>
      </c>
      <c r="M199" s="27">
        <f>'[154]Shandong Hai Yao'!$F$42-'[154]Shandong Hai Yao'!$F$38</f>
        <v>0.6371527777870748</v>
      </c>
      <c r="N199" s="434">
        <f>(H199)/L199</f>
        <v>24434.696629245445</v>
      </c>
      <c r="O199" s="434">
        <f>(H199)/M199</f>
        <v>47404.643051079409</v>
      </c>
      <c r="P199" s="542">
        <v>30000</v>
      </c>
      <c r="Q199" s="69">
        <f>(153864/10000)*8.7</f>
        <v>133.86167999999998</v>
      </c>
      <c r="R199" s="69">
        <f>(147198/10000)*8.7</f>
        <v>128.06225999999998</v>
      </c>
      <c r="S199" s="455">
        <f>Q199-R199</f>
        <v>5.7994199999999978</v>
      </c>
      <c r="T199" s="435">
        <f>S199/8.7*10000/(H199)</f>
        <v>0.22069924513309486</v>
      </c>
      <c r="U199" s="435">
        <f>S199/8.5*10000/(H199)</f>
        <v>0.22589216854799121</v>
      </c>
      <c r="V199" s="526"/>
      <c r="W199" s="133"/>
      <c r="X199" s="24"/>
      <c r="Y199" s="544">
        <v>2.64</v>
      </c>
      <c r="Z199" s="469">
        <f t="shared" si="76"/>
        <v>79738.559999999998</v>
      </c>
      <c r="AA199" s="469"/>
      <c r="AB199" s="545"/>
      <c r="AC199" s="546"/>
    </row>
    <row r="200" spans="1:29" x14ac:dyDescent="0.3">
      <c r="A200" s="146">
        <v>43504.9375</v>
      </c>
      <c r="B200" s="146">
        <v>43505.958333333336</v>
      </c>
      <c r="C200" s="47"/>
      <c r="D200" s="694"/>
      <c r="E200" s="24" t="s">
        <v>334</v>
      </c>
      <c r="F200" s="25" t="s">
        <v>32</v>
      </c>
      <c r="G200" s="25" t="s">
        <v>396</v>
      </c>
      <c r="H200" s="434">
        <f>29481-H201</f>
        <v>22364</v>
      </c>
      <c r="I200" s="434" t="s">
        <v>33</v>
      </c>
      <c r="J200" s="434">
        <v>69430</v>
      </c>
      <c r="K200" s="542">
        <f>H200-J200</f>
        <v>-47066</v>
      </c>
      <c r="L200" s="27">
        <f>'[154]Ningbo Innovation'!$F$40</f>
        <v>1.0208333333357587</v>
      </c>
      <c r="M200" s="27">
        <f>'[154]Ningbo Innovation'!$F$40-'[154]Ningbo Innovation'!$F$36</f>
        <v>0.62499999999878741</v>
      </c>
      <c r="N200" s="434">
        <f>(H200+H201)/L200</f>
        <v>28879.346938706898</v>
      </c>
      <c r="O200" s="434">
        <f>(H200+H201)/M200</f>
        <v>47169.600000091516</v>
      </c>
      <c r="P200" s="542">
        <v>30000</v>
      </c>
      <c r="Q200" s="69">
        <f>(146858/10000)*8.7</f>
        <v>127.76646</v>
      </c>
      <c r="R200" s="69">
        <f>(140575/10000)*8.7</f>
        <v>122.30024999999998</v>
      </c>
      <c r="S200" s="455">
        <f>Q200-R200</f>
        <v>5.466210000000018</v>
      </c>
      <c r="T200" s="435">
        <f>S200/8.7*10000/(H200+H201)</f>
        <v>0.21312031477901092</v>
      </c>
      <c r="U200" s="435">
        <f>S200/8.5*10000/(H200+H201)</f>
        <v>0.21813491042086999</v>
      </c>
      <c r="V200" s="526"/>
      <c r="W200" s="133"/>
      <c r="X200" s="24"/>
      <c r="Y200" s="544">
        <v>2.64</v>
      </c>
      <c r="Z200" s="469">
        <f t="shared" si="76"/>
        <v>59040.960000000006</v>
      </c>
      <c r="AA200" s="469"/>
      <c r="AB200" s="724"/>
      <c r="AC200" s="546"/>
    </row>
    <row r="201" spans="1:29" x14ac:dyDescent="0.3">
      <c r="A201" s="146"/>
      <c r="B201" s="146"/>
      <c r="C201" s="47"/>
      <c r="D201" s="694"/>
      <c r="E201" s="24" t="s">
        <v>404</v>
      </c>
      <c r="F201" s="25"/>
      <c r="G201" s="25"/>
      <c r="H201" s="434">
        <v>7117</v>
      </c>
      <c r="I201" s="434"/>
      <c r="J201" s="434"/>
      <c r="K201" s="26"/>
      <c r="L201" s="27"/>
      <c r="M201" s="27"/>
      <c r="N201" s="434"/>
      <c r="O201" s="434"/>
      <c r="P201" s="542"/>
      <c r="Q201" s="224"/>
      <c r="R201" s="224"/>
      <c r="S201" s="224"/>
      <c r="T201" s="526"/>
      <c r="U201" s="526"/>
      <c r="V201" s="526"/>
      <c r="W201" s="133"/>
      <c r="X201" s="24"/>
      <c r="Y201" s="544">
        <v>6.5</v>
      </c>
      <c r="Z201" s="469">
        <f t="shared" si="76"/>
        <v>46260.5</v>
      </c>
      <c r="AA201" s="469"/>
      <c r="AB201" s="724"/>
      <c r="AC201" s="546"/>
    </row>
    <row r="202" spans="1:29" x14ac:dyDescent="0.3">
      <c r="A202" s="146">
        <v>43506.652777777781</v>
      </c>
      <c r="B202" s="146">
        <v>43508.083333333336</v>
      </c>
      <c r="C202" s="47"/>
      <c r="D202" s="694"/>
      <c r="E202" s="24" t="s">
        <v>206</v>
      </c>
      <c r="F202" s="25" t="s">
        <v>32</v>
      </c>
      <c r="G202" s="25" t="s">
        <v>396</v>
      </c>
      <c r="H202" s="434">
        <v>40870</v>
      </c>
      <c r="I202" s="434" t="s">
        <v>93</v>
      </c>
      <c r="J202" s="434">
        <v>70750</v>
      </c>
      <c r="K202" s="542">
        <f>H202-J202</f>
        <v>-29880</v>
      </c>
      <c r="L202" s="27">
        <f>'[154]Best Trader'!$F$47</f>
        <v>1.4305555555547471</v>
      </c>
      <c r="M202" s="27">
        <f>'[154]Best Trader'!$F$47-'[154]Best Trader'!$F$43</f>
        <v>0.85416666667758057</v>
      </c>
      <c r="N202" s="434">
        <f>(H202)/L202</f>
        <v>28569.320388365661</v>
      </c>
      <c r="O202" s="434">
        <f>(H202)/M202</f>
        <v>47847.804877437418</v>
      </c>
      <c r="P202" s="542">
        <v>30000</v>
      </c>
      <c r="Q202" s="69">
        <f>(139161/10000)*8.7</f>
        <v>121.07006999999999</v>
      </c>
      <c r="R202" s="69">
        <f>(130766/10000)*8.7</f>
        <v>113.76641999999998</v>
      </c>
      <c r="S202" s="455">
        <f>Q202-R202</f>
        <v>7.3036500000000046</v>
      </c>
      <c r="T202" s="435">
        <f>S202/8.7*10000/(H202)</f>
        <v>0.20540738928309288</v>
      </c>
      <c r="U202" s="435">
        <f>S202/8.5*10000/(H202)</f>
        <v>0.21024050432504801</v>
      </c>
      <c r="V202" s="224"/>
      <c r="W202" s="133"/>
      <c r="X202" s="24"/>
      <c r="Y202" s="436">
        <v>2.64</v>
      </c>
      <c r="Z202" s="33">
        <f t="shared" si="76"/>
        <v>107896.8</v>
      </c>
      <c r="AA202" s="469"/>
      <c r="AB202" s="724"/>
      <c r="AC202" s="546"/>
    </row>
    <row r="203" spans="1:29" x14ac:dyDescent="0.3">
      <c r="A203" s="146">
        <v>43509.6875</v>
      </c>
      <c r="B203" s="146">
        <v>43512.472222222219</v>
      </c>
      <c r="C203" s="47"/>
      <c r="D203" s="451"/>
      <c r="E203" s="24" t="s">
        <v>356</v>
      </c>
      <c r="F203" s="25" t="s">
        <v>91</v>
      </c>
      <c r="G203" s="25" t="s">
        <v>396</v>
      </c>
      <c r="H203" s="434">
        <v>82841</v>
      </c>
      <c r="I203" s="434" t="s">
        <v>49</v>
      </c>
      <c r="J203" s="434">
        <v>166650</v>
      </c>
      <c r="K203" s="542">
        <f>H203-J203</f>
        <v>-83809</v>
      </c>
      <c r="L203" s="27">
        <f>'[154]NSU Lodestar'!$F$59</f>
        <v>2.7847222222189885</v>
      </c>
      <c r="M203" s="27">
        <f>'[154]NSU Lodestar'!$F$59-'[154]NSU Lodestar'!$F$55</f>
        <v>1.7447916666812187</v>
      </c>
      <c r="N203" s="434">
        <f>(H203)/L203</f>
        <v>29748.389027465968</v>
      </c>
      <c r="O203" s="434">
        <f>(H203)/M203</f>
        <v>47479.020895126399</v>
      </c>
      <c r="P203" s="542">
        <v>30000</v>
      </c>
      <c r="Q203" s="69">
        <f>(127775/10000)*8.7</f>
        <v>111.16425</v>
      </c>
      <c r="R203" s="69">
        <f>(111706/10000)*8.7</f>
        <v>97.184219999999996</v>
      </c>
      <c r="S203" s="455">
        <f>Q203-R203</f>
        <v>13.980029999999999</v>
      </c>
      <c r="T203" s="435">
        <f>S203/8.7*10000/(H203)</f>
        <v>0.19397399838244347</v>
      </c>
      <c r="U203" s="435">
        <f>S203/8.5*10000/(H203)</f>
        <v>0.19853809246203039</v>
      </c>
      <c r="V203" s="224"/>
      <c r="W203" s="133"/>
      <c r="X203" s="24"/>
      <c r="Y203" s="436">
        <v>2.64</v>
      </c>
      <c r="Z203" s="33">
        <f t="shared" si="76"/>
        <v>218700.24000000002</v>
      </c>
      <c r="AA203" s="469"/>
      <c r="AB203" s="547"/>
      <c r="AC203" s="546"/>
    </row>
    <row r="204" spans="1:29" x14ac:dyDescent="0.3">
      <c r="A204" s="146">
        <v>43512.75</v>
      </c>
      <c r="B204" s="146">
        <v>43513.791666666664</v>
      </c>
      <c r="C204" s="47"/>
      <c r="D204" s="451"/>
      <c r="E204" s="24" t="s">
        <v>405</v>
      </c>
      <c r="F204" s="25" t="s">
        <v>212</v>
      </c>
      <c r="G204" s="25" t="s">
        <v>399</v>
      </c>
      <c r="H204" s="434">
        <v>21401</v>
      </c>
      <c r="I204" s="434" t="s">
        <v>49</v>
      </c>
      <c r="J204" s="434">
        <v>21400</v>
      </c>
      <c r="K204" s="26">
        <f>H204-J204</f>
        <v>1</v>
      </c>
      <c r="L204" s="27">
        <f>'[154]Ece Nur Bayraktar'!$F$34</f>
        <v>1.0416666666642413</v>
      </c>
      <c r="M204" s="27">
        <f>'[154]Ece Nur Bayraktar'!$F$34-'[154]Ece Nur Bayraktar'!$F$30</f>
        <v>0.56597222221049992</v>
      </c>
      <c r="N204" s="434">
        <f>(H204)/L204</f>
        <v>20544.960000047835</v>
      </c>
      <c r="O204" s="434">
        <f>(H204)/M204</f>
        <v>37812.809816734094</v>
      </c>
      <c r="P204" s="542">
        <v>30000</v>
      </c>
      <c r="Q204" s="69">
        <f>(111195/10000)*8.7</f>
        <v>96.739649999999997</v>
      </c>
      <c r="R204" s="69">
        <f>(105705/10000)*8.7</f>
        <v>91.963349999999991</v>
      </c>
      <c r="S204" s="455">
        <f>Q204-R204</f>
        <v>4.7763000000000062</v>
      </c>
      <c r="T204" s="435">
        <f>S204/8.7*10000/(H204)</f>
        <v>0.25653006868837941</v>
      </c>
      <c r="U204" s="435">
        <f>S204/8.5*10000/(H204)</f>
        <v>0.26256607030457657</v>
      </c>
      <c r="V204" s="224"/>
      <c r="W204" s="133"/>
      <c r="X204" s="24"/>
      <c r="Y204" s="436">
        <v>2.64</v>
      </c>
      <c r="Z204" s="33">
        <f t="shared" si="76"/>
        <v>56498.64</v>
      </c>
      <c r="AA204" s="469"/>
      <c r="AB204" s="547"/>
      <c r="AC204" s="546"/>
    </row>
    <row r="205" spans="1:29" x14ac:dyDescent="0.3">
      <c r="A205" s="146"/>
      <c r="B205" s="146"/>
      <c r="C205" s="47"/>
      <c r="D205" s="451"/>
      <c r="E205" s="24" t="s">
        <v>406</v>
      </c>
      <c r="F205" s="25"/>
      <c r="G205" s="25"/>
      <c r="H205" s="434">
        <v>6962</v>
      </c>
      <c r="I205" s="434"/>
      <c r="J205" s="434"/>
      <c r="K205" s="26"/>
      <c r="L205" s="27"/>
      <c r="M205" s="27"/>
      <c r="N205" s="434"/>
      <c r="O205" s="434"/>
      <c r="P205" s="542"/>
      <c r="Q205" s="224"/>
      <c r="R205" s="224"/>
      <c r="S205" s="224"/>
      <c r="T205" s="224"/>
      <c r="U205" s="224"/>
      <c r="V205" s="224"/>
      <c r="W205" s="133"/>
      <c r="X205" s="24"/>
      <c r="Y205" s="544">
        <v>6.5</v>
      </c>
      <c r="Z205" s="469">
        <f t="shared" si="76"/>
        <v>45253</v>
      </c>
      <c r="AA205" s="469"/>
      <c r="AB205" s="547"/>
      <c r="AC205" s="546"/>
    </row>
    <row r="206" spans="1:29" x14ac:dyDescent="0.3">
      <c r="A206" s="146">
        <v>43516.739583333336</v>
      </c>
      <c r="B206" s="146">
        <v>43518.333333333336</v>
      </c>
      <c r="C206" s="47"/>
      <c r="D206" s="451"/>
      <c r="E206" s="24" t="s">
        <v>407</v>
      </c>
      <c r="F206" s="25" t="s">
        <v>32</v>
      </c>
      <c r="G206" s="25" t="s">
        <v>396</v>
      </c>
      <c r="H206" s="434">
        <v>27914</v>
      </c>
      <c r="I206" s="434" t="s">
        <v>33</v>
      </c>
      <c r="J206" s="434">
        <v>76950</v>
      </c>
      <c r="K206" s="542">
        <f>(H206+H205+H207)-J206</f>
        <v>-40045</v>
      </c>
      <c r="L206" s="27">
        <f>'[154]Neng Yuan'!$F$41</f>
        <v>1.59375</v>
      </c>
      <c r="M206" s="27">
        <f>'[154]Neng Yuan'!$F$41-'[154]Neng Yuan'!$F$37</f>
        <v>0.81076388889293105</v>
      </c>
      <c r="N206" s="434">
        <f>(H206+H205+H207)/L206</f>
        <v>23156.078431372549</v>
      </c>
      <c r="O206" s="434">
        <f>(H206+H205+H207)/M206</f>
        <v>45518.800856304108</v>
      </c>
      <c r="P206" s="542">
        <v>30000</v>
      </c>
      <c r="Q206" s="69">
        <f>(100276/10000)*8.7</f>
        <v>87.24011999999999</v>
      </c>
      <c r="R206" s="69">
        <f>(92655/10000)*8.7</f>
        <v>80.609849999999994</v>
      </c>
      <c r="S206" s="455">
        <f>Q206-R206</f>
        <v>6.6302699999999959</v>
      </c>
      <c r="T206" s="435">
        <f>S206/8.7*10000/(H206+H205+H207)</f>
        <v>0.20650318385042665</v>
      </c>
      <c r="U206" s="435">
        <f>S206/8.5*10000/(H206+H205+H207)</f>
        <v>0.21136208229396608</v>
      </c>
      <c r="V206" s="224"/>
      <c r="W206" s="133"/>
      <c r="X206" s="24"/>
      <c r="Y206" s="436">
        <v>2.64</v>
      </c>
      <c r="Z206" s="33">
        <f t="shared" si="76"/>
        <v>73692.960000000006</v>
      </c>
      <c r="AA206" s="469"/>
      <c r="AB206" s="547"/>
      <c r="AC206" s="546"/>
    </row>
    <row r="207" spans="1:29" x14ac:dyDescent="0.3">
      <c r="A207" s="146"/>
      <c r="B207" s="146"/>
      <c r="C207" s="47"/>
      <c r="D207" s="451"/>
      <c r="E207" s="24" t="s">
        <v>407</v>
      </c>
      <c r="F207" s="25"/>
      <c r="G207" s="25"/>
      <c r="H207" s="434">
        <v>2029</v>
      </c>
      <c r="I207" s="434"/>
      <c r="J207" s="434"/>
      <c r="K207" s="26"/>
      <c r="L207" s="27"/>
      <c r="M207" s="27"/>
      <c r="N207" s="434"/>
      <c r="O207" s="434"/>
      <c r="P207" s="542"/>
      <c r="Q207" s="224"/>
      <c r="R207" s="224"/>
      <c r="S207" s="224"/>
      <c r="T207" s="224"/>
      <c r="U207" s="224"/>
      <c r="V207" s="224"/>
      <c r="W207" s="133"/>
      <c r="X207" s="24"/>
      <c r="Y207" s="436">
        <v>2.64</v>
      </c>
      <c r="Z207" s="33">
        <f t="shared" si="76"/>
        <v>5356.56</v>
      </c>
      <c r="AA207" s="469"/>
      <c r="AB207" s="547"/>
      <c r="AC207" s="546"/>
    </row>
    <row r="208" spans="1:29" x14ac:dyDescent="0.3">
      <c r="A208" s="146">
        <v>43518.8125</v>
      </c>
      <c r="B208" s="146">
        <v>43519.770833333336</v>
      </c>
      <c r="C208" s="47"/>
      <c r="D208" s="451"/>
      <c r="E208" s="24" t="s">
        <v>358</v>
      </c>
      <c r="F208" s="25" t="s">
        <v>32</v>
      </c>
      <c r="G208" s="25" t="s">
        <v>396</v>
      </c>
      <c r="H208" s="434">
        <v>28849</v>
      </c>
      <c r="I208" s="434" t="s">
        <v>49</v>
      </c>
      <c r="J208" s="434">
        <v>73380</v>
      </c>
      <c r="K208" s="542">
        <f>H208-J208</f>
        <v>-44531</v>
      </c>
      <c r="L208" s="27">
        <f>'[154]AP Libertas'!$F$38</f>
        <v>0.95833333333575865</v>
      </c>
      <c r="M208" s="27">
        <f>'[154]AP Libertas'!$F$38-'[154]AP Libertas'!$F$34</f>
        <v>0.64930555555717251</v>
      </c>
      <c r="N208" s="434">
        <f>(H208)/L208</f>
        <v>30103.304347749901</v>
      </c>
      <c r="O208" s="434">
        <f>(H208)/M208</f>
        <v>44430.54545443481</v>
      </c>
      <c r="P208" s="542">
        <v>30000</v>
      </c>
      <c r="Q208" s="69">
        <f>(91687/10000)*8.7</f>
        <v>79.767689999999988</v>
      </c>
      <c r="R208" s="69">
        <f>(85788/10000)*8.7</f>
        <v>74.635559999999984</v>
      </c>
      <c r="S208" s="455">
        <f>Q208-R208</f>
        <v>5.1321300000000036</v>
      </c>
      <c r="T208" s="435">
        <f>S208/8.7*10000/(H208)</f>
        <v>0.20447849145550989</v>
      </c>
      <c r="U208" s="435">
        <f>S208/8.5*10000/(H208)</f>
        <v>0.20928975007799247</v>
      </c>
      <c r="V208" s="224"/>
      <c r="W208" s="133"/>
      <c r="X208" s="24"/>
      <c r="Y208" s="436">
        <v>2.64</v>
      </c>
      <c r="Z208" s="33">
        <f t="shared" si="76"/>
        <v>76161.36</v>
      </c>
      <c r="AA208" s="469"/>
      <c r="AB208" s="547"/>
      <c r="AC208" s="546"/>
    </row>
    <row r="209" spans="1:29" x14ac:dyDescent="0.3">
      <c r="A209" s="146">
        <v>43520.572916666664</v>
      </c>
      <c r="B209" s="146">
        <v>43522.96875</v>
      </c>
      <c r="C209" s="47"/>
      <c r="D209" s="451"/>
      <c r="E209" s="24" t="s">
        <v>408</v>
      </c>
      <c r="F209" s="25" t="s">
        <v>32</v>
      </c>
      <c r="G209" s="25" t="s">
        <v>399</v>
      </c>
      <c r="H209" s="434">
        <v>72007</v>
      </c>
      <c r="I209" s="434" t="s">
        <v>49</v>
      </c>
      <c r="J209" s="434">
        <v>72000</v>
      </c>
      <c r="K209" s="542">
        <f>H209-J209</f>
        <v>7</v>
      </c>
      <c r="L209" s="27">
        <f>'[154]Iolcos Commander'!$F$60</f>
        <v>2.3958333333357587</v>
      </c>
      <c r="M209" s="27">
        <f>'[154]Iolcos Commander'!$F$60-'[154]Iolcos Commander'!$F$56</f>
        <v>1.5590277777616088</v>
      </c>
      <c r="N209" s="434">
        <f>(H209)/L209</f>
        <v>30055.095652143489</v>
      </c>
      <c r="O209" s="434">
        <f>(H209)/M209</f>
        <v>46187.118040568101</v>
      </c>
      <c r="P209" s="542">
        <v>30000</v>
      </c>
      <c r="Q209" s="69">
        <f>(84476/10000)*8.7</f>
        <v>73.494119999999995</v>
      </c>
      <c r="R209" s="69">
        <f>(70200/10000)*8.7</f>
        <v>61.073999999999991</v>
      </c>
      <c r="S209" s="455">
        <f>Q209-R209</f>
        <v>12.420120000000004</v>
      </c>
      <c r="T209" s="435">
        <f>S209/8.7*10000/(H209)</f>
        <v>0.19825850264557623</v>
      </c>
      <c r="U209" s="435">
        <f>S209/8.5*10000/(H209)</f>
        <v>0.20292340859017799</v>
      </c>
      <c r="V209" s="224"/>
      <c r="W209" s="133"/>
      <c r="X209" s="24"/>
      <c r="Y209" s="436">
        <v>2.64</v>
      </c>
      <c r="Z209" s="33">
        <f>H209*Y209</f>
        <v>190098.48</v>
      </c>
      <c r="AA209" s="469"/>
      <c r="AB209" s="547"/>
      <c r="AC209" s="546"/>
    </row>
    <row r="210" spans="1:29" x14ac:dyDescent="0.3">
      <c r="A210" s="146">
        <v>43523.236111111109</v>
      </c>
      <c r="B210" s="146">
        <v>43524.993055555555</v>
      </c>
      <c r="C210" s="47"/>
      <c r="D210" s="451"/>
      <c r="E210" s="24" t="s">
        <v>50</v>
      </c>
      <c r="F210" s="25" t="s">
        <v>32</v>
      </c>
      <c r="G210" s="25" t="s">
        <v>396</v>
      </c>
      <c r="H210" s="434">
        <f>51299-H211</f>
        <v>44722</v>
      </c>
      <c r="I210" s="434" t="s">
        <v>33</v>
      </c>
      <c r="J210" s="434">
        <v>74005</v>
      </c>
      <c r="K210" s="542">
        <f>H210-J210</f>
        <v>-29283</v>
      </c>
      <c r="L210" s="27">
        <f>'[154]Tuo Fu 11'!$F$49</f>
        <v>1.7569444444452529</v>
      </c>
      <c r="M210" s="27">
        <f>'[154]Tuo Fu 11'!$F$49-'[154]Tuo Fu 11'!$F$45</f>
        <v>1.1614583333309079</v>
      </c>
      <c r="N210" s="434">
        <f>(H210+H211)/L210</f>
        <v>29197.849802358105</v>
      </c>
      <c r="O210" s="434">
        <f>(H210+H211)/M210</f>
        <v>44167.748879015999</v>
      </c>
      <c r="P210" s="542">
        <v>30000</v>
      </c>
      <c r="Q210" s="69">
        <f>(69663/10000)*8.7</f>
        <v>60.606809999999996</v>
      </c>
      <c r="R210" s="69">
        <f>(59406/10000)*8.7</f>
        <v>51.683219999999992</v>
      </c>
      <c r="S210" s="455">
        <f>Q210-R210</f>
        <v>8.9235900000000044</v>
      </c>
      <c r="T210" s="435">
        <f>S210/8.7*10000/(H210)</f>
        <v>0.22935020795134398</v>
      </c>
      <c r="U210" s="435">
        <f>S210/8.5*10000/(H210)</f>
        <v>0.23474668343255209</v>
      </c>
      <c r="V210" s="224"/>
      <c r="W210" s="133"/>
      <c r="X210" s="24"/>
      <c r="Y210" s="436">
        <v>2.64</v>
      </c>
      <c r="Z210" s="33">
        <f>H210*Y210</f>
        <v>118066.08</v>
      </c>
      <c r="AA210" s="469"/>
      <c r="AB210" s="547"/>
      <c r="AC210" s="546"/>
    </row>
    <row r="211" spans="1:29" x14ac:dyDescent="0.3">
      <c r="A211" s="146"/>
      <c r="B211" s="146"/>
      <c r="C211" s="47"/>
      <c r="D211" s="451"/>
      <c r="E211" s="24" t="s">
        <v>409</v>
      </c>
      <c r="F211" s="25"/>
      <c r="G211" s="25"/>
      <c r="H211" s="434">
        <v>6577</v>
      </c>
      <c r="I211" s="434"/>
      <c r="J211" s="434"/>
      <c r="K211" s="542"/>
      <c r="L211" s="27"/>
      <c r="M211" s="27"/>
      <c r="N211" s="434"/>
      <c r="O211" s="434"/>
      <c r="P211" s="542"/>
      <c r="Q211" s="69"/>
      <c r="R211" s="69"/>
      <c r="S211" s="455"/>
      <c r="T211" s="435"/>
      <c r="U211" s="435"/>
      <c r="V211" s="224"/>
      <c r="W211" s="133"/>
      <c r="X211" s="24"/>
      <c r="Y211" s="544">
        <v>6.5</v>
      </c>
      <c r="Z211" s="469">
        <f>H211*Y211</f>
        <v>42750.5</v>
      </c>
      <c r="AA211" s="469"/>
      <c r="AB211" s="547"/>
      <c r="AC211" s="546"/>
    </row>
    <row r="212" spans="1:29" x14ac:dyDescent="0.3">
      <c r="A212" s="24"/>
      <c r="B212" s="24"/>
      <c r="C212" s="24">
        <v>1000000009</v>
      </c>
      <c r="D212" s="24"/>
      <c r="E212" s="21" t="s">
        <v>37</v>
      </c>
      <c r="F212" s="21"/>
      <c r="G212" s="123"/>
      <c r="H212" s="431">
        <f>SUM(H195:H211)</f>
        <v>529184</v>
      </c>
      <c r="I212" s="431"/>
      <c r="J212" s="431"/>
      <c r="K212" s="431"/>
      <c r="L212" s="431"/>
      <c r="M212" s="431"/>
      <c r="N212" s="431"/>
      <c r="O212" s="431"/>
      <c r="P212" s="431"/>
      <c r="Q212" s="431"/>
      <c r="R212" s="431"/>
      <c r="S212" s="440">
        <f>SUM(S195:S210)</f>
        <v>92.775060000000011</v>
      </c>
      <c r="T212" s="453">
        <f>S212/8.7*10000/H212</f>
        <v>0.20151402914676184</v>
      </c>
      <c r="U212" s="453">
        <f>S212/8.5*10000/H212</f>
        <v>0.20625553571492095</v>
      </c>
      <c r="V212" s="43">
        <f>(U212-T212)/U212</f>
        <v>2.2988505747126471E-2</v>
      </c>
      <c r="W212" s="485">
        <v>375000</v>
      </c>
      <c r="X212" s="485">
        <f>H212-W212</f>
        <v>154184</v>
      </c>
      <c r="Y212" s="130"/>
      <c r="Z212" s="446">
        <f>SUM(Z195:Z210)</f>
        <v>1454871.4200000004</v>
      </c>
      <c r="AA212" s="446"/>
      <c r="AB212" s="446">
        <f>SUM(AB195:AB202)</f>
        <v>0</v>
      </c>
      <c r="AC212" s="556">
        <f>SUM(AC195:AC202)</f>
        <v>0</v>
      </c>
    </row>
    <row r="213" spans="1:29" x14ac:dyDescent="0.3">
      <c r="A213" s="146">
        <v>43526.083333333336</v>
      </c>
      <c r="B213" s="146">
        <v>43528.916666666664</v>
      </c>
      <c r="C213" s="23"/>
      <c r="D213" s="25"/>
      <c r="E213" s="35" t="s">
        <v>410</v>
      </c>
      <c r="F213" s="25" t="s">
        <v>39</v>
      </c>
      <c r="G213" s="25" t="s">
        <v>399</v>
      </c>
      <c r="H213" s="433">
        <v>84835</v>
      </c>
      <c r="I213" s="456" t="s">
        <v>93</v>
      </c>
      <c r="J213" s="433">
        <v>84835</v>
      </c>
      <c r="K213" s="542">
        <f>H213-J213</f>
        <v>0</v>
      </c>
      <c r="L213" s="27">
        <f>B213-A213</f>
        <v>2.8333333333284827</v>
      </c>
      <c r="M213" s="27">
        <f>'[155]Oriental Enterprise'!$F$113</f>
        <v>1.8975694444149365</v>
      </c>
      <c r="N213" s="434">
        <f>(H213)/L213</f>
        <v>29941.764705933612</v>
      </c>
      <c r="O213" s="434">
        <f>(H213)/M213</f>
        <v>44707.191217529617</v>
      </c>
      <c r="P213" s="542">
        <v>30000</v>
      </c>
      <c r="Q213" s="69">
        <f>(172393/10000)*8.7</f>
        <v>149.98191</v>
      </c>
      <c r="R213" s="69">
        <f>(156196/10000)*8.7</f>
        <v>135.89051999999998</v>
      </c>
      <c r="S213" s="455">
        <f>Q213-R213</f>
        <v>14.091390000000018</v>
      </c>
      <c r="T213" s="435">
        <f>S213/8.7*10000/(H213)</f>
        <v>0.19092355749395912</v>
      </c>
      <c r="U213" s="435">
        <f>S213/8.5*10000/(H213)</f>
        <v>0.19541587649381698</v>
      </c>
      <c r="V213" s="526"/>
      <c r="W213" s="444"/>
      <c r="X213" s="437"/>
      <c r="Y213" s="436">
        <v>2.64</v>
      </c>
      <c r="Z213" s="33">
        <f t="shared" ref="Z213:Z220" si="77">H213*Y213</f>
        <v>223964.40000000002</v>
      </c>
      <c r="AA213" s="469"/>
      <c r="AB213" s="545"/>
      <c r="AC213" s="546"/>
    </row>
    <row r="214" spans="1:29" x14ac:dyDescent="0.3">
      <c r="A214" s="146">
        <v>43529.138888888891</v>
      </c>
      <c r="B214" s="146">
        <v>43532.90625</v>
      </c>
      <c r="C214" s="23"/>
      <c r="D214" s="25"/>
      <c r="E214" s="35" t="s">
        <v>71</v>
      </c>
      <c r="F214" s="25" t="s">
        <v>32</v>
      </c>
      <c r="G214" s="25" t="s">
        <v>399</v>
      </c>
      <c r="H214" s="433">
        <v>67069</v>
      </c>
      <c r="I214" s="456" t="s">
        <v>36</v>
      </c>
      <c r="J214" s="433">
        <v>67000</v>
      </c>
      <c r="K214" s="542">
        <f>H214-J214</f>
        <v>69</v>
      </c>
      <c r="L214" s="27">
        <f>B214-A214</f>
        <v>3.7673611111094942</v>
      </c>
      <c r="M214" s="27">
        <f>'[155]Chandra Kirana'!$F$150</f>
        <v>2.2356333333333334</v>
      </c>
      <c r="N214" s="434">
        <f>(H214)/L214</f>
        <v>17802.647004615934</v>
      </c>
      <c r="O214" s="434">
        <f>(H214)/M214</f>
        <v>30000</v>
      </c>
      <c r="P214" s="542">
        <v>30000</v>
      </c>
      <c r="Q214" s="69">
        <f>(155500/10000)*8.7</f>
        <v>135.285</v>
      </c>
      <c r="R214" s="69">
        <f>(139443/10000)*8.7</f>
        <v>121.31540999999999</v>
      </c>
      <c r="S214" s="455">
        <f>Q214-R214</f>
        <v>13.969590000000011</v>
      </c>
      <c r="T214" s="435">
        <f>S214/8.7*10000/(H214)</f>
        <v>0.23941015968629345</v>
      </c>
      <c r="U214" s="435">
        <f>S214/8.5*10000/(H214)</f>
        <v>0.24504333991420615</v>
      </c>
      <c r="V214" s="526"/>
      <c r="W214" s="444"/>
      <c r="X214" s="488"/>
      <c r="Y214" s="436">
        <v>2.64</v>
      </c>
      <c r="Z214" s="33">
        <f t="shared" si="77"/>
        <v>177062.16</v>
      </c>
      <c r="AA214" s="469"/>
      <c r="AB214" s="545"/>
      <c r="AC214" s="546"/>
    </row>
    <row r="215" spans="1:29" x14ac:dyDescent="0.3">
      <c r="A215" s="146">
        <v>43533.1875</v>
      </c>
      <c r="B215" s="146">
        <v>43536.645833333336</v>
      </c>
      <c r="C215" s="23"/>
      <c r="D215" s="25"/>
      <c r="E215" s="342" t="s">
        <v>41</v>
      </c>
      <c r="F215" s="25" t="s">
        <v>39</v>
      </c>
      <c r="G215" s="25" t="s">
        <v>399</v>
      </c>
      <c r="H215" s="433">
        <f>86500-H216</f>
        <v>78347</v>
      </c>
      <c r="I215" s="456" t="s">
        <v>40</v>
      </c>
      <c r="J215" s="433">
        <v>86500</v>
      </c>
      <c r="K215" s="542">
        <f>(H215+H216)-J215</f>
        <v>0</v>
      </c>
      <c r="L215" s="27">
        <f>B215-A215</f>
        <v>3.4583333333357587</v>
      </c>
      <c r="M215" s="27">
        <f>'[155]Taipower Prosperity II'!$F$122</f>
        <v>1.7968750000278912</v>
      </c>
      <c r="N215" s="434">
        <f>(H215+H216)/L215</f>
        <v>25012.048192753544</v>
      </c>
      <c r="O215" s="434">
        <f>(H215+H216)/M215</f>
        <v>48139.130434035389</v>
      </c>
      <c r="P215" s="542">
        <v>30000</v>
      </c>
      <c r="Q215" s="69">
        <f>(138951/10000)*8.7</f>
        <v>120.88736999999999</v>
      </c>
      <c r="R215" s="69">
        <f>(121826/10000)*8.7</f>
        <v>105.98862</v>
      </c>
      <c r="S215" s="455">
        <f>Q215-R215</f>
        <v>14.898749999999993</v>
      </c>
      <c r="T215" s="435">
        <f>S215/8.7*10000/(H215+H216)</f>
        <v>0.19797687861271668</v>
      </c>
      <c r="U215" s="435">
        <f>S215/8.5*10000/(H215+H216)</f>
        <v>0.20263515810948649</v>
      </c>
      <c r="V215" s="526"/>
      <c r="W215" s="444"/>
      <c r="X215" s="488"/>
      <c r="Y215" s="436">
        <v>2.64</v>
      </c>
      <c r="Z215" s="33">
        <f t="shared" si="77"/>
        <v>206836.08000000002</v>
      </c>
      <c r="AA215" s="469"/>
      <c r="AB215" s="545"/>
      <c r="AC215" s="546"/>
    </row>
    <row r="216" spans="1:29" x14ac:dyDescent="0.3">
      <c r="A216" s="23"/>
      <c r="B216" s="23"/>
      <c r="C216" s="23"/>
      <c r="D216" s="25"/>
      <c r="E216" s="342" t="s">
        <v>371</v>
      </c>
      <c r="F216" s="25"/>
      <c r="G216" s="25"/>
      <c r="H216" s="434">
        <v>8153</v>
      </c>
      <c r="I216" s="456"/>
      <c r="J216" s="433"/>
      <c r="K216" s="542"/>
      <c r="L216" s="27"/>
      <c r="M216" s="27"/>
      <c r="N216" s="434"/>
      <c r="O216" s="434"/>
      <c r="P216" s="542"/>
      <c r="Q216" s="224"/>
      <c r="R216" s="224"/>
      <c r="S216" s="486"/>
      <c r="T216" s="526"/>
      <c r="U216" s="526"/>
      <c r="V216" s="526"/>
      <c r="W216" s="444"/>
      <c r="X216" s="488"/>
      <c r="Y216" s="544">
        <v>6.5</v>
      </c>
      <c r="Z216" s="469">
        <f t="shared" si="77"/>
        <v>52994.5</v>
      </c>
      <c r="AA216" s="469"/>
      <c r="AB216" s="545"/>
      <c r="AC216" s="546"/>
    </row>
    <row r="217" spans="1:29" x14ac:dyDescent="0.3">
      <c r="A217" s="146">
        <v>43537.638888888891</v>
      </c>
      <c r="B217" s="146">
        <v>43540.59375</v>
      </c>
      <c r="C217" s="23"/>
      <c r="D217" s="25"/>
      <c r="E217" s="35" t="s">
        <v>411</v>
      </c>
      <c r="F217" s="25" t="s">
        <v>39</v>
      </c>
      <c r="G217" s="25" t="s">
        <v>396</v>
      </c>
      <c r="H217" s="434">
        <v>71900</v>
      </c>
      <c r="I217" s="456" t="s">
        <v>33</v>
      </c>
      <c r="J217" s="433">
        <v>71900</v>
      </c>
      <c r="K217" s="542">
        <f>(H217+H218)-J217</f>
        <v>44227</v>
      </c>
      <c r="L217" s="27">
        <f>B217-A217</f>
        <v>2.9548611111094942</v>
      </c>
      <c r="M217" s="27">
        <f>'[155]Canpotex Inspire'!$F$113</f>
        <v>1.5920138888820172</v>
      </c>
      <c r="N217" s="434">
        <f>(H217)/L217</f>
        <v>24332.78495888523</v>
      </c>
      <c r="O217" s="434">
        <f>(H217)/M217</f>
        <v>45162.922573804535</v>
      </c>
      <c r="P217" s="542">
        <v>30000</v>
      </c>
      <c r="Q217" s="69">
        <f>(120090/10000)*8.7</f>
        <v>104.47829999999999</v>
      </c>
      <c r="R217" s="69">
        <f>(104790/10000)*8.7</f>
        <v>91.167299999999983</v>
      </c>
      <c r="S217" s="455">
        <f>Q217-R217</f>
        <v>13.311000000000007</v>
      </c>
      <c r="T217" s="435">
        <f>S217/8.7*10000/(H217)</f>
        <v>0.21279554937413087</v>
      </c>
      <c r="U217" s="435">
        <f>S217/8.5*10000/(H217)</f>
        <v>0.21780250347705157</v>
      </c>
      <c r="V217" s="526"/>
      <c r="W217" s="444"/>
      <c r="X217" s="488"/>
      <c r="Y217" s="544">
        <v>2.64</v>
      </c>
      <c r="Z217" s="469">
        <f t="shared" si="77"/>
        <v>189816</v>
      </c>
      <c r="AA217" s="469"/>
      <c r="AB217" s="545"/>
      <c r="AC217" s="546"/>
    </row>
    <row r="218" spans="1:29" x14ac:dyDescent="0.3">
      <c r="A218" s="146">
        <v>43541.708333333336</v>
      </c>
      <c r="B218" s="146">
        <v>43543.465277777781</v>
      </c>
      <c r="C218" s="47"/>
      <c r="D218" s="25"/>
      <c r="E218" s="109" t="s">
        <v>412</v>
      </c>
      <c r="F218" s="110" t="s">
        <v>91</v>
      </c>
      <c r="G218" s="25" t="s">
        <v>396</v>
      </c>
      <c r="H218" s="542">
        <v>44227</v>
      </c>
      <c r="I218" s="449" t="s">
        <v>49</v>
      </c>
      <c r="J218" s="449">
        <v>162100</v>
      </c>
      <c r="K218" s="542">
        <f>(H218+H219)-J218</f>
        <v>-97404</v>
      </c>
      <c r="L218" s="27">
        <f>B218-A218</f>
        <v>1.7569444444452529</v>
      </c>
      <c r="M218" s="448">
        <f>[155]Hero!$F$60</f>
        <v>0.92361111111555749</v>
      </c>
      <c r="N218" s="434">
        <f>(H218)/L218</f>
        <v>25172.679841885649</v>
      </c>
      <c r="O218" s="434">
        <f>(H218)/M218</f>
        <v>47884.872180220606</v>
      </c>
      <c r="P218" s="449">
        <v>30000</v>
      </c>
      <c r="Q218" s="69">
        <f>(102562/10000)*8.7</f>
        <v>89.228939999999994</v>
      </c>
      <c r="R218" s="69">
        <f>(94223/10000)*8.7</f>
        <v>81.974009999999993</v>
      </c>
      <c r="S218" s="455">
        <f>Q218-R218</f>
        <v>7.2549300000000017</v>
      </c>
      <c r="T218" s="435">
        <f>S218/8.7*10000/(H218)</f>
        <v>0.18854998078097099</v>
      </c>
      <c r="U218" s="435">
        <f>S218/8.5*10000/(H218)</f>
        <v>0.19298645091699379</v>
      </c>
      <c r="V218" s="526"/>
      <c r="W218" s="557"/>
      <c r="X218" s="543"/>
      <c r="Y218" s="544">
        <v>2.64</v>
      </c>
      <c r="Z218" s="469">
        <f t="shared" si="77"/>
        <v>116759.28</v>
      </c>
      <c r="AA218" s="469"/>
      <c r="AB218" s="547"/>
      <c r="AC218" s="546"/>
    </row>
    <row r="219" spans="1:29" x14ac:dyDescent="0.3">
      <c r="A219" s="146">
        <v>43544.909722222219</v>
      </c>
      <c r="B219" s="146">
        <v>43547.541666666664</v>
      </c>
      <c r="C219" s="47"/>
      <c r="D219" s="701"/>
      <c r="E219" s="109" t="s">
        <v>413</v>
      </c>
      <c r="F219" s="110" t="s">
        <v>39</v>
      </c>
      <c r="G219" s="25" t="s">
        <v>396</v>
      </c>
      <c r="H219" s="542">
        <v>20469</v>
      </c>
      <c r="I219" s="449" t="s">
        <v>40</v>
      </c>
      <c r="J219" s="449">
        <v>88000</v>
      </c>
      <c r="K219" s="542">
        <f>(H219+H220)-J219</f>
        <v>-27606</v>
      </c>
      <c r="L219" s="448">
        <f>B219-A219</f>
        <v>2.6319444444452529</v>
      </c>
      <c r="M219" s="448">
        <f>[155]Dimitra!$F$103</f>
        <v>1.5017361111082816</v>
      </c>
      <c r="N219" s="434">
        <f>(H219+H220)/L219</f>
        <v>22946.532981523294</v>
      </c>
      <c r="O219" s="434">
        <f>(H219+H220)/M219</f>
        <v>40216.120231289642</v>
      </c>
      <c r="P219" s="449">
        <v>30000</v>
      </c>
      <c r="Q219" s="69">
        <f>(91730/10000)*8.7</f>
        <v>79.805099999999996</v>
      </c>
      <c r="R219" s="69">
        <f>(77967/10000)*8.7</f>
        <v>67.831289999999996</v>
      </c>
      <c r="S219" s="455">
        <f>Q219-R219</f>
        <v>11.97381</v>
      </c>
      <c r="T219" s="435">
        <f>S219/8.7*10000/(H219+H220)</f>
        <v>0.22788687617975295</v>
      </c>
      <c r="U219" s="435">
        <f>S219/8.5*10000/(H219+H220)</f>
        <v>0.2332489203251589</v>
      </c>
      <c r="V219" s="450"/>
      <c r="W219" s="557"/>
      <c r="X219" s="543"/>
      <c r="Y219" s="544">
        <v>2.64</v>
      </c>
      <c r="Z219" s="469">
        <f t="shared" si="77"/>
        <v>54038.16</v>
      </c>
      <c r="AA219" s="469"/>
      <c r="AB219" s="724"/>
      <c r="AC219" s="546"/>
    </row>
    <row r="220" spans="1:29" x14ac:dyDescent="0.3">
      <c r="A220" s="146"/>
      <c r="B220" s="146"/>
      <c r="C220" s="47"/>
      <c r="D220" s="701"/>
      <c r="E220" s="109" t="s">
        <v>413</v>
      </c>
      <c r="F220" s="110"/>
      <c r="G220" s="25"/>
      <c r="H220" s="542">
        <v>39925</v>
      </c>
      <c r="I220" s="449"/>
      <c r="J220" s="449"/>
      <c r="K220" s="449"/>
      <c r="L220" s="448"/>
      <c r="M220" s="448"/>
      <c r="N220" s="449"/>
      <c r="O220" s="449"/>
      <c r="P220" s="449"/>
      <c r="Q220" s="317"/>
      <c r="R220" s="317"/>
      <c r="S220" s="317"/>
      <c r="T220" s="550"/>
      <c r="U220" s="550"/>
      <c r="V220" s="450"/>
      <c r="W220" s="557"/>
      <c r="X220" s="543"/>
      <c r="Y220" s="544">
        <v>2.64</v>
      </c>
      <c r="Z220" s="469">
        <f t="shared" si="77"/>
        <v>105402</v>
      </c>
      <c r="AA220" s="469"/>
      <c r="AB220" s="724"/>
      <c r="AC220" s="546"/>
    </row>
    <row r="221" spans="1:29" x14ac:dyDescent="0.3">
      <c r="A221" s="146">
        <v>43547.736111111109</v>
      </c>
      <c r="B221" s="146">
        <v>43548.958333333336</v>
      </c>
      <c r="C221" s="47"/>
      <c r="D221" s="701"/>
      <c r="E221" s="109" t="s">
        <v>414</v>
      </c>
      <c r="F221" s="110" t="s">
        <v>32</v>
      </c>
      <c r="G221" s="25" t="s">
        <v>396</v>
      </c>
      <c r="H221" s="542">
        <v>39544</v>
      </c>
      <c r="I221" s="449" t="s">
        <v>49</v>
      </c>
      <c r="J221" s="449">
        <v>73100</v>
      </c>
      <c r="K221" s="542">
        <f>(H221)-J221</f>
        <v>-33556</v>
      </c>
      <c r="L221" s="448">
        <f>B221-A221</f>
        <v>1.2222222222262644</v>
      </c>
      <c r="M221" s="448">
        <f>[155]Melbourne!$F$72</f>
        <v>0.79861111111191951</v>
      </c>
      <c r="N221" s="434">
        <f>(H221)/L221</f>
        <v>32354.181818074816</v>
      </c>
      <c r="O221" s="434">
        <f>(H221)/M221</f>
        <v>49515.965217341181</v>
      </c>
      <c r="P221" s="449">
        <v>30000</v>
      </c>
      <c r="Q221" s="69">
        <f>(77675/10000)*8.7</f>
        <v>67.577249999999992</v>
      </c>
      <c r="R221" s="69">
        <f>(70365/10000)*8.7</f>
        <v>61.217549999999996</v>
      </c>
      <c r="S221" s="455">
        <f>Q221-R221</f>
        <v>6.3596999999999966</v>
      </c>
      <c r="T221" s="435">
        <f>S221/8.7*10000/(H221)</f>
        <v>0.18485737406433331</v>
      </c>
      <c r="U221" s="435">
        <f>S221/8.5*10000/(H221)</f>
        <v>0.18920695933643528</v>
      </c>
      <c r="V221" s="450"/>
      <c r="W221" s="557"/>
      <c r="X221" s="543"/>
      <c r="Y221" s="544">
        <v>2.64</v>
      </c>
      <c r="Z221" s="469">
        <f>H221*Y221</f>
        <v>104396.16</v>
      </c>
      <c r="AA221" s="469"/>
      <c r="AB221" s="724"/>
      <c r="AC221" s="546"/>
    </row>
    <row r="222" spans="1:29" x14ac:dyDescent="0.3">
      <c r="A222" s="146">
        <v>43549.729166666664</v>
      </c>
      <c r="B222" s="146">
        <v>43551.25</v>
      </c>
      <c r="C222" s="23"/>
      <c r="D222" s="25"/>
      <c r="E222" s="97" t="s">
        <v>263</v>
      </c>
      <c r="F222" s="25" t="s">
        <v>39</v>
      </c>
      <c r="G222" s="25" t="s">
        <v>396</v>
      </c>
      <c r="H222" s="542">
        <v>39966</v>
      </c>
      <c r="I222" s="468" t="s">
        <v>33</v>
      </c>
      <c r="J222" s="542">
        <v>82045</v>
      </c>
      <c r="K222" s="542">
        <f>(H222)-J222</f>
        <v>-42079</v>
      </c>
      <c r="L222" s="448">
        <f>B222-A222</f>
        <v>1.5208333333357587</v>
      </c>
      <c r="M222" s="27">
        <f>'[155]Leading Glory'!$F$61</f>
        <v>2.0833333335758653E-2</v>
      </c>
      <c r="N222" s="434">
        <f>(H222)/L222</f>
        <v>26279.013698588227</v>
      </c>
      <c r="O222" s="434">
        <f>(H222)/M222</f>
        <v>1918367.9997766726</v>
      </c>
      <c r="P222" s="542">
        <v>30000</v>
      </c>
      <c r="Q222" s="69">
        <f>(69088/10000)*8.7</f>
        <v>60.106559999999995</v>
      </c>
      <c r="R222" s="69">
        <f>(60517/10000)*8.7</f>
        <v>52.649789999999996</v>
      </c>
      <c r="S222" s="455">
        <f>Q222-R222</f>
        <v>7.4567699999999988</v>
      </c>
      <c r="T222" s="435">
        <f>S222/8.7*10000/(H222)</f>
        <v>0.21445728869539107</v>
      </c>
      <c r="U222" s="435">
        <f>S222/8.5*10000/(H222)</f>
        <v>0.21950334254704731</v>
      </c>
      <c r="V222" s="526"/>
      <c r="W222" s="557"/>
      <c r="X222" s="543"/>
      <c r="Y222" s="544">
        <v>2.64</v>
      </c>
      <c r="Z222" s="469">
        <f>H222*Y222</f>
        <v>105510.24</v>
      </c>
      <c r="AA222" s="469"/>
      <c r="AB222" s="545"/>
      <c r="AC222" s="546"/>
    </row>
    <row r="223" spans="1:29" x14ac:dyDescent="0.3">
      <c r="A223" s="146">
        <v>43553.402777777781</v>
      </c>
      <c r="B223" s="146">
        <v>43555.729166666664</v>
      </c>
      <c r="C223" s="23"/>
      <c r="D223" s="25"/>
      <c r="E223" s="97" t="s">
        <v>231</v>
      </c>
      <c r="F223" s="25" t="s">
        <v>212</v>
      </c>
      <c r="G223" s="25" t="s">
        <v>399</v>
      </c>
      <c r="H223" s="542">
        <v>52497</v>
      </c>
      <c r="I223" s="468" t="s">
        <v>36</v>
      </c>
      <c r="J223" s="542">
        <v>52500</v>
      </c>
      <c r="K223" s="542">
        <f>(H223)-J223</f>
        <v>-3</v>
      </c>
      <c r="L223" s="448">
        <f>B223-A223</f>
        <v>2.3263888888832298</v>
      </c>
      <c r="M223" s="27">
        <f>[155]Sami!$F$112</f>
        <v>2.4305555554747116E-2</v>
      </c>
      <c r="N223" s="434">
        <f>(H223)/L223</f>
        <v>22565.874626920566</v>
      </c>
      <c r="O223" s="434">
        <f>(H223)/M223</f>
        <v>2159876.5715004122</v>
      </c>
      <c r="P223" s="542">
        <v>30000</v>
      </c>
      <c r="Q223" s="69">
        <f>(174395/10000)*8.7</f>
        <v>151.72364999999999</v>
      </c>
      <c r="R223" s="69">
        <f>(161947/10000)*8.7</f>
        <v>140.89389</v>
      </c>
      <c r="S223" s="455">
        <f>Q223-R223</f>
        <v>10.829759999999993</v>
      </c>
      <c r="T223" s="435">
        <f>S223/8.7*10000/(H223)</f>
        <v>0.23711831152256305</v>
      </c>
      <c r="U223" s="435">
        <f>S223/8.5*10000/(H223)</f>
        <v>0.24269756591132924</v>
      </c>
      <c r="V223" s="526"/>
      <c r="W223" s="557"/>
      <c r="X223" s="543"/>
      <c r="Y223" s="544">
        <v>2.64</v>
      </c>
      <c r="Z223" s="469">
        <f>H223*Y223</f>
        <v>138592.08000000002</v>
      </c>
      <c r="AA223" s="469"/>
      <c r="AB223" s="545"/>
      <c r="AC223" s="546"/>
    </row>
    <row r="224" spans="1:29" x14ac:dyDescent="0.3">
      <c r="A224" s="20"/>
      <c r="B224" s="20"/>
      <c r="C224" s="20">
        <v>1000000014</v>
      </c>
      <c r="D224" s="25"/>
      <c r="E224" s="122" t="s">
        <v>42</v>
      </c>
      <c r="F224" s="123"/>
      <c r="G224" s="123"/>
      <c r="H224" s="482">
        <f>SUM(H213:H223)</f>
        <v>546932</v>
      </c>
      <c r="I224" s="558"/>
      <c r="J224" s="482"/>
      <c r="K224" s="482"/>
      <c r="L224" s="482"/>
      <c r="M224" s="482"/>
      <c r="N224" s="482"/>
      <c r="O224" s="482"/>
      <c r="P224" s="482"/>
      <c r="Q224" s="482"/>
      <c r="R224" s="482"/>
      <c r="S224" s="440">
        <f>SUM(S213:S223)</f>
        <v>100.14570000000003</v>
      </c>
      <c r="T224" s="453">
        <f>S224/8.7*10000/H224</f>
        <v>0.21046492068483841</v>
      </c>
      <c r="U224" s="453">
        <f>S224/8.5*10000/H224</f>
        <v>0.21541703646565813</v>
      </c>
      <c r="V224" s="43">
        <f>(U224-T224)/U224</f>
        <v>2.2988505747126409E-2</v>
      </c>
      <c r="W224" s="485">
        <v>375000</v>
      </c>
      <c r="X224" s="485">
        <f>H224-W224</f>
        <v>171932</v>
      </c>
      <c r="Y224" s="130"/>
      <c r="Z224" s="446">
        <f>SUM(Z213:Z223)</f>
        <v>1475371.06</v>
      </c>
      <c r="AA224" s="446"/>
      <c r="AB224" s="446">
        <f>SUM(AB213:AB223)</f>
        <v>0</v>
      </c>
      <c r="AC224" s="556">
        <f>SUM(AC213:AC223)</f>
        <v>0</v>
      </c>
    </row>
    <row r="225" spans="1:29" x14ac:dyDescent="0.3">
      <c r="A225" s="146">
        <v>43555.916666666664</v>
      </c>
      <c r="B225" s="146">
        <v>43558.944444444445</v>
      </c>
      <c r="C225" s="23"/>
      <c r="D225" s="25"/>
      <c r="E225" s="342" t="s">
        <v>415</v>
      </c>
      <c r="F225" s="36" t="s">
        <v>32</v>
      </c>
      <c r="G225" s="25" t="s">
        <v>399</v>
      </c>
      <c r="H225" s="548">
        <v>73189</v>
      </c>
      <c r="I225" s="433" t="s">
        <v>33</v>
      </c>
      <c r="J225" s="548">
        <v>73100</v>
      </c>
      <c r="K225" s="542">
        <f>(H225)-J225</f>
        <v>89</v>
      </c>
      <c r="L225" s="27">
        <f>B225-A225</f>
        <v>3.0277777777810115</v>
      </c>
      <c r="M225" s="27">
        <f>'[156]Flying Loong'!$F$121</f>
        <v>1.5850694444513163</v>
      </c>
      <c r="N225" s="434">
        <f>(H225)/L225</f>
        <v>24172.513761442075</v>
      </c>
      <c r="O225" s="434">
        <f>(H225)/M225</f>
        <v>46174.002190380321</v>
      </c>
      <c r="P225" s="542">
        <v>30000</v>
      </c>
      <c r="Q225" s="69">
        <f>(161524/10000)*8.7</f>
        <v>140.52588</v>
      </c>
      <c r="R225" s="69">
        <f>(145531/10000)*8.7</f>
        <v>126.61197</v>
      </c>
      <c r="S225" s="455">
        <f>Q225-R225</f>
        <v>13.913910000000001</v>
      </c>
      <c r="T225" s="435">
        <f>S225/8.7*10000/(H225)</f>
        <v>0.21851644372788265</v>
      </c>
      <c r="U225" s="435">
        <f>S225/8.5*10000/(H225)</f>
        <v>0.22365800710971515</v>
      </c>
      <c r="V225" s="526"/>
      <c r="W225" s="487"/>
      <c r="X225" s="32"/>
      <c r="Y225" s="436">
        <v>2.64</v>
      </c>
      <c r="Z225" s="33">
        <f t="shared" ref="Z225:Z231" si="78">H225*Y225</f>
        <v>193218.96000000002</v>
      </c>
      <c r="AA225" s="469"/>
      <c r="AB225" s="545"/>
      <c r="AC225" s="546"/>
    </row>
    <row r="226" spans="1:29" x14ac:dyDescent="0.3">
      <c r="A226" s="146">
        <v>43559.854166666664</v>
      </c>
      <c r="B226" s="146">
        <v>43561.083333333336</v>
      </c>
      <c r="C226" s="23"/>
      <c r="D226" s="25"/>
      <c r="E226" s="342" t="s">
        <v>416</v>
      </c>
      <c r="F226" s="36" t="s">
        <v>212</v>
      </c>
      <c r="G226" s="25" t="s">
        <v>399</v>
      </c>
      <c r="H226" s="548">
        <v>28316</v>
      </c>
      <c r="I226" s="456" t="s">
        <v>33</v>
      </c>
      <c r="J226" s="548">
        <v>54100</v>
      </c>
      <c r="K226" s="542">
        <f>(H226+H227)-J226</f>
        <v>3833</v>
      </c>
      <c r="L226" s="27">
        <f>B226-A226</f>
        <v>1.2291666666715173</v>
      </c>
      <c r="M226" s="27">
        <f>'[156]Rong Yuan'!$F$61</f>
        <v>0.61458333332363202</v>
      </c>
      <c r="N226" s="434">
        <f>(H226)/L226</f>
        <v>23036.745762620954</v>
      </c>
      <c r="O226" s="434">
        <f>(H226)/M226</f>
        <v>46073.49152615101</v>
      </c>
      <c r="P226" s="542">
        <v>30000</v>
      </c>
      <c r="Q226" s="69">
        <f>(143554/10000)*8.7</f>
        <v>124.89197999999999</v>
      </c>
      <c r="R226" s="69">
        <f>(137295/10000)*8.7</f>
        <v>119.44664999999999</v>
      </c>
      <c r="S226" s="455">
        <f>Q226-R226</f>
        <v>5.4453299999999984</v>
      </c>
      <c r="T226" s="435">
        <f>S226/8.7*10000/(H226)</f>
        <v>0.22104110750105943</v>
      </c>
      <c r="U226" s="435">
        <f>S226/8.5*10000/(H226)</f>
        <v>0.22624207473637845</v>
      </c>
      <c r="V226" s="526"/>
      <c r="W226" s="559"/>
      <c r="X226" s="340"/>
      <c r="Y226" s="436">
        <v>2.64</v>
      </c>
      <c r="Z226" s="33">
        <f t="shared" si="78"/>
        <v>74754.240000000005</v>
      </c>
      <c r="AA226" s="469"/>
      <c r="AB226" s="545"/>
      <c r="AC226" s="546"/>
    </row>
    <row r="227" spans="1:29" x14ac:dyDescent="0.3">
      <c r="A227" s="146">
        <v>43563.708333333336</v>
      </c>
      <c r="B227" s="146">
        <v>43564.847222222219</v>
      </c>
      <c r="C227" s="23"/>
      <c r="D227" s="25"/>
      <c r="E227" s="342" t="s">
        <v>300</v>
      </c>
      <c r="F227" s="36" t="s">
        <v>32</v>
      </c>
      <c r="G227" s="25" t="s">
        <v>396</v>
      </c>
      <c r="H227" s="548">
        <f>34693-H228</f>
        <v>29617</v>
      </c>
      <c r="I227" s="456" t="s">
        <v>33</v>
      </c>
      <c r="J227" s="548">
        <v>77000</v>
      </c>
      <c r="K227" s="542">
        <f>(H227+H228)-J227</f>
        <v>-42307</v>
      </c>
      <c r="L227" s="27">
        <f>B227-A227</f>
        <v>1.1388888888832298</v>
      </c>
      <c r="M227" s="27">
        <f>'[156]DL Acacia'!$F$64</f>
        <v>0.77604166665575269</v>
      </c>
      <c r="N227" s="434">
        <f>(H227+H228)/L227</f>
        <v>30462.146341614778</v>
      </c>
      <c r="O227" s="434">
        <f>(H227+H228)/M227</f>
        <v>44705.073826132073</v>
      </c>
      <c r="P227" s="542">
        <v>30000</v>
      </c>
      <c r="Q227" s="69">
        <f>(132582/10000)*8.7</f>
        <v>115.34634</v>
      </c>
      <c r="R227" s="69">
        <f>(125482/10000)*8.7</f>
        <v>109.16933999999999</v>
      </c>
      <c r="S227" s="455">
        <f>Q227-R227</f>
        <v>6.1770000000000067</v>
      </c>
      <c r="T227" s="435">
        <f>S227/8.7*10000/(H227+H228)</f>
        <v>0.2046522353212466</v>
      </c>
      <c r="U227" s="435">
        <f>S227/8.5*10000/(H227+H228)</f>
        <v>0.20946758203468768</v>
      </c>
      <c r="V227" s="526"/>
      <c r="W227" s="559"/>
      <c r="X227" s="340"/>
      <c r="Y227" s="436">
        <v>2.64</v>
      </c>
      <c r="Z227" s="33">
        <f t="shared" si="78"/>
        <v>78188.88</v>
      </c>
      <c r="AA227" s="469"/>
      <c r="AB227" s="545"/>
      <c r="AC227" s="546"/>
    </row>
    <row r="228" spans="1:29" x14ac:dyDescent="0.3">
      <c r="A228" s="146"/>
      <c r="B228" s="146"/>
      <c r="C228" s="23"/>
      <c r="D228" s="25"/>
      <c r="E228" s="71" t="s">
        <v>417</v>
      </c>
      <c r="F228" s="229"/>
      <c r="G228" s="83"/>
      <c r="H228" s="512">
        <v>5076</v>
      </c>
      <c r="I228" s="456"/>
      <c r="J228" s="433"/>
      <c r="K228" s="449"/>
      <c r="L228" s="27"/>
      <c r="M228" s="27"/>
      <c r="N228" s="434"/>
      <c r="O228" s="434"/>
      <c r="P228" s="542"/>
      <c r="Q228" s="224"/>
      <c r="R228" s="224"/>
      <c r="S228" s="330"/>
      <c r="T228" s="526"/>
      <c r="U228" s="526"/>
      <c r="V228" s="526"/>
      <c r="W228" s="444"/>
      <c r="X228" s="32"/>
      <c r="Y228" s="544">
        <v>6.5</v>
      </c>
      <c r="Z228" s="469">
        <f t="shared" si="78"/>
        <v>32994</v>
      </c>
      <c r="AA228" s="469"/>
      <c r="AB228" s="545"/>
      <c r="AC228" s="546"/>
    </row>
    <row r="229" spans="1:29" x14ac:dyDescent="0.3">
      <c r="A229" s="146">
        <v>43565.680555555555</v>
      </c>
      <c r="B229" s="146">
        <v>43567.736111111109</v>
      </c>
      <c r="C229" s="23"/>
      <c r="D229" s="25"/>
      <c r="E229" s="71" t="s">
        <v>119</v>
      </c>
      <c r="F229" s="229" t="s">
        <v>32</v>
      </c>
      <c r="G229" s="229" t="s">
        <v>399</v>
      </c>
      <c r="H229" s="512">
        <v>47430</v>
      </c>
      <c r="I229" s="560" t="s">
        <v>33</v>
      </c>
      <c r="J229" s="512">
        <v>68000</v>
      </c>
      <c r="K229" s="561">
        <f>(H229+H230)-J229</f>
        <v>16280</v>
      </c>
      <c r="L229" s="476">
        <f>B229-A229</f>
        <v>2.0555555555547471</v>
      </c>
      <c r="M229" s="476">
        <f>[156]Gloriever!$F$86</f>
        <v>1.3680555555426206</v>
      </c>
      <c r="N229" s="462">
        <f>(H229)/L229</f>
        <v>23074.05405406313</v>
      </c>
      <c r="O229" s="462">
        <f>(H229)/M229</f>
        <v>34669.644670378562</v>
      </c>
      <c r="P229" s="542">
        <v>30000</v>
      </c>
      <c r="Q229" s="69">
        <f>(124095/10000)*8.7</f>
        <v>107.96264999999998</v>
      </c>
      <c r="R229" s="69">
        <f>(112995/10000)*8.7</f>
        <v>98.305649999999986</v>
      </c>
      <c r="S229" s="455">
        <f>Q229-R229</f>
        <v>9.6569999999999965</v>
      </c>
      <c r="T229" s="435">
        <f>S229/8.7*10000/(H229)</f>
        <v>0.23402909550917134</v>
      </c>
      <c r="U229" s="435">
        <f>S229/8.5*10000/(H229)</f>
        <v>0.2395356624623283</v>
      </c>
      <c r="V229" s="526"/>
      <c r="W229" s="444"/>
      <c r="X229" s="488"/>
      <c r="Y229" s="436">
        <v>2.64</v>
      </c>
      <c r="Z229" s="33">
        <f t="shared" si="78"/>
        <v>125215.20000000001</v>
      </c>
      <c r="AA229" s="469"/>
      <c r="AB229" s="445"/>
      <c r="AC229" s="546"/>
    </row>
    <row r="230" spans="1:29" x14ac:dyDescent="0.3">
      <c r="A230" s="146">
        <v>43569.822916666664</v>
      </c>
      <c r="B230" s="146">
        <v>43571.083333333336</v>
      </c>
      <c r="C230" s="47"/>
      <c r="D230" s="25"/>
      <c r="E230" s="193" t="s">
        <v>375</v>
      </c>
      <c r="F230" s="562" t="s">
        <v>39</v>
      </c>
      <c r="G230" s="83" t="s">
        <v>396</v>
      </c>
      <c r="H230" s="512">
        <v>36850</v>
      </c>
      <c r="I230" s="513" t="s">
        <v>199</v>
      </c>
      <c r="J230" s="513">
        <v>79250</v>
      </c>
      <c r="K230" s="561">
        <f>(H230)-J230</f>
        <v>-42400</v>
      </c>
      <c r="L230" s="476">
        <f>B230-A230</f>
        <v>1.2604166666715173</v>
      </c>
      <c r="M230" s="481">
        <f>'[156]Pan Mutiara'!$F$63</f>
        <v>0.86631944444040221</v>
      </c>
      <c r="N230" s="462">
        <f>(H230)/L230</f>
        <v>29236.363636251121</v>
      </c>
      <c r="O230" s="462">
        <f>(H230)/M230</f>
        <v>42536.272545288652</v>
      </c>
      <c r="P230" s="449">
        <v>30000</v>
      </c>
      <c r="Q230" s="69">
        <f>(109420/10000)*8.7</f>
        <v>95.195399999999992</v>
      </c>
      <c r="R230" s="69">
        <f>(101220/10000)*8.7</f>
        <v>88.061399999999992</v>
      </c>
      <c r="S230" s="455">
        <f>Q230-R230</f>
        <v>7.1340000000000003</v>
      </c>
      <c r="T230" s="435">
        <f>S230/8.7*10000/(H230)</f>
        <v>0.2225237449118046</v>
      </c>
      <c r="U230" s="435">
        <f>S230/8.5*10000/(H230)</f>
        <v>0.22775959773325888</v>
      </c>
      <c r="V230" s="526"/>
      <c r="W230" s="444"/>
      <c r="X230" s="488"/>
      <c r="Y230" s="436">
        <v>2.64</v>
      </c>
      <c r="Z230" s="33">
        <f t="shared" si="78"/>
        <v>97284</v>
      </c>
      <c r="AA230" s="469"/>
      <c r="AB230" s="563"/>
      <c r="AC230" s="546"/>
    </row>
    <row r="231" spans="1:29" x14ac:dyDescent="0.3">
      <c r="A231" s="146">
        <v>43573.03125</v>
      </c>
      <c r="B231" s="146">
        <v>43575.041666666664</v>
      </c>
      <c r="C231" s="47"/>
      <c r="D231" s="25"/>
      <c r="E231" s="193" t="s">
        <v>418</v>
      </c>
      <c r="F231" s="562" t="s">
        <v>212</v>
      </c>
      <c r="G231" s="83" t="s">
        <v>399</v>
      </c>
      <c r="H231" s="512">
        <v>33360</v>
      </c>
      <c r="I231" s="513" t="s">
        <v>36</v>
      </c>
      <c r="J231" s="513">
        <v>50000</v>
      </c>
      <c r="K231" s="561">
        <f>(H231)-J231</f>
        <v>-16640</v>
      </c>
      <c r="L231" s="476">
        <f>B231-A231</f>
        <v>2.0104166666642413</v>
      </c>
      <c r="M231" s="481">
        <f>[156]KAREEM!$F$86</f>
        <v>1.3524305555608105</v>
      </c>
      <c r="N231" s="462">
        <f>(H231)/L231</f>
        <v>16593.575129553697</v>
      </c>
      <c r="O231" s="462">
        <f>(H231)/M231</f>
        <v>24666.70089849209</v>
      </c>
      <c r="P231" s="449">
        <v>30000</v>
      </c>
      <c r="Q231" s="69">
        <f>(97849/10000)*8.7</f>
        <v>85.128630000000001</v>
      </c>
      <c r="R231" s="69">
        <f>(86739/10000)*8.7</f>
        <v>75.462929999999986</v>
      </c>
      <c r="S231" s="455">
        <f>Q231-R231</f>
        <v>9.6657000000000153</v>
      </c>
      <c r="T231" s="435">
        <f>S231/8.7*10000/(H231)</f>
        <v>0.33303357314148735</v>
      </c>
      <c r="U231" s="435">
        <f>S231/8.5*10000/(H231)</f>
        <v>0.34086965721540469</v>
      </c>
      <c r="V231" s="526"/>
      <c r="W231" s="444"/>
      <c r="X231" s="488"/>
      <c r="Y231" s="436">
        <v>2.64</v>
      </c>
      <c r="Z231" s="33">
        <f t="shared" si="78"/>
        <v>88070.400000000009</v>
      </c>
      <c r="AA231" s="469"/>
      <c r="AB231" s="563"/>
      <c r="AC231" s="546"/>
    </row>
    <row r="232" spans="1:29" x14ac:dyDescent="0.3">
      <c r="A232" s="146">
        <v>43575.875</v>
      </c>
      <c r="B232" s="146">
        <v>43577.625</v>
      </c>
      <c r="C232" s="47"/>
      <c r="D232" s="701"/>
      <c r="E232" s="193" t="s">
        <v>50</v>
      </c>
      <c r="F232" s="562" t="s">
        <v>32</v>
      </c>
      <c r="G232" s="83" t="s">
        <v>396</v>
      </c>
      <c r="H232" s="512">
        <v>32071</v>
      </c>
      <c r="I232" s="513" t="s">
        <v>33</v>
      </c>
      <c r="J232" s="513">
        <v>71500</v>
      </c>
      <c r="K232" s="561">
        <f>(H232)-J232</f>
        <v>-39429</v>
      </c>
      <c r="L232" s="476">
        <f>B232-A232</f>
        <v>1.75</v>
      </c>
      <c r="M232" s="481">
        <f>'[156]MV. TUO FU 11'!$F$53</f>
        <v>1.5208333333357587</v>
      </c>
      <c r="N232" s="462">
        <f>(H232)/L232</f>
        <v>18326.285714285714</v>
      </c>
      <c r="O232" s="462">
        <f>(H232)/M232</f>
        <v>21087.780821884178</v>
      </c>
      <c r="P232" s="449">
        <v>30000</v>
      </c>
      <c r="Q232" s="69">
        <f>(85279/10000)*8.7</f>
        <v>74.192729999999997</v>
      </c>
      <c r="R232" s="69">
        <f>(74974/10000)*8.7</f>
        <v>65.227379999999997</v>
      </c>
      <c r="S232" s="455">
        <f>Q232-R232</f>
        <v>8.9653500000000008</v>
      </c>
      <c r="T232" s="435">
        <f>S232/8.7*10000/(H232)</f>
        <v>0.32131832496648066</v>
      </c>
      <c r="U232" s="435">
        <f>S232/8.5*10000/(H232)</f>
        <v>0.32887875614216255</v>
      </c>
      <c r="V232" s="450"/>
      <c r="W232" s="444"/>
      <c r="X232" s="488"/>
      <c r="Y232" s="436">
        <v>2.64</v>
      </c>
      <c r="Z232" s="33">
        <f>H232*Y232</f>
        <v>84667.44</v>
      </c>
      <c r="AA232" s="469"/>
      <c r="AB232" s="722"/>
      <c r="AC232" s="546"/>
    </row>
    <row r="233" spans="1:29" x14ac:dyDescent="0.3">
      <c r="A233" s="146">
        <v>43577.885416666664</v>
      </c>
      <c r="B233" s="146">
        <v>43584.5625</v>
      </c>
      <c r="C233" s="47"/>
      <c r="D233" s="701"/>
      <c r="E233" s="193" t="s">
        <v>229</v>
      </c>
      <c r="F233" s="562" t="s">
        <v>39</v>
      </c>
      <c r="G233" s="83" t="s">
        <v>399</v>
      </c>
      <c r="H233" s="512">
        <f>89091-H234</f>
        <v>80929</v>
      </c>
      <c r="I233" s="447" t="s">
        <v>40</v>
      </c>
      <c r="J233" s="513">
        <v>89800</v>
      </c>
      <c r="K233" s="561">
        <f>(H233)-J233</f>
        <v>-8871</v>
      </c>
      <c r="L233" s="476">
        <f>B233-A233</f>
        <v>6.6770833333357587</v>
      </c>
      <c r="M233" s="481">
        <f>'[156]Taipower Prosperity VII'!$F$143</f>
        <v>4.338541666659391</v>
      </c>
      <c r="N233" s="462">
        <f>(H233+H234+H235)/L233</f>
        <v>13448.985959433492</v>
      </c>
      <c r="O233" s="462">
        <f>(H233+H234+H235)/M233</f>
        <v>20698.199279746594</v>
      </c>
      <c r="P233" s="449">
        <v>30000</v>
      </c>
      <c r="Q233" s="69">
        <f>(74609/10000)*8.7</f>
        <v>64.909829999999985</v>
      </c>
      <c r="R233" s="69">
        <f>(42518/10000)*8.7</f>
        <v>36.990659999999998</v>
      </c>
      <c r="S233" s="455">
        <f>Q233-R233</f>
        <v>27.919169999999987</v>
      </c>
      <c r="T233" s="435">
        <f>S233/8.7*10000/(H233+H234+H235)</f>
        <v>0.35736080178173707</v>
      </c>
      <c r="U233" s="435">
        <f>S233/8.5*10000/(H233+H234+H235)</f>
        <v>0.36576929123542501</v>
      </c>
      <c r="V233" s="450"/>
      <c r="W233" s="444"/>
      <c r="X233" s="488"/>
      <c r="Y233" s="436">
        <v>2.64</v>
      </c>
      <c r="Z233" s="33">
        <f>H233*Y233</f>
        <v>213652.56</v>
      </c>
      <c r="AA233" s="469"/>
      <c r="AB233" s="722"/>
      <c r="AC233" s="546"/>
    </row>
    <row r="234" spans="1:29" x14ac:dyDescent="0.3">
      <c r="A234" s="146"/>
      <c r="B234" s="146"/>
      <c r="C234" s="47"/>
      <c r="D234" s="701"/>
      <c r="E234" s="193" t="s">
        <v>74</v>
      </c>
      <c r="F234" s="562"/>
      <c r="G234" s="83"/>
      <c r="H234" s="512">
        <v>8162</v>
      </c>
      <c r="I234" s="447"/>
      <c r="J234" s="447"/>
      <c r="K234" s="542"/>
      <c r="L234" s="27"/>
      <c r="M234" s="448"/>
      <c r="N234" s="434"/>
      <c r="O234" s="449"/>
      <c r="P234" s="449"/>
      <c r="Q234" s="69"/>
      <c r="R234" s="69"/>
      <c r="S234" s="455"/>
      <c r="T234" s="435"/>
      <c r="U234" s="435"/>
      <c r="V234" s="450"/>
      <c r="W234" s="444"/>
      <c r="X234" s="488"/>
      <c r="Y234" s="436">
        <v>6.5</v>
      </c>
      <c r="Z234" s="33">
        <f>H234*Y234</f>
        <v>53053</v>
      </c>
      <c r="AA234" s="469"/>
      <c r="AB234" s="722"/>
      <c r="AC234" s="546"/>
    </row>
    <row r="235" spans="1:29" x14ac:dyDescent="0.3">
      <c r="A235" s="146"/>
      <c r="B235" s="146"/>
      <c r="C235" s="47"/>
      <c r="D235" s="701"/>
      <c r="E235" s="44" t="s">
        <v>229</v>
      </c>
      <c r="F235" s="45"/>
      <c r="G235" s="25"/>
      <c r="H235" s="433">
        <v>709</v>
      </c>
      <c r="I235" s="447"/>
      <c r="J235" s="447"/>
      <c r="K235" s="449"/>
      <c r="L235" s="448"/>
      <c r="M235" s="448"/>
      <c r="N235" s="449"/>
      <c r="O235" s="449"/>
      <c r="P235" s="449"/>
      <c r="Q235" s="317"/>
      <c r="R235" s="317"/>
      <c r="S235" s="317"/>
      <c r="T235" s="550"/>
      <c r="U235" s="550"/>
      <c r="V235" s="450"/>
      <c r="W235" s="444"/>
      <c r="X235" s="488"/>
      <c r="Y235" s="436">
        <v>2.64</v>
      </c>
      <c r="Z235" s="33">
        <f>H235*Y235</f>
        <v>1871.76</v>
      </c>
      <c r="AA235" s="469"/>
      <c r="AB235" s="722"/>
      <c r="AC235" s="546"/>
    </row>
    <row r="236" spans="1:29" x14ac:dyDescent="0.3">
      <c r="A236" s="35"/>
      <c r="B236" s="35"/>
      <c r="C236" s="20">
        <v>1000000018</v>
      </c>
      <c r="D236" s="35"/>
      <c r="E236" s="122" t="s">
        <v>43</v>
      </c>
      <c r="F236" s="123"/>
      <c r="G236" s="123"/>
      <c r="H236" s="501">
        <f>SUM(H225:H235)</f>
        <v>375709</v>
      </c>
      <c r="I236" s="482"/>
      <c r="J236" s="482"/>
      <c r="K236" s="482"/>
      <c r="L236" s="482"/>
      <c r="M236" s="482"/>
      <c r="N236" s="482"/>
      <c r="O236" s="482"/>
      <c r="P236" s="482"/>
      <c r="Q236" s="482"/>
      <c r="R236" s="482"/>
      <c r="S236" s="440">
        <f>SUM(S225:S235)</f>
        <v>88.877460000000013</v>
      </c>
      <c r="T236" s="453">
        <f>S236/8.7*10000/H236</f>
        <v>0.2719072473643166</v>
      </c>
      <c r="U236" s="453">
        <f>S236/8.5*10000/H236</f>
        <v>0.2783050649493593</v>
      </c>
      <c r="V236" s="43">
        <f>(U236-T236)/U236</f>
        <v>2.2988505747126315E-2</v>
      </c>
      <c r="W236" s="485">
        <v>375000</v>
      </c>
      <c r="X236" s="485">
        <f>H236-W236</f>
        <v>709</v>
      </c>
      <c r="Y236" s="130"/>
      <c r="Z236" s="432">
        <f>SUM(Z225:Z235)</f>
        <v>1042970.4400000002</v>
      </c>
      <c r="AA236" s="432"/>
      <c r="AB236" s="446">
        <f>SUM(AB225:AB232)</f>
        <v>0</v>
      </c>
      <c r="AC236" s="446">
        <f>SUM(AC225:AC235)</f>
        <v>0</v>
      </c>
    </row>
    <row r="237" spans="1:29" x14ac:dyDescent="0.3">
      <c r="A237" s="146">
        <v>43586.902777777781</v>
      </c>
      <c r="B237" s="146">
        <v>43589.069444444445</v>
      </c>
      <c r="C237" s="23"/>
      <c r="D237" s="25"/>
      <c r="E237" s="97" t="s">
        <v>379</v>
      </c>
      <c r="F237" s="25" t="s">
        <v>39</v>
      </c>
      <c r="G237" s="25" t="s">
        <v>396</v>
      </c>
      <c r="H237" s="542">
        <v>39360</v>
      </c>
      <c r="I237" s="468" t="s">
        <v>40</v>
      </c>
      <c r="J237" s="548">
        <v>88000</v>
      </c>
      <c r="K237" s="542">
        <f>(H237)-J237</f>
        <v>-48640</v>
      </c>
      <c r="L237" s="448">
        <f>B237-A237</f>
        <v>2.1666666666642413</v>
      </c>
      <c r="M237" s="27">
        <f>'[157]PEACE ARK'!$F$71</f>
        <v>0.98611111112647143</v>
      </c>
      <c r="N237" s="434">
        <f>(H237)/L237</f>
        <v>18166.15384617418</v>
      </c>
      <c r="O237" s="434">
        <f>(H237)/M237</f>
        <v>39914.366196561365</v>
      </c>
      <c r="P237" s="542">
        <v>30000</v>
      </c>
      <c r="Q237" s="69">
        <f>(138031/10000)*8.7</f>
        <v>120.08696999999999</v>
      </c>
      <c r="R237" s="69">
        <f>(127880/10000)*8.7</f>
        <v>111.25559999999999</v>
      </c>
      <c r="S237" s="455">
        <f>Q237-R237</f>
        <v>8.8313700000000068</v>
      </c>
      <c r="T237" s="435">
        <f>S237/8.7*10000/(H237)</f>
        <v>0.25790142276422784</v>
      </c>
      <c r="U237" s="435">
        <f>S237/8.5*10000/(H237)</f>
        <v>0.26396969153515087</v>
      </c>
      <c r="V237" s="526"/>
      <c r="W237" s="557"/>
      <c r="X237" s="543"/>
      <c r="Y237" s="436">
        <v>2.64</v>
      </c>
      <c r="Z237" s="33">
        <f t="shared" ref="Z237:Z252" si="79">H237*Y237</f>
        <v>103910.40000000001</v>
      </c>
      <c r="AA237" s="469"/>
      <c r="AB237" s="545"/>
      <c r="AC237" s="546"/>
    </row>
    <row r="238" spans="1:29" x14ac:dyDescent="0.3">
      <c r="A238" s="146">
        <v>43589.333333333336</v>
      </c>
      <c r="B238" s="146">
        <v>43591.895833333336</v>
      </c>
      <c r="C238" s="23"/>
      <c r="D238" s="25"/>
      <c r="E238" s="35" t="s">
        <v>103</v>
      </c>
      <c r="F238" s="36" t="s">
        <v>32</v>
      </c>
      <c r="G238" s="25" t="s">
        <v>399</v>
      </c>
      <c r="H238" s="433">
        <f>67002-H239</f>
        <v>58673</v>
      </c>
      <c r="I238" s="433" t="s">
        <v>36</v>
      </c>
      <c r="J238" s="433">
        <v>67000</v>
      </c>
      <c r="K238" s="561">
        <f>(H238+H239)-J238</f>
        <v>2</v>
      </c>
      <c r="L238" s="448">
        <f>B238-A238</f>
        <v>2.5625</v>
      </c>
      <c r="M238" s="27">
        <f>'[157]DEWI PARWATI'!$F$145</f>
        <v>0</v>
      </c>
      <c r="N238" s="434">
        <f>(H238+H239)/L238</f>
        <v>26147.121951219513</v>
      </c>
      <c r="O238" s="434"/>
      <c r="P238" s="542">
        <v>30000</v>
      </c>
      <c r="Q238" s="69">
        <f>(128433/10000)*8.7</f>
        <v>111.73670999999999</v>
      </c>
      <c r="R238" s="69">
        <f>(113110/10000)*8.7</f>
        <v>98.405699999999996</v>
      </c>
      <c r="S238" s="455">
        <f>Q238-R238</f>
        <v>13.331009999999992</v>
      </c>
      <c r="T238" s="435">
        <f>S238/8.7*10000/(H238+H239)</f>
        <v>0.22869466583087059</v>
      </c>
      <c r="U238" s="435">
        <f>S238/8.5*10000/(H238+H239)</f>
        <v>0.23407571679159694</v>
      </c>
      <c r="V238" s="526"/>
      <c r="W238" s="444"/>
      <c r="X238" s="32"/>
      <c r="Y238" s="436">
        <v>2.64</v>
      </c>
      <c r="Z238" s="33">
        <f t="shared" si="79"/>
        <v>154896.72</v>
      </c>
      <c r="AA238" s="564"/>
      <c r="AB238" s="445"/>
      <c r="AC238" s="546"/>
    </row>
    <row r="239" spans="1:29" x14ac:dyDescent="0.3">
      <c r="A239" s="23"/>
      <c r="B239" s="23"/>
      <c r="C239" s="23"/>
      <c r="D239" s="25"/>
      <c r="E239" s="35" t="s">
        <v>419</v>
      </c>
      <c r="F239" s="36"/>
      <c r="G239" s="25"/>
      <c r="H239" s="433">
        <v>8329</v>
      </c>
      <c r="I239" s="433"/>
      <c r="J239" s="433"/>
      <c r="K239" s="449"/>
      <c r="L239" s="27"/>
      <c r="M239" s="27"/>
      <c r="N239" s="434"/>
      <c r="O239" s="434"/>
      <c r="P239" s="542"/>
      <c r="Q239" s="35"/>
      <c r="R239" s="35"/>
      <c r="S239" s="330"/>
      <c r="T239" s="526"/>
      <c r="U239" s="526"/>
      <c r="V239" s="526"/>
      <c r="W239" s="444"/>
      <c r="X239" s="32"/>
      <c r="Y239" s="544">
        <v>6.5</v>
      </c>
      <c r="Z239" s="469">
        <f t="shared" si="79"/>
        <v>54138.5</v>
      </c>
      <c r="AA239" s="564"/>
      <c r="AB239" s="445"/>
      <c r="AC239" s="546"/>
    </row>
    <row r="240" spans="1:29" x14ac:dyDescent="0.3">
      <c r="A240" s="146">
        <v>43593.145833333336</v>
      </c>
      <c r="B240" s="146">
        <v>43595.368055555555</v>
      </c>
      <c r="C240" s="23"/>
      <c r="D240" s="25"/>
      <c r="E240" s="44" t="s">
        <v>257</v>
      </c>
      <c r="F240" s="45" t="s">
        <v>39</v>
      </c>
      <c r="G240" s="25" t="s">
        <v>396</v>
      </c>
      <c r="H240" s="433">
        <v>54619</v>
      </c>
      <c r="I240" s="433" t="s">
        <v>33</v>
      </c>
      <c r="J240" s="433">
        <v>81900</v>
      </c>
      <c r="K240" s="542">
        <f>(H240)-J240</f>
        <v>-27281</v>
      </c>
      <c r="L240" s="448">
        <f>B240-A240</f>
        <v>2.2222222222189885</v>
      </c>
      <c r="M240" s="27">
        <f>'[157]PASIFIC ENERGY'!$F$99</f>
        <v>1.1927083333309081</v>
      </c>
      <c r="N240" s="434">
        <f>(H240)/L240</f>
        <v>24578.550000035768</v>
      </c>
      <c r="O240" s="434">
        <f>(H240)/M240</f>
        <v>45794.096069962114</v>
      </c>
      <c r="P240" s="542">
        <v>30000</v>
      </c>
      <c r="Q240" s="69">
        <f>(110497/10000)*8.7</f>
        <v>96.132389999999987</v>
      </c>
      <c r="R240" s="69">
        <f>(98859/10000)*8.7</f>
        <v>86.007329999999982</v>
      </c>
      <c r="S240" s="455">
        <f>Q240-R240</f>
        <v>10.125060000000005</v>
      </c>
      <c r="T240" s="435">
        <f>S240/8.7*10000/(H240)</f>
        <v>0.21307603581171397</v>
      </c>
      <c r="U240" s="435">
        <f>S240/8.5*10000/(H240)</f>
        <v>0.218089589595519</v>
      </c>
      <c r="V240" s="526"/>
      <c r="W240" s="444"/>
      <c r="X240" s="32"/>
      <c r="Y240" s="436">
        <v>2.64</v>
      </c>
      <c r="Z240" s="33">
        <f t="shared" si="79"/>
        <v>144194.16</v>
      </c>
      <c r="AA240" s="564"/>
      <c r="AB240" s="445"/>
      <c r="AC240" s="546"/>
    </row>
    <row r="241" spans="1:29" x14ac:dyDescent="0.3">
      <c r="A241" s="146">
        <v>43598.6875</v>
      </c>
      <c r="B241" s="146">
        <v>43599.84375</v>
      </c>
      <c r="C241" s="47"/>
      <c r="D241" s="25"/>
      <c r="E241" s="44" t="s">
        <v>420</v>
      </c>
      <c r="F241" s="45" t="s">
        <v>32</v>
      </c>
      <c r="G241" s="25" t="s">
        <v>396</v>
      </c>
      <c r="H241" s="433">
        <v>28220</v>
      </c>
      <c r="I241" s="447" t="s">
        <v>33</v>
      </c>
      <c r="J241" s="447">
        <v>66500</v>
      </c>
      <c r="K241" s="542">
        <f>(H241)-J241</f>
        <v>-38280</v>
      </c>
      <c r="L241" s="448">
        <f>B241-A241</f>
        <v>1.15625</v>
      </c>
      <c r="M241" s="448">
        <f>'[157]XIN DONG GUAN 11'!$F$63</f>
        <v>0.73263888887110318</v>
      </c>
      <c r="N241" s="434">
        <f>(H241)/L241</f>
        <v>24406.486486486487</v>
      </c>
      <c r="O241" s="434">
        <f>(H241)/M241</f>
        <v>38518.29383979764</v>
      </c>
      <c r="P241" s="449">
        <v>30000</v>
      </c>
      <c r="Q241" s="69">
        <f>(92247/10000)*8.7</f>
        <v>80.254890000000003</v>
      </c>
      <c r="R241" s="69">
        <f>(86018/10000)*8.7</f>
        <v>74.835660000000004</v>
      </c>
      <c r="S241" s="455">
        <f>Q241-R241</f>
        <v>5.4192299999999989</v>
      </c>
      <c r="T241" s="435">
        <f>S241/8.7*10000/(H241)</f>
        <v>0.22072997873848332</v>
      </c>
      <c r="U241" s="435">
        <f>S241/8.5*10000/(H241)</f>
        <v>0.22592362529703586</v>
      </c>
      <c r="V241" s="526"/>
      <c r="W241" s="444"/>
      <c r="X241" s="32"/>
      <c r="Y241" s="436">
        <v>2.64</v>
      </c>
      <c r="Z241" s="33">
        <f t="shared" si="79"/>
        <v>74500.800000000003</v>
      </c>
      <c r="AA241" s="564"/>
      <c r="AB241" s="563"/>
      <c r="AC241" s="546"/>
    </row>
    <row r="242" spans="1:29" x14ac:dyDescent="0.3">
      <c r="A242" s="146">
        <v>43600.083333333336</v>
      </c>
      <c r="B242" s="146">
        <v>43601.319444444445</v>
      </c>
      <c r="C242" s="47"/>
      <c r="D242" s="25"/>
      <c r="E242" s="44" t="s">
        <v>102</v>
      </c>
      <c r="F242" s="45" t="s">
        <v>32</v>
      </c>
      <c r="G242" s="25" t="s">
        <v>396</v>
      </c>
      <c r="H242" s="433">
        <f>36683-H243</f>
        <v>29968</v>
      </c>
      <c r="I242" s="447" t="s">
        <v>33</v>
      </c>
      <c r="J242" s="447">
        <v>71500</v>
      </c>
      <c r="K242" s="542">
        <f>(H242)-J242</f>
        <v>-41532</v>
      </c>
      <c r="L242" s="448">
        <f>B242-A242</f>
        <v>1.2361111111094942</v>
      </c>
      <c r="M242" s="448">
        <f>'[157]SHAO SHAN 1'!$F$67</f>
        <v>0.78993055554625846</v>
      </c>
      <c r="N242" s="434">
        <f>(H242+H243)/L242</f>
        <v>29676.13483149949</v>
      </c>
      <c r="O242" s="434">
        <f>(H242+H243)/M242</f>
        <v>46438.2593412059</v>
      </c>
      <c r="P242" s="449">
        <v>30000</v>
      </c>
      <c r="Q242" s="69">
        <f>(84900/10000)*8.7</f>
        <v>73.863</v>
      </c>
      <c r="R242" s="69">
        <f>(77874/10000)*8.7</f>
        <v>67.750379999999993</v>
      </c>
      <c r="S242" s="455">
        <f>Q242-R242</f>
        <v>6.1126200000000068</v>
      </c>
      <c r="T242" s="435">
        <f>S242/8.7*10000/(H242+H243)</f>
        <v>0.19153286263391786</v>
      </c>
      <c r="U242" s="435">
        <f>S242/8.5*10000/(H242+H243)</f>
        <v>0.19603951822530413</v>
      </c>
      <c r="V242" s="526"/>
      <c r="W242" s="444"/>
      <c r="X242" s="32"/>
      <c r="Y242" s="436">
        <v>2.64</v>
      </c>
      <c r="Z242" s="33">
        <f t="shared" si="79"/>
        <v>79115.520000000004</v>
      </c>
      <c r="AA242" s="564"/>
      <c r="AB242" s="563"/>
      <c r="AC242" s="546"/>
    </row>
    <row r="243" spans="1:29" x14ac:dyDescent="0.3">
      <c r="A243" s="146"/>
      <c r="B243" s="146"/>
      <c r="C243" s="47"/>
      <c r="D243" s="25"/>
      <c r="E243" s="44" t="s">
        <v>285</v>
      </c>
      <c r="F243" s="45"/>
      <c r="G243" s="25"/>
      <c r="H243" s="433">
        <v>6715</v>
      </c>
      <c r="I243" s="447"/>
      <c r="J243" s="447"/>
      <c r="K243" s="542"/>
      <c r="L243" s="448"/>
      <c r="M243" s="448"/>
      <c r="N243" s="434"/>
      <c r="O243" s="434"/>
      <c r="P243" s="449"/>
      <c r="Q243" s="69"/>
      <c r="R243" s="69"/>
      <c r="S243" s="455"/>
      <c r="T243" s="435"/>
      <c r="U243" s="435"/>
      <c r="V243" s="526"/>
      <c r="W243" s="444"/>
      <c r="X243" s="32"/>
      <c r="Y243" s="544">
        <v>6.5</v>
      </c>
      <c r="Z243" s="33">
        <f t="shared" si="79"/>
        <v>43647.5</v>
      </c>
      <c r="AA243" s="564"/>
      <c r="AB243" s="563"/>
      <c r="AC243" s="546"/>
    </row>
    <row r="244" spans="1:29" x14ac:dyDescent="0.3">
      <c r="A244" s="146">
        <v>43601.666666666664</v>
      </c>
      <c r="B244" s="146">
        <v>43602.930555555555</v>
      </c>
      <c r="C244" s="23"/>
      <c r="D244" s="25"/>
      <c r="E244" s="35" t="s">
        <v>421</v>
      </c>
      <c r="F244" s="36" t="s">
        <v>212</v>
      </c>
      <c r="G244" s="25" t="s">
        <v>396</v>
      </c>
      <c r="H244" s="433">
        <f>29274-H245</f>
        <v>22302</v>
      </c>
      <c r="I244" s="433" t="s">
        <v>33</v>
      </c>
      <c r="J244" s="433">
        <v>55050</v>
      </c>
      <c r="K244" s="542">
        <f>(H244)-J244</f>
        <v>-32748</v>
      </c>
      <c r="L244" s="448">
        <f>B244-A244</f>
        <v>1.2638888888905058</v>
      </c>
      <c r="M244" s="27">
        <f>'[157]YM RIGHTNESS'!$F$65</f>
        <v>0.71180555556081038</v>
      </c>
      <c r="N244" s="434">
        <f>(H244+H245)/L244</f>
        <v>23161.846153816525</v>
      </c>
      <c r="O244" s="434">
        <f>(H244+H245)/M244</f>
        <v>41126.39999969639</v>
      </c>
      <c r="P244" s="542">
        <v>30000</v>
      </c>
      <c r="Q244" s="69">
        <f>(77290/10000)*8.7</f>
        <v>67.2423</v>
      </c>
      <c r="R244" s="69">
        <f>(69400/10000)*8.7</f>
        <v>60.378</v>
      </c>
      <c r="S244" s="455">
        <f>Q244-R244</f>
        <v>6.8643000000000001</v>
      </c>
      <c r="T244" s="435">
        <f>S244/8.7*10000/(H244+H245)</f>
        <v>0.26952244312359092</v>
      </c>
      <c r="U244" s="435">
        <f>S244/8.5*10000/(H244+H245)</f>
        <v>0.27586414766767542</v>
      </c>
      <c r="V244" s="526"/>
      <c r="W244" s="444"/>
      <c r="X244" s="32"/>
      <c r="Y244" s="544">
        <v>2.64</v>
      </c>
      <c r="Z244" s="33">
        <f t="shared" si="79"/>
        <v>58877.280000000006</v>
      </c>
      <c r="AA244" s="564"/>
      <c r="AB244" s="445"/>
      <c r="AC244" s="546"/>
    </row>
    <row r="245" spans="1:29" x14ac:dyDescent="0.3">
      <c r="A245" s="146"/>
      <c r="B245" s="146"/>
      <c r="C245" s="23"/>
      <c r="D245" s="25"/>
      <c r="E245" s="35" t="s">
        <v>422</v>
      </c>
      <c r="F245" s="36"/>
      <c r="G245" s="25"/>
      <c r="H245" s="433">
        <v>6972</v>
      </c>
      <c r="I245" s="433"/>
      <c r="J245" s="433"/>
      <c r="K245" s="542"/>
      <c r="L245" s="448"/>
      <c r="M245" s="27"/>
      <c r="N245" s="434"/>
      <c r="O245" s="434"/>
      <c r="P245" s="542"/>
      <c r="Q245" s="69"/>
      <c r="R245" s="69"/>
      <c r="S245" s="455"/>
      <c r="T245" s="435"/>
      <c r="U245" s="435"/>
      <c r="V245" s="526"/>
      <c r="W245" s="444"/>
      <c r="X245" s="32"/>
      <c r="Y245" s="544">
        <v>6.5</v>
      </c>
      <c r="Z245" s="33">
        <f t="shared" si="79"/>
        <v>45318</v>
      </c>
      <c r="AA245" s="564"/>
      <c r="AB245" s="445"/>
      <c r="AC245" s="546"/>
    </row>
    <row r="246" spans="1:29" x14ac:dyDescent="0.3">
      <c r="A246" s="146">
        <v>43603.875</v>
      </c>
      <c r="B246" s="146">
        <v>43606.625</v>
      </c>
      <c r="C246" s="23"/>
      <c r="D246" s="701"/>
      <c r="E246" s="35" t="s">
        <v>423</v>
      </c>
      <c r="F246" s="36" t="s">
        <v>91</v>
      </c>
      <c r="G246" s="25" t="s">
        <v>396</v>
      </c>
      <c r="H246" s="433">
        <v>75669</v>
      </c>
      <c r="I246" s="447" t="s">
        <v>33</v>
      </c>
      <c r="J246" s="447">
        <v>154000</v>
      </c>
      <c r="K246" s="542">
        <f>(H246)-J246</f>
        <v>-78331</v>
      </c>
      <c r="L246" s="448">
        <f>B246-A246</f>
        <v>2.75</v>
      </c>
      <c r="M246" s="448">
        <f>'[157]LOWLANDS PHOENIX'!$F$111</f>
        <v>1.1909722222383909</v>
      </c>
      <c r="N246" s="434">
        <f>(H246)/L246</f>
        <v>27516</v>
      </c>
      <c r="O246" s="434">
        <f>(H246)/M246</f>
        <v>63535.486879603908</v>
      </c>
      <c r="P246" s="449">
        <v>30000</v>
      </c>
      <c r="Q246" s="69">
        <f>(67740/10000)*8.7</f>
        <v>58.933799999999998</v>
      </c>
      <c r="R246" s="69">
        <f>(51281/10000)*8.7</f>
        <v>44.614469999999997</v>
      </c>
      <c r="S246" s="455">
        <f>Q246-R246</f>
        <v>14.319330000000001</v>
      </c>
      <c r="T246" s="435">
        <f>S246/8.7*10000/(H246)</f>
        <v>0.21751311633561959</v>
      </c>
      <c r="U246" s="435">
        <f>S246/8.5*10000/(H246)</f>
        <v>0.22263107201410476</v>
      </c>
      <c r="V246" s="450"/>
      <c r="W246" s="444"/>
      <c r="X246" s="32"/>
      <c r="Y246" s="544">
        <v>2.64</v>
      </c>
      <c r="Z246" s="469">
        <f t="shared" si="79"/>
        <v>199766.16</v>
      </c>
      <c r="AA246" s="564"/>
      <c r="AB246" s="722"/>
      <c r="AC246" s="546"/>
    </row>
    <row r="247" spans="1:29" x14ac:dyDescent="0.3">
      <c r="A247" s="146">
        <v>43606.909722222219</v>
      </c>
      <c r="B247" s="146">
        <v>43607.972222222219</v>
      </c>
      <c r="C247" s="23"/>
      <c r="D247" s="701"/>
      <c r="E247" s="35" t="s">
        <v>424</v>
      </c>
      <c r="F247" s="36" t="s">
        <v>32</v>
      </c>
      <c r="G247" s="25" t="s">
        <v>396</v>
      </c>
      <c r="H247" s="433">
        <v>32949</v>
      </c>
      <c r="I247" s="447"/>
      <c r="J247" s="447">
        <v>56715</v>
      </c>
      <c r="K247" s="542">
        <f>(H247)-J247</f>
        <v>-23766</v>
      </c>
      <c r="L247" s="448">
        <f>B247-A247</f>
        <v>1.0625</v>
      </c>
      <c r="M247" s="448">
        <f>'[157]CUI PING FENG'!$F$62</f>
        <v>0.70833333333818393</v>
      </c>
      <c r="N247" s="434">
        <f>(H247)/L247</f>
        <v>31010.823529411766</v>
      </c>
      <c r="O247" s="434">
        <f>(H247)/M247</f>
        <v>46516.235293799109</v>
      </c>
      <c r="P247" s="449">
        <v>30000</v>
      </c>
      <c r="Q247" s="69">
        <f>(49357/10000)*8.7</f>
        <v>42.940589999999993</v>
      </c>
      <c r="R247" s="69">
        <f>(44257/10000)*8.7</f>
        <v>38.503589999999996</v>
      </c>
      <c r="S247" s="455">
        <f>Q247-R247</f>
        <v>4.4369999999999976</v>
      </c>
      <c r="T247" s="435">
        <f>S247/8.7*10000/(H247)</f>
        <v>0.15478466721296544</v>
      </c>
      <c r="U247" s="435">
        <f>S247/8.5*10000/(H247)</f>
        <v>0.15842665938268224</v>
      </c>
      <c r="V247" s="450"/>
      <c r="W247" s="444"/>
      <c r="X247" s="32"/>
      <c r="Y247" s="544">
        <v>2.64</v>
      </c>
      <c r="Z247" s="469">
        <f t="shared" si="79"/>
        <v>86985.36</v>
      </c>
      <c r="AA247" s="564"/>
      <c r="AB247" s="722"/>
      <c r="AC247" s="546"/>
    </row>
    <row r="248" spans="1:29" x14ac:dyDescent="0.3">
      <c r="A248" s="146">
        <v>43608.9375</v>
      </c>
      <c r="B248" s="146">
        <v>43609.958333333336</v>
      </c>
      <c r="C248" s="23"/>
      <c r="D248" s="25"/>
      <c r="E248" s="35" t="s">
        <v>331</v>
      </c>
      <c r="F248" s="36" t="s">
        <v>32</v>
      </c>
      <c r="G248" s="36" t="s">
        <v>396</v>
      </c>
      <c r="H248" s="433">
        <v>11224</v>
      </c>
      <c r="I248" s="433" t="s">
        <v>33</v>
      </c>
      <c r="J248" s="433">
        <v>71500</v>
      </c>
      <c r="K248" s="542">
        <f>(H248)-J248</f>
        <v>-60276</v>
      </c>
      <c r="L248" s="448">
        <f>B248-A248</f>
        <v>1.0208333333357587</v>
      </c>
      <c r="M248" s="27">
        <f>'[158]NENG YUAN'!$F$50</f>
        <v>0.50520833333454596</v>
      </c>
      <c r="N248" s="434">
        <f>(H248+H249)/L248</f>
        <v>20389.224489747477</v>
      </c>
      <c r="O248" s="434">
        <f>(H248+H249)/M248</f>
        <v>41198.845360725856</v>
      </c>
      <c r="P248" s="542">
        <v>30000</v>
      </c>
      <c r="Q248" s="69">
        <f>(152463/10000)*8.7</f>
        <v>132.64281</v>
      </c>
      <c r="R248" s="69">
        <f>(146523/10000)*8.7</f>
        <v>127.47501</v>
      </c>
      <c r="S248" s="455">
        <f>Q248-R248</f>
        <v>5.1677999999999997</v>
      </c>
      <c r="T248" s="435">
        <f>S248/8.7*10000/(H248+H249)</f>
        <v>0.2853848371288556</v>
      </c>
      <c r="U248" s="435">
        <f>S248/8.5*10000/(H248+H249)</f>
        <v>0.2920997744730639</v>
      </c>
      <c r="V248" s="526"/>
      <c r="W248" s="444"/>
      <c r="X248" s="32"/>
      <c r="Y248" s="544">
        <v>2.64</v>
      </c>
      <c r="Z248" s="469">
        <f t="shared" si="79"/>
        <v>29631.360000000001</v>
      </c>
      <c r="AA248" s="564"/>
      <c r="AB248" s="445"/>
      <c r="AC248" s="546"/>
    </row>
    <row r="249" spans="1:29" x14ac:dyDescent="0.3">
      <c r="A249" s="146"/>
      <c r="B249" s="146"/>
      <c r="C249" s="23"/>
      <c r="D249" s="25"/>
      <c r="E249" s="35" t="s">
        <v>425</v>
      </c>
      <c r="F249" s="36"/>
      <c r="G249" s="36"/>
      <c r="H249" s="433">
        <v>9590</v>
      </c>
      <c r="I249" s="433"/>
      <c r="J249" s="433"/>
      <c r="K249" s="542"/>
      <c r="L249" s="448"/>
      <c r="M249" s="27"/>
      <c r="N249" s="434"/>
      <c r="O249" s="434"/>
      <c r="P249" s="542"/>
      <c r="Q249" s="69"/>
      <c r="R249" s="69"/>
      <c r="S249" s="455"/>
      <c r="T249" s="435"/>
      <c r="U249" s="435"/>
      <c r="V249" s="526"/>
      <c r="W249" s="444"/>
      <c r="X249" s="32"/>
      <c r="Y249" s="544">
        <v>2.64</v>
      </c>
      <c r="Z249" s="469">
        <f t="shared" si="79"/>
        <v>25317.600000000002</v>
      </c>
      <c r="AA249" s="564"/>
      <c r="AB249" s="445"/>
      <c r="AC249" s="546"/>
    </row>
    <row r="250" spans="1:29" x14ac:dyDescent="0.3">
      <c r="A250" s="146">
        <v>43610.9375</v>
      </c>
      <c r="B250" s="146">
        <v>43614.541666666664</v>
      </c>
      <c r="C250" s="23"/>
      <c r="D250" s="25"/>
      <c r="E250" s="35" t="s">
        <v>426</v>
      </c>
      <c r="F250" s="36" t="s">
        <v>91</v>
      </c>
      <c r="G250" s="36" t="s">
        <v>396</v>
      </c>
      <c r="H250" s="433">
        <v>81391</v>
      </c>
      <c r="I250" s="433" t="s">
        <v>49</v>
      </c>
      <c r="J250" s="433">
        <v>163704</v>
      </c>
      <c r="K250" s="542">
        <f>(H250)-J250</f>
        <v>-82313</v>
      </c>
      <c r="L250" s="448">
        <f>B250-A250</f>
        <v>3.6041666666642413</v>
      </c>
      <c r="M250" s="27">
        <f>[158]SUNLIGHT!$F$138</f>
        <v>1.8142361111119196</v>
      </c>
      <c r="N250" s="434">
        <f>(H250)/L250</f>
        <v>22582.473988454502</v>
      </c>
      <c r="O250" s="434">
        <f>(H250)/M250</f>
        <v>44862.407655482399</v>
      </c>
      <c r="P250" s="542">
        <v>30000</v>
      </c>
      <c r="Q250" s="69">
        <f>(144763/10000)*8.7</f>
        <v>125.94380999999998</v>
      </c>
      <c r="R250" s="69">
        <f>(124968/10000)*8.7</f>
        <v>108.72215999999999</v>
      </c>
      <c r="S250" s="455">
        <f>Q250-R250</f>
        <v>17.221649999999997</v>
      </c>
      <c r="T250" s="435">
        <f>S250/8.7*10000/(H250)</f>
        <v>0.24320870857957264</v>
      </c>
      <c r="U250" s="435">
        <f>S250/8.5*10000/(H250)</f>
        <v>0.24893126642850377</v>
      </c>
      <c r="V250" s="526"/>
      <c r="W250" s="444"/>
      <c r="X250" s="32"/>
      <c r="Y250" s="544">
        <v>2.64</v>
      </c>
      <c r="Z250" s="469">
        <f t="shared" si="79"/>
        <v>214872.24000000002</v>
      </c>
      <c r="AA250" s="564"/>
      <c r="AB250" s="445"/>
      <c r="AC250" s="546"/>
    </row>
    <row r="251" spans="1:29" x14ac:dyDescent="0.3">
      <c r="A251" s="146">
        <v>43614.840277777781</v>
      </c>
      <c r="B251" s="146">
        <v>43615.881944444445</v>
      </c>
      <c r="C251" s="23"/>
      <c r="D251" s="25"/>
      <c r="E251" s="35" t="s">
        <v>427</v>
      </c>
      <c r="F251" s="36" t="s">
        <v>39</v>
      </c>
      <c r="G251" s="36" t="s">
        <v>396</v>
      </c>
      <c r="H251" s="433">
        <f>31743-H252</f>
        <v>24529</v>
      </c>
      <c r="I251" s="433" t="s">
        <v>40</v>
      </c>
      <c r="J251" s="433">
        <v>87400</v>
      </c>
      <c r="K251" s="542">
        <f>(H251)-J251</f>
        <v>-62871</v>
      </c>
      <c r="L251" s="448">
        <f>B251-A251</f>
        <v>1.0416666666642413</v>
      </c>
      <c r="M251" s="27">
        <f>'[158]TW JIANGSU'!$F$62</f>
        <v>0.63888888888565509</v>
      </c>
      <c r="N251" s="434">
        <f>(H251+H252)/L251</f>
        <v>30473.28000007095</v>
      </c>
      <c r="O251" s="434">
        <f>(H251+H252)/M251</f>
        <v>49684.695652425398</v>
      </c>
      <c r="P251" s="542">
        <v>30000</v>
      </c>
      <c r="Q251" s="69">
        <f>(124123/10000)*8.7</f>
        <v>107.98701</v>
      </c>
      <c r="R251" s="69">
        <f>(118340/10000)*8.7</f>
        <v>102.95579999999998</v>
      </c>
      <c r="S251" s="455">
        <f>Q251-R251</f>
        <v>5.0312100000000157</v>
      </c>
      <c r="T251" s="435">
        <f>S251/8.7*10000/(H251)</f>
        <v>0.23576175139630715</v>
      </c>
      <c r="U251" s="435">
        <f>S251/8.5*10000/(H251)</f>
        <v>0.24130908672327905</v>
      </c>
      <c r="V251" s="526"/>
      <c r="W251" s="444"/>
      <c r="X251" s="32"/>
      <c r="Y251" s="544">
        <v>2.64</v>
      </c>
      <c r="Z251" s="469">
        <f t="shared" si="79"/>
        <v>64756.560000000005</v>
      </c>
      <c r="AA251" s="564"/>
      <c r="AB251" s="445"/>
      <c r="AC251" s="546"/>
    </row>
    <row r="252" spans="1:29" x14ac:dyDescent="0.3">
      <c r="A252" s="35"/>
      <c r="B252" s="35"/>
      <c r="C252" s="23"/>
      <c r="D252" s="25"/>
      <c r="E252" s="35" t="s">
        <v>428</v>
      </c>
      <c r="F252" s="36"/>
      <c r="G252" s="36"/>
      <c r="H252" s="433">
        <v>7214</v>
      </c>
      <c r="I252" s="433"/>
      <c r="J252" s="433"/>
      <c r="K252" s="449"/>
      <c r="L252" s="27"/>
      <c r="M252" s="27"/>
      <c r="N252" s="434"/>
      <c r="O252" s="434"/>
      <c r="P252" s="542"/>
      <c r="Q252" s="35"/>
      <c r="R252" s="35"/>
      <c r="S252" s="317"/>
      <c r="T252" s="526"/>
      <c r="U252" s="526"/>
      <c r="V252" s="526"/>
      <c r="W252" s="444"/>
      <c r="X252" s="32"/>
      <c r="Y252" s="544">
        <v>6.5</v>
      </c>
      <c r="Z252" s="33">
        <f t="shared" si="79"/>
        <v>46891</v>
      </c>
      <c r="AA252" s="564"/>
      <c r="AB252" s="445"/>
      <c r="AC252" s="546"/>
    </row>
    <row r="253" spans="1:29" x14ac:dyDescent="0.3">
      <c r="A253" s="35"/>
      <c r="B253" s="35"/>
      <c r="C253" s="20">
        <v>1000000022</v>
      </c>
      <c r="D253" s="35"/>
      <c r="E253" s="122" t="s">
        <v>52</v>
      </c>
      <c r="F253" s="123"/>
      <c r="G253" s="123"/>
      <c r="H253" s="482">
        <f>SUM(H237:H252)</f>
        <v>497724</v>
      </c>
      <c r="I253" s="482"/>
      <c r="J253" s="482"/>
      <c r="K253" s="482"/>
      <c r="L253" s="482"/>
      <c r="M253" s="482"/>
      <c r="N253" s="482"/>
      <c r="O253" s="482"/>
      <c r="P253" s="482"/>
      <c r="Q253" s="482"/>
      <c r="R253" s="482"/>
      <c r="S253" s="440">
        <f ca="1">SUM(S237:S254)</f>
        <v>74.607720000000015</v>
      </c>
      <c r="T253" s="453">
        <f ca="1">S253/8.7*10000/H253</f>
        <v>0.17229629272448191</v>
      </c>
      <c r="U253" s="453">
        <f ca="1">S253/8.5*10000/H253</f>
        <v>0.17635032314152851</v>
      </c>
      <c r="V253" s="43">
        <f ca="1">(U253-T253)/U253</f>
        <v>2.2988505747126284E-2</v>
      </c>
      <c r="W253" s="485">
        <v>375000</v>
      </c>
      <c r="X253" s="485">
        <f>H253-W253</f>
        <v>122724</v>
      </c>
      <c r="Y253" s="130"/>
      <c r="Z253" s="432">
        <f>SUM(Z237:Z252)</f>
        <v>1426819.1600000004</v>
      </c>
      <c r="AA253" s="432"/>
      <c r="AB253" s="446">
        <f ca="1">SUM(AB237:AB254)</f>
        <v>0</v>
      </c>
      <c r="AC253" s="446">
        <f ca="1">SUM(AC237:AC254)</f>
        <v>0</v>
      </c>
    </row>
    <row r="254" spans="1:29" x14ac:dyDescent="0.3">
      <c r="A254" s="146">
        <v>43616.118055555555</v>
      </c>
      <c r="B254" s="146">
        <v>43617.583333333336</v>
      </c>
      <c r="C254" s="23"/>
      <c r="D254" s="25"/>
      <c r="E254" s="35" t="s">
        <v>124</v>
      </c>
      <c r="F254" s="36" t="s">
        <v>32</v>
      </c>
      <c r="G254" s="36" t="s">
        <v>396</v>
      </c>
      <c r="H254" s="433">
        <v>29309</v>
      </c>
      <c r="I254" s="433" t="s">
        <v>33</v>
      </c>
      <c r="J254" s="433">
        <v>70780</v>
      </c>
      <c r="K254" s="542">
        <f t="shared" ref="K254:K259" si="80">(H254)-J254</f>
        <v>-41471</v>
      </c>
      <c r="L254" s="448">
        <f t="shared" ref="L254:L260" si="81">B254-A254</f>
        <v>1.4652777777810115</v>
      </c>
      <c r="M254" s="27">
        <f>'[159]ZHENG JIE'!$F$69</f>
        <v>0.57291666665575269</v>
      </c>
      <c r="N254" s="434">
        <f t="shared" ref="N254:N259" si="82">(H254)/L254</f>
        <v>20002.350710856332</v>
      </c>
      <c r="O254" s="434">
        <f>(H254)/M254</f>
        <v>51157.527273701817</v>
      </c>
      <c r="P254" s="542">
        <v>30000</v>
      </c>
      <c r="Q254" s="69">
        <f>(117230/10000)*8.7</f>
        <v>101.9901</v>
      </c>
      <c r="R254" s="69">
        <f>(110647/10000)*8.7</f>
        <v>96.262889999999999</v>
      </c>
      <c r="S254" s="455">
        <f t="shared" ref="S254:S260" si="83">Q254-R254</f>
        <v>5.7272099999999995</v>
      </c>
      <c r="T254" s="435">
        <f t="shared" ref="T254:T259" si="84">S254/8.7*10000/(H254)</f>
        <v>0.22460677607560817</v>
      </c>
      <c r="U254" s="435">
        <f t="shared" ref="U254:U259" si="85">S254/8.5*10000/(H254)</f>
        <v>0.22989164139503426</v>
      </c>
      <c r="V254" s="526"/>
      <c r="W254" s="444"/>
      <c r="X254" s="32"/>
      <c r="Y254" s="544">
        <v>2.64</v>
      </c>
      <c r="Z254" s="469">
        <f t="shared" ref="Z254:Z261" si="86">H254*Y254</f>
        <v>77375.760000000009</v>
      </c>
      <c r="AA254" s="564"/>
      <c r="AB254" s="445"/>
      <c r="AC254" s="546"/>
    </row>
    <row r="255" spans="1:29" x14ac:dyDescent="0.3">
      <c r="A255" s="146">
        <v>43618.208333333336</v>
      </c>
      <c r="B255" s="146">
        <v>43620.583333333336</v>
      </c>
      <c r="C255" s="50"/>
      <c r="D255" s="36"/>
      <c r="E255" s="35" t="s">
        <v>41</v>
      </c>
      <c r="F255" s="36" t="s">
        <v>39</v>
      </c>
      <c r="G255" s="36" t="s">
        <v>399</v>
      </c>
      <c r="H255" s="433">
        <v>67811</v>
      </c>
      <c r="I255" s="433"/>
      <c r="J255" s="433">
        <v>86558</v>
      </c>
      <c r="K255" s="542">
        <f t="shared" si="80"/>
        <v>-18747</v>
      </c>
      <c r="L255" s="448">
        <f t="shared" si="81"/>
        <v>2.375</v>
      </c>
      <c r="M255" s="565">
        <f>'[159]TAIPOWER PROSPERITY II'!$F$101</f>
        <v>1.5017361111046437</v>
      </c>
      <c r="N255" s="434">
        <f t="shared" si="82"/>
        <v>28552</v>
      </c>
      <c r="O255" s="434">
        <f>(H255)/M255</f>
        <v>45155.070520425681</v>
      </c>
      <c r="P255" s="548">
        <v>30000</v>
      </c>
      <c r="Q255" s="69">
        <f>(108905/10000)*8.7</f>
        <v>94.747349999999983</v>
      </c>
      <c r="R255" s="69">
        <f>(96205/10000)*8.7</f>
        <v>83.698349999999991</v>
      </c>
      <c r="S255" s="455">
        <f t="shared" si="83"/>
        <v>11.048999999999992</v>
      </c>
      <c r="T255" s="435">
        <f t="shared" si="84"/>
        <v>0.18728524870596203</v>
      </c>
      <c r="U255" s="435">
        <f t="shared" si="85"/>
        <v>0.19169196044021997</v>
      </c>
      <c r="V255" s="321"/>
      <c r="W255" s="444"/>
      <c r="X255" s="32"/>
      <c r="Y255" s="544">
        <v>2.64</v>
      </c>
      <c r="Z255" s="469">
        <f t="shared" si="86"/>
        <v>179021.04</v>
      </c>
      <c r="AA255" s="566"/>
      <c r="AB255" s="445"/>
      <c r="AC255" s="553"/>
    </row>
    <row r="256" spans="1:29" x14ac:dyDescent="0.3">
      <c r="A256" s="146">
        <v>43624.548611111109</v>
      </c>
      <c r="B256" s="146">
        <v>43625.222222222219</v>
      </c>
      <c r="C256" s="23"/>
      <c r="D256" s="25"/>
      <c r="E256" s="35" t="s">
        <v>429</v>
      </c>
      <c r="F256" s="36" t="s">
        <v>32</v>
      </c>
      <c r="G256" s="36" t="s">
        <v>396</v>
      </c>
      <c r="H256" s="433">
        <v>14767</v>
      </c>
      <c r="I256" s="433"/>
      <c r="J256" s="433">
        <v>69000</v>
      </c>
      <c r="K256" s="542">
        <f t="shared" si="80"/>
        <v>-54233</v>
      </c>
      <c r="L256" s="448">
        <f t="shared" si="81"/>
        <v>0.67361111110949423</v>
      </c>
      <c r="M256" s="565">
        <f>'[159]NS NINGBO'!$F$45</f>
        <v>0.34548611110100563</v>
      </c>
      <c r="N256" s="434">
        <f t="shared" si="82"/>
        <v>21922.144329949526</v>
      </c>
      <c r="O256" s="462">
        <f>(H256)/M256</f>
        <v>42742.673368084397</v>
      </c>
      <c r="P256" s="542">
        <v>30000</v>
      </c>
      <c r="Q256" s="69">
        <f>(89413/10000)*8.7</f>
        <v>77.78931</v>
      </c>
      <c r="R256" s="69">
        <f>(84420/10000)*8.7</f>
        <v>73.445399999999992</v>
      </c>
      <c r="S256" s="455">
        <f t="shared" si="83"/>
        <v>4.3439100000000082</v>
      </c>
      <c r="T256" s="435">
        <f t="shared" si="84"/>
        <v>0.33811877835714838</v>
      </c>
      <c r="U256" s="435">
        <f t="shared" si="85"/>
        <v>0.34607451431849301</v>
      </c>
      <c r="V256" s="224"/>
      <c r="Y256" s="544">
        <v>2.64</v>
      </c>
      <c r="Z256" s="469">
        <f t="shared" si="86"/>
        <v>38984.880000000005</v>
      </c>
      <c r="AB256" s="445"/>
      <c r="AC256" s="546"/>
    </row>
    <row r="257" spans="1:29" x14ac:dyDescent="0.3">
      <c r="A257" s="146">
        <v>43625.541666666664</v>
      </c>
      <c r="B257" s="146">
        <v>43629.6875</v>
      </c>
      <c r="C257" s="23"/>
      <c r="D257" s="25"/>
      <c r="E257" s="35" t="s">
        <v>430</v>
      </c>
      <c r="F257" s="36" t="s">
        <v>32</v>
      </c>
      <c r="G257" s="36" t="s">
        <v>399</v>
      </c>
      <c r="H257" s="433">
        <v>76240</v>
      </c>
      <c r="I257" s="433"/>
      <c r="J257" s="433">
        <v>76240</v>
      </c>
      <c r="K257" s="542">
        <f t="shared" si="80"/>
        <v>0</v>
      </c>
      <c r="L257" s="448">
        <f t="shared" si="81"/>
        <v>4.1458333333357587</v>
      </c>
      <c r="M257" s="565">
        <f>'[159]GNS HARMONY'!$F$107</f>
        <v>1.5243055555680864</v>
      </c>
      <c r="N257" s="434">
        <f t="shared" si="82"/>
        <v>18389.547738682708</v>
      </c>
      <c r="O257" s="567">
        <f>(H257)/M257</f>
        <v>50016.218678404322</v>
      </c>
      <c r="P257" s="542">
        <v>30000</v>
      </c>
      <c r="Q257" s="69">
        <f>(83615/10000)*8.7</f>
        <v>72.745049999999992</v>
      </c>
      <c r="R257" s="69">
        <f>(65304/10000)*8.7</f>
        <v>56.814479999999996</v>
      </c>
      <c r="S257" s="455">
        <f t="shared" si="83"/>
        <v>15.930569999999996</v>
      </c>
      <c r="T257" s="435">
        <f t="shared" si="84"/>
        <v>0.24017576075550887</v>
      </c>
      <c r="U257" s="435">
        <f t="shared" si="85"/>
        <v>0.24582695512622671</v>
      </c>
      <c r="V257" s="224"/>
      <c r="Y257" s="544">
        <v>2.64</v>
      </c>
      <c r="Z257" s="469">
        <f t="shared" si="86"/>
        <v>201273.60000000001</v>
      </c>
      <c r="AB257" s="445"/>
      <c r="AC257" s="546"/>
    </row>
    <row r="258" spans="1:29" x14ac:dyDescent="0.3">
      <c r="A258" s="146">
        <v>43630.5625</v>
      </c>
      <c r="B258" s="146">
        <v>43633.4375</v>
      </c>
      <c r="C258" s="23"/>
      <c r="D258" s="25"/>
      <c r="E258" s="35" t="s">
        <v>431</v>
      </c>
      <c r="F258" s="36" t="s">
        <v>32</v>
      </c>
      <c r="G258" s="36" t="s">
        <v>399</v>
      </c>
      <c r="H258" s="433">
        <v>75450</v>
      </c>
      <c r="I258" s="433"/>
      <c r="J258" s="433">
        <v>75450</v>
      </c>
      <c r="K258" s="26">
        <f t="shared" si="80"/>
        <v>0</v>
      </c>
      <c r="L258" s="448">
        <f t="shared" si="81"/>
        <v>2.875</v>
      </c>
      <c r="M258" s="27">
        <f>'[159]HUAYANG DREAM'!$F$120</f>
        <v>1.4930555555680864</v>
      </c>
      <c r="N258" s="434">
        <f t="shared" si="82"/>
        <v>26243.478260869564</v>
      </c>
      <c r="O258" s="567">
        <f>(H258)/M258</f>
        <v>50533.953487947976</v>
      </c>
      <c r="P258" s="542">
        <v>30000</v>
      </c>
      <c r="Q258" s="69">
        <f>(63917/10000)*8.7</f>
        <v>55.607789999999994</v>
      </c>
      <c r="R258" s="69">
        <f>(47383/10000)*8.7</f>
        <v>41.223209999999995</v>
      </c>
      <c r="S258" s="455">
        <f t="shared" si="83"/>
        <v>14.38458</v>
      </c>
      <c r="T258" s="435">
        <f t="shared" si="84"/>
        <v>0.21913850231941687</v>
      </c>
      <c r="U258" s="435">
        <f t="shared" si="85"/>
        <v>0.22429470237399132</v>
      </c>
      <c r="V258" s="224"/>
      <c r="Y258" s="544">
        <v>2.64</v>
      </c>
      <c r="Z258" s="469">
        <f t="shared" si="86"/>
        <v>199188</v>
      </c>
      <c r="AB258" s="445"/>
      <c r="AC258" s="546"/>
    </row>
    <row r="259" spans="1:29" x14ac:dyDescent="0.3">
      <c r="A259" s="146">
        <v>43634.1875</v>
      </c>
      <c r="B259" s="146">
        <v>43636.791666666664</v>
      </c>
      <c r="C259" s="23"/>
      <c r="D259" s="25"/>
      <c r="E259" s="35" t="s">
        <v>236</v>
      </c>
      <c r="F259" s="36" t="s">
        <v>32</v>
      </c>
      <c r="G259" s="36" t="s">
        <v>399</v>
      </c>
      <c r="H259" s="433">
        <v>53408</v>
      </c>
      <c r="I259" s="433"/>
      <c r="J259" s="433">
        <v>70000</v>
      </c>
      <c r="K259" s="26">
        <f t="shared" si="80"/>
        <v>-16592</v>
      </c>
      <c r="L259" s="448">
        <f t="shared" si="81"/>
        <v>2.6041666666642413</v>
      </c>
      <c r="M259" s="27"/>
      <c r="N259" s="434">
        <f t="shared" si="82"/>
        <v>20508.672000019102</v>
      </c>
      <c r="O259" s="567"/>
      <c r="P259" s="542">
        <v>30000</v>
      </c>
      <c r="Q259" s="69">
        <f>(163701/10000)*8.7</f>
        <v>142.41987</v>
      </c>
      <c r="R259" s="69">
        <f>(151598/10000)*8.7</f>
        <v>131.89025999999998</v>
      </c>
      <c r="S259" s="455">
        <f t="shared" si="83"/>
        <v>10.529610000000019</v>
      </c>
      <c r="T259" s="435">
        <f t="shared" si="84"/>
        <v>0.22661399041342165</v>
      </c>
      <c r="U259" s="435">
        <f t="shared" si="85"/>
        <v>0.23194608430550215</v>
      </c>
      <c r="V259" s="224"/>
      <c r="Y259" s="544">
        <v>2.64</v>
      </c>
      <c r="Z259" s="469">
        <f t="shared" si="86"/>
        <v>140997.12</v>
      </c>
      <c r="AB259" s="445"/>
      <c r="AC259" s="546"/>
    </row>
    <row r="260" spans="1:29" x14ac:dyDescent="0.3">
      <c r="A260" s="146">
        <v>43637.166666666664</v>
      </c>
      <c r="B260" s="146">
        <v>43639.59375</v>
      </c>
      <c r="C260" s="50"/>
      <c r="D260" s="36"/>
      <c r="E260" s="35" t="s">
        <v>432</v>
      </c>
      <c r="F260" s="36" t="s">
        <v>32</v>
      </c>
      <c r="G260" s="36" t="s">
        <v>399</v>
      </c>
      <c r="H260" s="433">
        <v>58015</v>
      </c>
      <c r="I260" s="433"/>
      <c r="J260" s="433">
        <v>71500</v>
      </c>
      <c r="K260" s="31">
        <f>(H260+H261)-J260</f>
        <v>0</v>
      </c>
      <c r="L260" s="448">
        <f t="shared" si="81"/>
        <v>2.4270833333357587</v>
      </c>
      <c r="M260" s="565">
        <f>'[159]ISL STAR'!$F$117</f>
        <v>1.4756944444658682</v>
      </c>
      <c r="N260" s="434">
        <f>(H260+H261)/L260</f>
        <v>29459.227467781722</v>
      </c>
      <c r="O260" s="567">
        <f>(H260+H261)/M260</f>
        <v>48451.764705178946</v>
      </c>
      <c r="P260" s="548">
        <v>30000</v>
      </c>
      <c r="Q260" s="69">
        <f>(151013/10000)*8.7</f>
        <v>131.38130999999998</v>
      </c>
      <c r="R260" s="69">
        <f>(136353/10000)*8.7</f>
        <v>118.62711</v>
      </c>
      <c r="S260" s="455">
        <f t="shared" si="83"/>
        <v>12.754199999999983</v>
      </c>
      <c r="T260" s="435">
        <f>S260/8.7*10000/(H260+H261)</f>
        <v>0.20503496503496477</v>
      </c>
      <c r="U260" s="435">
        <f>S260/8.5*10000/(H260+H261)</f>
        <v>0.2098593171534345</v>
      </c>
      <c r="V260" s="321"/>
      <c r="W260" s="182"/>
      <c r="X260" s="183"/>
      <c r="Y260" s="544">
        <v>2.64</v>
      </c>
      <c r="Z260" s="469">
        <f t="shared" si="86"/>
        <v>153159.6</v>
      </c>
      <c r="AA260" s="185"/>
      <c r="AB260" s="445"/>
      <c r="AC260" s="553"/>
    </row>
    <row r="261" spans="1:29" x14ac:dyDescent="0.3">
      <c r="A261" s="146"/>
      <c r="B261" s="146"/>
      <c r="C261" s="50"/>
      <c r="D261" s="36"/>
      <c r="E261" s="35" t="s">
        <v>432</v>
      </c>
      <c r="F261" s="36"/>
      <c r="G261" s="36"/>
      <c r="H261" s="433">
        <v>13485</v>
      </c>
      <c r="I261" s="433"/>
      <c r="J261" s="433"/>
      <c r="K261" s="31"/>
      <c r="L261" s="448"/>
      <c r="M261" s="565"/>
      <c r="N261" s="434"/>
      <c r="O261" s="433"/>
      <c r="P261" s="548"/>
      <c r="Q261" s="69"/>
      <c r="R261" s="69"/>
      <c r="S261" s="455"/>
      <c r="T261" s="435"/>
      <c r="U261" s="435"/>
      <c r="V261" s="321"/>
      <c r="W261" s="182"/>
      <c r="X261" s="183"/>
      <c r="Y261" s="544">
        <v>2.64</v>
      </c>
      <c r="Z261" s="469">
        <f t="shared" si="86"/>
        <v>35600.400000000001</v>
      </c>
      <c r="AA261" s="185"/>
      <c r="AB261" s="445"/>
      <c r="AC261" s="553"/>
    </row>
    <row r="262" spans="1:29" x14ac:dyDescent="0.3">
      <c r="A262" s="146">
        <v>43640.020833333336</v>
      </c>
      <c r="B262" s="146">
        <v>43642.944444444445</v>
      </c>
      <c r="C262" s="50"/>
      <c r="D262" s="25"/>
      <c r="E262" s="44" t="s">
        <v>338</v>
      </c>
      <c r="F262" s="177" t="s">
        <v>39</v>
      </c>
      <c r="G262" s="36" t="s">
        <v>399</v>
      </c>
      <c r="H262" s="433">
        <v>71500</v>
      </c>
      <c r="I262" s="447"/>
      <c r="J262" s="433">
        <v>71500</v>
      </c>
      <c r="K262" s="31">
        <f>H262-J262</f>
        <v>0</v>
      </c>
      <c r="L262" s="448">
        <f>B262-A262</f>
        <v>2.9236111111094942</v>
      </c>
      <c r="M262" s="62">
        <f>'[159]HIGH SPEED'!$F$106</f>
        <v>1.411458333349098</v>
      </c>
      <c r="N262" s="434">
        <f>(H262)/L262</f>
        <v>24456.057007139418</v>
      </c>
      <c r="O262" s="567">
        <f>(H262)/M262</f>
        <v>50656.826567699893</v>
      </c>
      <c r="P262" s="548">
        <v>30000</v>
      </c>
      <c r="Q262" s="69">
        <f>(135697/10000)*8.7</f>
        <v>118.05638999999998</v>
      </c>
      <c r="R262" s="69">
        <f>(119797/10000)*8.7</f>
        <v>104.22338999999998</v>
      </c>
      <c r="S262" s="455">
        <f>Q262-R262</f>
        <v>13.832999999999998</v>
      </c>
      <c r="T262" s="435">
        <f>S262/8.7*10000/(H262)</f>
        <v>0.22237762237762235</v>
      </c>
      <c r="U262" s="435">
        <f>S262/8.5*10000/(H262)</f>
        <v>0.22761003702180171</v>
      </c>
      <c r="V262" s="321"/>
      <c r="W262" s="182"/>
      <c r="X262" s="183"/>
      <c r="Y262" s="544">
        <v>2.64</v>
      </c>
      <c r="Z262" s="469">
        <f>H262*Y262</f>
        <v>188760</v>
      </c>
      <c r="AA262" s="185"/>
      <c r="AB262" s="568"/>
      <c r="AC262" s="553"/>
    </row>
    <row r="263" spans="1:29" x14ac:dyDescent="0.3">
      <c r="A263" s="35"/>
      <c r="B263" s="35"/>
      <c r="C263" s="20">
        <v>1000000026</v>
      </c>
      <c r="D263" s="35"/>
      <c r="E263" s="122" t="s">
        <v>60</v>
      </c>
      <c r="F263" s="123"/>
      <c r="G263" s="123"/>
      <c r="H263" s="482">
        <f>SUM(H254:H262)</f>
        <v>459985</v>
      </c>
      <c r="I263" s="482"/>
      <c r="J263" s="482"/>
      <c r="K263" s="482"/>
      <c r="L263" s="482"/>
      <c r="M263" s="482"/>
      <c r="N263" s="482"/>
      <c r="O263" s="482"/>
      <c r="P263" s="482"/>
      <c r="Q263" s="482"/>
      <c r="R263" s="482"/>
      <c r="S263" s="440">
        <f>SUM(S254:S262)</f>
        <v>88.552079999999989</v>
      </c>
      <c r="T263" s="453">
        <f>S263/8.7*10000/H263</f>
        <v>0.22127678076459015</v>
      </c>
      <c r="U263" s="453">
        <f>S263/8.5*10000/H263</f>
        <v>0.22648329325316871</v>
      </c>
      <c r="V263" s="482"/>
      <c r="W263" s="485">
        <v>375000</v>
      </c>
      <c r="X263" s="22">
        <f>H263-W263</f>
        <v>84985</v>
      </c>
      <c r="Y263" s="130"/>
      <c r="Z263" s="432">
        <f>SUM(Z254:Z262)</f>
        <v>1214360.3999999999</v>
      </c>
      <c r="AA263" s="432"/>
      <c r="AB263" s="446">
        <f>SUM(AB254:AB262)</f>
        <v>0</v>
      </c>
      <c r="AC263" s="446">
        <f>SUM(AC254:AC262)</f>
        <v>0</v>
      </c>
    </row>
    <row r="264" spans="1:29" x14ac:dyDescent="0.3">
      <c r="A264" s="146">
        <v>43643.208333333336</v>
      </c>
      <c r="B264" s="146">
        <v>43647.496527777781</v>
      </c>
      <c r="C264" s="50"/>
      <c r="D264" s="25"/>
      <c r="E264" s="44" t="s">
        <v>103</v>
      </c>
      <c r="F264" s="177" t="s">
        <v>32</v>
      </c>
      <c r="G264" s="36" t="s">
        <v>399</v>
      </c>
      <c r="H264" s="433">
        <v>67004</v>
      </c>
      <c r="I264" s="433"/>
      <c r="J264" s="433">
        <v>67000</v>
      </c>
      <c r="K264" s="542">
        <f t="shared" ref="K264:K280" si="87">(H264)-J264</f>
        <v>4</v>
      </c>
      <c r="L264" s="448">
        <f t="shared" ref="L264:L272" si="88">B264-A264</f>
        <v>4.2881944444452529</v>
      </c>
      <c r="M264" s="62">
        <f>'[160]DEWI PARWATI'!$F$137</f>
        <v>1.2569444444622302</v>
      </c>
      <c r="N264" s="434">
        <f t="shared" ref="N264:N277" si="89">(H264)/L264</f>
        <v>15625.224291495029</v>
      </c>
      <c r="O264" s="567">
        <f t="shared" ref="O264:O277" si="90">(H264)/M264</f>
        <v>53307.049723002609</v>
      </c>
      <c r="P264" s="548">
        <v>30000</v>
      </c>
      <c r="Q264" s="69">
        <f>(119578/10000)*8.7</f>
        <v>104.03286</v>
      </c>
      <c r="R264" s="69">
        <f>(101650/10000)*8.7</f>
        <v>88.43549999999999</v>
      </c>
      <c r="S264" s="455">
        <f t="shared" ref="S264:S270" si="91">Q264-R264</f>
        <v>15.597360000000009</v>
      </c>
      <c r="T264" s="435">
        <f t="shared" ref="T264:T270" si="92">S264/8.7*10000/(H264)</f>
        <v>0.2675661154557939</v>
      </c>
      <c r="U264" s="435">
        <f t="shared" ref="U264:U270" si="93">S264/8.5*10000/(H264)</f>
        <v>0.27386178876063605</v>
      </c>
      <c r="V264" s="321"/>
      <c r="W264" s="182"/>
      <c r="X264" s="183"/>
      <c r="Y264" s="544">
        <v>2.64</v>
      </c>
      <c r="Z264" s="469">
        <f t="shared" ref="Z264:Z281" si="94">H264*Y264</f>
        <v>176890.56</v>
      </c>
      <c r="AA264" s="185"/>
      <c r="AB264" s="568"/>
      <c r="AC264" s="553"/>
    </row>
    <row r="265" spans="1:29" x14ac:dyDescent="0.3">
      <c r="A265" s="146">
        <v>43647.763888888891</v>
      </c>
      <c r="B265" s="146">
        <v>43652.6875</v>
      </c>
      <c r="C265" s="23"/>
      <c r="D265" s="23"/>
      <c r="E265" s="35" t="s">
        <v>433</v>
      </c>
      <c r="F265" s="36" t="s">
        <v>39</v>
      </c>
      <c r="G265" s="36" t="s">
        <v>399</v>
      </c>
      <c r="H265" s="433">
        <v>79350</v>
      </c>
      <c r="I265" s="433"/>
      <c r="J265" s="433">
        <v>79469</v>
      </c>
      <c r="K265" s="542">
        <f t="shared" si="87"/>
        <v>-119</v>
      </c>
      <c r="L265" s="448">
        <f t="shared" si="88"/>
        <v>4.9236111111094942</v>
      </c>
      <c r="M265" s="27">
        <f>'[160]AURORA CONFIDENCE'!$F$120</f>
        <v>1.4218750000060634</v>
      </c>
      <c r="N265" s="434">
        <f t="shared" si="89"/>
        <v>16116.220028214037</v>
      </c>
      <c r="O265" s="567">
        <f t="shared" si="90"/>
        <v>55806.59340635543</v>
      </c>
      <c r="P265" s="548">
        <v>30000</v>
      </c>
      <c r="Q265" s="69">
        <f>(101358/10000)*8.7</f>
        <v>88.181459999999987</v>
      </c>
      <c r="R265" s="69">
        <f>(80358/10000)*8.7</f>
        <v>69.911459999999991</v>
      </c>
      <c r="S265" s="455">
        <f t="shared" si="91"/>
        <v>18.269999999999996</v>
      </c>
      <c r="T265" s="435">
        <f t="shared" si="92"/>
        <v>0.26465028355387521</v>
      </c>
      <c r="U265" s="435">
        <f t="shared" si="93"/>
        <v>0.27087734904926047</v>
      </c>
      <c r="V265" s="224"/>
      <c r="W265" s="444"/>
      <c r="X265" s="32"/>
      <c r="Y265" s="544">
        <v>2.64</v>
      </c>
      <c r="Z265" s="469">
        <f t="shared" si="94"/>
        <v>209484</v>
      </c>
      <c r="AA265" s="564"/>
      <c r="AB265" s="445"/>
      <c r="AC265" s="553"/>
    </row>
    <row r="266" spans="1:29" x14ac:dyDescent="0.3">
      <c r="A266" s="146">
        <v>43653.770833333336</v>
      </c>
      <c r="B266" s="146">
        <v>43655.583333333336</v>
      </c>
      <c r="C266" s="23"/>
      <c r="D266" s="23"/>
      <c r="E266" s="35" t="s">
        <v>331</v>
      </c>
      <c r="F266" s="36" t="s">
        <v>32</v>
      </c>
      <c r="G266" s="36" t="s">
        <v>396</v>
      </c>
      <c r="H266" s="433">
        <v>45602</v>
      </c>
      <c r="I266" s="433"/>
      <c r="J266" s="433">
        <v>75800</v>
      </c>
      <c r="K266" s="542">
        <f t="shared" si="87"/>
        <v>-30198</v>
      </c>
      <c r="L266" s="448">
        <f t="shared" si="88"/>
        <v>1.8125</v>
      </c>
      <c r="M266" s="27">
        <f>'[161]NENG YUAN'!$F$66</f>
        <v>0.99999999999151135</v>
      </c>
      <c r="N266" s="434">
        <f t="shared" si="89"/>
        <v>25159.724137931036</v>
      </c>
      <c r="O266" s="567">
        <f t="shared" si="90"/>
        <v>45602.000000387103</v>
      </c>
      <c r="P266" s="542">
        <v>30000</v>
      </c>
      <c r="Q266" s="69">
        <f>(168414/10000)*8.7</f>
        <v>146.52017999999998</v>
      </c>
      <c r="R266" s="69">
        <f>(158036/10000)*8.7</f>
        <v>137.49131999999997</v>
      </c>
      <c r="S266" s="455">
        <f t="shared" si="91"/>
        <v>9.0288600000000088</v>
      </c>
      <c r="T266" s="435">
        <f t="shared" si="92"/>
        <v>0.22757773781851698</v>
      </c>
      <c r="U266" s="435">
        <f t="shared" si="93"/>
        <v>0.23293250812012914</v>
      </c>
      <c r="V266" s="224"/>
      <c r="W266" s="444"/>
      <c r="X266" s="32"/>
      <c r="Y266" s="544">
        <v>2.64</v>
      </c>
      <c r="Z266" s="469">
        <f t="shared" si="94"/>
        <v>120389.28</v>
      </c>
      <c r="AA266" s="564"/>
      <c r="AB266" s="445"/>
      <c r="AC266" s="553"/>
    </row>
    <row r="267" spans="1:29" x14ac:dyDescent="0.3">
      <c r="A267" s="146">
        <v>43655.833333333336</v>
      </c>
      <c r="B267" s="146">
        <v>43656.263888888891</v>
      </c>
      <c r="C267" s="23"/>
      <c r="D267" s="23"/>
      <c r="E267" s="35" t="s">
        <v>263</v>
      </c>
      <c r="F267" s="36" t="s">
        <v>39</v>
      </c>
      <c r="G267" s="36" t="s">
        <v>396</v>
      </c>
      <c r="H267" s="433">
        <v>16148</v>
      </c>
      <c r="I267" s="433"/>
      <c r="J267" s="433">
        <v>82500</v>
      </c>
      <c r="K267" s="542">
        <f t="shared" si="87"/>
        <v>-66352</v>
      </c>
      <c r="L267" s="448">
        <f t="shared" si="88"/>
        <v>0.43055555555474712</v>
      </c>
      <c r="M267" s="27">
        <f>'[161]LEADING GLORY'!$F$34</f>
        <v>0.36458333332848269</v>
      </c>
      <c r="N267" s="434">
        <f t="shared" si="89"/>
        <v>37505.032258134939</v>
      </c>
      <c r="O267" s="567">
        <f t="shared" si="90"/>
        <v>44291.657143446428</v>
      </c>
      <c r="P267" s="542">
        <v>30000</v>
      </c>
      <c r="Q267" s="69">
        <f>(157316/10000)*8.7</f>
        <v>136.86491999999998</v>
      </c>
      <c r="R267" s="69">
        <f>(153966/10000)*8.7</f>
        <v>133.95041999999998</v>
      </c>
      <c r="S267" s="455">
        <f t="shared" si="91"/>
        <v>2.9145000000000039</v>
      </c>
      <c r="T267" s="435">
        <f t="shared" si="92"/>
        <v>0.2074560317067132</v>
      </c>
      <c r="U267" s="435">
        <f t="shared" si="93"/>
        <v>0.21233735009981231</v>
      </c>
      <c r="V267" s="224"/>
      <c r="W267" s="444"/>
      <c r="X267" s="32"/>
      <c r="Y267" s="544">
        <v>2.64</v>
      </c>
      <c r="Z267" s="469">
        <f t="shared" si="94"/>
        <v>42630.720000000001</v>
      </c>
      <c r="AA267" s="564"/>
      <c r="AB267" s="445"/>
      <c r="AC267" s="553"/>
    </row>
    <row r="268" spans="1:29" x14ac:dyDescent="0.3">
      <c r="A268" s="146">
        <v>43656.958333333336</v>
      </c>
      <c r="B268" s="146">
        <v>43657.96875</v>
      </c>
      <c r="C268" s="23"/>
      <c r="D268" s="23"/>
      <c r="E268" s="35" t="s">
        <v>434</v>
      </c>
      <c r="F268" s="36" t="s">
        <v>32</v>
      </c>
      <c r="G268" s="36" t="s">
        <v>396</v>
      </c>
      <c r="H268" s="433">
        <v>32462</v>
      </c>
      <c r="I268" s="433"/>
      <c r="J268" s="433">
        <v>72950</v>
      </c>
      <c r="K268" s="26">
        <f t="shared" si="87"/>
        <v>-40488</v>
      </c>
      <c r="L268" s="448">
        <f t="shared" si="88"/>
        <v>1.0104166666642413</v>
      </c>
      <c r="M268" s="27">
        <f>[161]AVAX!$F$60</f>
        <v>0.7118055555571724</v>
      </c>
      <c r="N268" s="434">
        <f t="shared" si="89"/>
        <v>32127.340206262681</v>
      </c>
      <c r="O268" s="567">
        <f t="shared" si="90"/>
        <v>45605.151219408603</v>
      </c>
      <c r="P268" s="542">
        <v>30000</v>
      </c>
      <c r="Q268" s="69">
        <f>(152990/10000)*8.7</f>
        <v>133.10129999999998</v>
      </c>
      <c r="R268" s="69">
        <f>(146820/10000)*8.7</f>
        <v>127.73339999999999</v>
      </c>
      <c r="S268" s="455">
        <f t="shared" si="91"/>
        <v>5.3678999999999917</v>
      </c>
      <c r="T268" s="435">
        <f t="shared" si="92"/>
        <v>0.19006838765325584</v>
      </c>
      <c r="U268" s="435">
        <f t="shared" si="93"/>
        <v>0.19454058500980301</v>
      </c>
      <c r="V268" s="224"/>
      <c r="W268" s="444"/>
      <c r="X268" s="32"/>
      <c r="Y268" s="544">
        <v>2.64</v>
      </c>
      <c r="Z268" s="469">
        <f t="shared" si="94"/>
        <v>85699.680000000008</v>
      </c>
      <c r="AA268" s="564"/>
      <c r="AB268" s="445"/>
      <c r="AC268" s="553"/>
    </row>
    <row r="269" spans="1:29" x14ac:dyDescent="0.3">
      <c r="A269" s="146">
        <v>43658.194444444445</v>
      </c>
      <c r="B269" s="146">
        <v>43659.333333333336</v>
      </c>
      <c r="C269" s="23"/>
      <c r="D269" s="23"/>
      <c r="E269" s="71" t="s">
        <v>435</v>
      </c>
      <c r="F269" s="36" t="s">
        <v>32</v>
      </c>
      <c r="G269" s="36" t="s">
        <v>396</v>
      </c>
      <c r="H269" s="433">
        <v>32941</v>
      </c>
      <c r="I269" s="433"/>
      <c r="J269" s="433">
        <v>73315</v>
      </c>
      <c r="K269" s="26">
        <f t="shared" si="87"/>
        <v>-40374</v>
      </c>
      <c r="L269" s="448">
        <f t="shared" si="88"/>
        <v>1.1388888888905058</v>
      </c>
      <c r="M269" s="27">
        <f>[161]HARMONY!$F$62</f>
        <v>0.67881944442585029</v>
      </c>
      <c r="N269" s="434">
        <f t="shared" si="89"/>
        <v>28923.804878007719</v>
      </c>
      <c r="O269" s="567">
        <f t="shared" si="90"/>
        <v>48526.895141994202</v>
      </c>
      <c r="P269" s="542">
        <v>30000</v>
      </c>
      <c r="Q269" s="69">
        <f>(146012/10000)*8.7</f>
        <v>127.03044</v>
      </c>
      <c r="R269" s="69">
        <f>(139222/10000)*8.7</f>
        <v>121.12313999999999</v>
      </c>
      <c r="S269" s="455">
        <f t="shared" si="91"/>
        <v>5.9073000000000064</v>
      </c>
      <c r="T269" s="435">
        <f t="shared" si="92"/>
        <v>0.2061261042469873</v>
      </c>
      <c r="U269" s="435">
        <f t="shared" si="93"/>
        <v>0.21097613022926931</v>
      </c>
      <c r="V269" s="224"/>
      <c r="W269" s="444"/>
      <c r="X269" s="32"/>
      <c r="Y269" s="544">
        <v>2.64</v>
      </c>
      <c r="Z269" s="469">
        <f t="shared" si="94"/>
        <v>86964.24</v>
      </c>
      <c r="AA269" s="564"/>
      <c r="AB269" s="445"/>
      <c r="AC269" s="553"/>
    </row>
    <row r="270" spans="1:29" x14ac:dyDescent="0.3">
      <c r="A270" s="146">
        <v>43659.930555555555</v>
      </c>
      <c r="B270" s="146">
        <v>43660.777777777781</v>
      </c>
      <c r="C270" s="23"/>
      <c r="D270" s="23"/>
      <c r="E270" s="35" t="s">
        <v>190</v>
      </c>
      <c r="F270" s="36" t="s">
        <v>32</v>
      </c>
      <c r="G270" s="36" t="s">
        <v>396</v>
      </c>
      <c r="H270" s="433">
        <v>28891</v>
      </c>
      <c r="I270" s="433"/>
      <c r="J270" s="433">
        <v>66800</v>
      </c>
      <c r="K270" s="26">
        <f t="shared" si="87"/>
        <v>-37909</v>
      </c>
      <c r="L270" s="448">
        <f t="shared" si="88"/>
        <v>0.84722222222626442</v>
      </c>
      <c r="M270" s="27">
        <f>'[161]WEI QIN'!$F$54</f>
        <v>0.59722222222141375</v>
      </c>
      <c r="N270" s="434">
        <f t="shared" si="89"/>
        <v>34100.852458853697</v>
      </c>
      <c r="O270" s="567">
        <f t="shared" si="90"/>
        <v>48375.627907042232</v>
      </c>
      <c r="P270" s="542">
        <v>30000</v>
      </c>
      <c r="Q270" s="69">
        <f>(137699/10000)*8.7</f>
        <v>119.79812999999999</v>
      </c>
      <c r="R270" s="69">
        <f>(132419/10000)*8.7</f>
        <v>115.20452999999999</v>
      </c>
      <c r="S270" s="455">
        <f t="shared" si="91"/>
        <v>4.593599999999995</v>
      </c>
      <c r="T270" s="435">
        <f t="shared" si="92"/>
        <v>0.18275587553217246</v>
      </c>
      <c r="U270" s="435">
        <f t="shared" si="93"/>
        <v>0.18705601377998826</v>
      </c>
      <c r="V270" s="224"/>
      <c r="W270" s="444"/>
      <c r="X270" s="32"/>
      <c r="Y270" s="544">
        <v>2.64</v>
      </c>
      <c r="Z270" s="469">
        <f t="shared" si="94"/>
        <v>76272.240000000005</v>
      </c>
      <c r="AA270" s="564"/>
      <c r="AB270" s="445"/>
      <c r="AC270" s="553"/>
    </row>
    <row r="271" spans="1:29" x14ac:dyDescent="0.3">
      <c r="A271" s="146">
        <v>43661.548611111109</v>
      </c>
      <c r="B271" s="146">
        <v>43662.520833333336</v>
      </c>
      <c r="C271" s="23"/>
      <c r="D271" s="23"/>
      <c r="E271" s="35" t="s">
        <v>436</v>
      </c>
      <c r="F271" s="36" t="s">
        <v>32</v>
      </c>
      <c r="G271" s="36" t="s">
        <v>396</v>
      </c>
      <c r="H271" s="433">
        <v>24332</v>
      </c>
      <c r="I271" s="433"/>
      <c r="J271" s="433">
        <v>71300</v>
      </c>
      <c r="K271" s="26">
        <f t="shared" si="87"/>
        <v>-46968</v>
      </c>
      <c r="L271" s="448">
        <f t="shared" si="88"/>
        <v>0.97222222222626442</v>
      </c>
      <c r="M271" s="27">
        <f>'[161]GUANG XIN'!$F$44</f>
        <v>0.5086805555571724</v>
      </c>
      <c r="N271" s="434">
        <f t="shared" si="89"/>
        <v>25027.199999895944</v>
      </c>
      <c r="O271" s="567">
        <f t="shared" si="90"/>
        <v>47833.556313841138</v>
      </c>
      <c r="P271" s="542">
        <v>30000</v>
      </c>
      <c r="Q271" s="69">
        <f>(130751/10000)*8.7</f>
        <v>113.75337</v>
      </c>
      <c r="R271" s="69">
        <f>(125340/10000)*8.7</f>
        <v>109.0458</v>
      </c>
      <c r="S271" s="455">
        <f>Q271-R271</f>
        <v>4.707570000000004</v>
      </c>
      <c r="T271" s="435">
        <f>S271/8.7*10000/(H271)</f>
        <v>0.22238204833141562</v>
      </c>
      <c r="U271" s="435">
        <f>S271/8.5*10000/(H271)</f>
        <v>0.2276145671156842</v>
      </c>
      <c r="V271" s="224"/>
      <c r="W271" s="444"/>
      <c r="X271" s="32"/>
      <c r="Y271" s="544">
        <v>2.64</v>
      </c>
      <c r="Z271" s="469">
        <f t="shared" si="94"/>
        <v>64236.480000000003</v>
      </c>
      <c r="AA271" s="564"/>
      <c r="AB271" s="445"/>
      <c r="AC271" s="553"/>
    </row>
    <row r="272" spans="1:29" x14ac:dyDescent="0.3">
      <c r="A272" s="146">
        <v>43662.743055555555</v>
      </c>
      <c r="B272" s="146">
        <v>43665.611111111109</v>
      </c>
      <c r="C272" s="47"/>
      <c r="D272" s="47"/>
      <c r="E272" s="35" t="s">
        <v>175</v>
      </c>
      <c r="F272" s="45" t="s">
        <v>32</v>
      </c>
      <c r="G272" s="36" t="s">
        <v>399</v>
      </c>
      <c r="H272" s="433">
        <v>48270</v>
      </c>
      <c r="I272" s="447"/>
      <c r="J272" s="433">
        <v>68000</v>
      </c>
      <c r="K272" s="542">
        <f>(H272+H273)-J272</f>
        <v>0</v>
      </c>
      <c r="L272" s="448">
        <f t="shared" si="88"/>
        <v>2.8680555555547471</v>
      </c>
      <c r="M272" s="448">
        <f>[161]EVERMERIET!$F$104</f>
        <v>1.4236111111191956</v>
      </c>
      <c r="N272" s="434">
        <f>(H272+H273)/L272</f>
        <v>23709.443099280292</v>
      </c>
      <c r="O272" s="567">
        <f>(H272+H273)/M272</f>
        <v>47765.853658265332</v>
      </c>
      <c r="P272" s="542">
        <v>30000</v>
      </c>
      <c r="Q272" s="69">
        <f>(124860/10000)*8.7</f>
        <v>108.62819999999999</v>
      </c>
      <c r="R272" s="69">
        <f>(109311/10000)*8.7</f>
        <v>95.100570000000005</v>
      </c>
      <c r="S272" s="455">
        <f>Q272-R272</f>
        <v>13.527629999999988</v>
      </c>
      <c r="T272" s="435">
        <f>S272/8.7*10000/(H272+H273)</f>
        <v>0.2286617647058822</v>
      </c>
      <c r="U272" s="435">
        <f>S272/8.5*10000/(H272+H273)</f>
        <v>0.23404204152249111</v>
      </c>
      <c r="V272" s="313"/>
      <c r="W272" s="444"/>
      <c r="X272" s="32"/>
      <c r="Y272" s="544">
        <v>2.64</v>
      </c>
      <c r="Z272" s="469">
        <f t="shared" si="94"/>
        <v>127432.8</v>
      </c>
      <c r="AA272" s="564"/>
      <c r="AB272" s="563"/>
      <c r="AC272" s="553"/>
    </row>
    <row r="273" spans="1:29" x14ac:dyDescent="0.3">
      <c r="A273" s="146"/>
      <c r="B273" s="146"/>
      <c r="C273" s="47"/>
      <c r="D273" s="47"/>
      <c r="E273" s="35" t="s">
        <v>175</v>
      </c>
      <c r="F273" s="45"/>
      <c r="G273" s="36"/>
      <c r="H273" s="433">
        <v>19730</v>
      </c>
      <c r="I273" s="447"/>
      <c r="J273" s="433"/>
      <c r="K273" s="542"/>
      <c r="L273" s="448"/>
      <c r="M273" s="448"/>
      <c r="N273" s="434"/>
      <c r="O273" s="434"/>
      <c r="P273" s="542"/>
      <c r="Q273" s="69"/>
      <c r="R273" s="69"/>
      <c r="S273" s="455"/>
      <c r="T273" s="435"/>
      <c r="U273" s="435"/>
      <c r="V273" s="313"/>
      <c r="W273" s="444"/>
      <c r="X273" s="32"/>
      <c r="Y273" s="544">
        <v>2.64</v>
      </c>
      <c r="Z273" s="469">
        <f t="shared" si="94"/>
        <v>52087.200000000004</v>
      </c>
      <c r="AA273" s="564"/>
      <c r="AB273" s="563"/>
      <c r="AC273" s="553"/>
    </row>
    <row r="274" spans="1:29" x14ac:dyDescent="0.3">
      <c r="A274" s="146">
        <v>43665.892361111109</v>
      </c>
      <c r="B274" s="146">
        <v>43667.152777777781</v>
      </c>
      <c r="C274" s="47"/>
      <c r="D274" s="47"/>
      <c r="E274" s="35" t="s">
        <v>437</v>
      </c>
      <c r="F274" s="45" t="s">
        <v>32</v>
      </c>
      <c r="G274" s="36" t="s">
        <v>396</v>
      </c>
      <c r="H274" s="433">
        <v>30658</v>
      </c>
      <c r="I274" s="447"/>
      <c r="J274" s="433">
        <v>74500</v>
      </c>
      <c r="K274" s="542">
        <f t="shared" si="87"/>
        <v>-43842</v>
      </c>
      <c r="L274" s="448">
        <f>B274-A274</f>
        <v>1.2604166666715173</v>
      </c>
      <c r="M274" s="448">
        <f>'[161]YU PENG HAI'!$F$62</f>
        <v>0.66145833332727</v>
      </c>
      <c r="N274" s="434">
        <f t="shared" si="89"/>
        <v>24323.702479245236</v>
      </c>
      <c r="O274" s="567">
        <f t="shared" si="90"/>
        <v>46349.102362629586</v>
      </c>
      <c r="P274" s="542">
        <v>30000</v>
      </c>
      <c r="Q274" s="69">
        <f>(109019/10000)*8.7</f>
        <v>94.846529999999987</v>
      </c>
      <c r="R274" s="69">
        <f>(101734/10000)*8.7</f>
        <v>88.508579999999995</v>
      </c>
      <c r="S274" s="455">
        <f>Q274-R274</f>
        <v>6.3379499999999922</v>
      </c>
      <c r="T274" s="435">
        <f>S274/8.7*10000/(H274)</f>
        <v>0.23762150172874916</v>
      </c>
      <c r="U274" s="435">
        <f>S274/8.5*10000/(H274)</f>
        <v>0.24321259588707267</v>
      </c>
      <c r="V274" s="313"/>
      <c r="W274" s="444"/>
      <c r="X274" s="32"/>
      <c r="Y274" s="544">
        <v>2.64</v>
      </c>
      <c r="Z274" s="469">
        <f t="shared" si="94"/>
        <v>80937.12000000001</v>
      </c>
      <c r="AA274" s="564"/>
      <c r="AB274" s="563"/>
      <c r="AC274" s="553"/>
    </row>
    <row r="275" spans="1:29" x14ac:dyDescent="0.3">
      <c r="A275" s="146">
        <v>43668.701388888891</v>
      </c>
      <c r="B275" s="146">
        <v>43669.715277777781</v>
      </c>
      <c r="C275" s="47"/>
      <c r="D275" s="47"/>
      <c r="E275" s="35" t="s">
        <v>438</v>
      </c>
      <c r="F275" s="45" t="s">
        <v>91</v>
      </c>
      <c r="G275" s="36" t="s">
        <v>396</v>
      </c>
      <c r="H275" s="433">
        <v>32103</v>
      </c>
      <c r="I275" s="447"/>
      <c r="J275" s="447">
        <v>74293</v>
      </c>
      <c r="K275" s="542">
        <f t="shared" si="87"/>
        <v>-42190</v>
      </c>
      <c r="L275" s="448">
        <f>B275-A275</f>
        <v>1.0138888888905058</v>
      </c>
      <c r="M275" s="448">
        <f>'[161]GOLDEN FENG'!$F$49</f>
        <v>0.72569444444889086</v>
      </c>
      <c r="N275" s="434">
        <f t="shared" si="89"/>
        <v>31663.232876661834</v>
      </c>
      <c r="O275" s="567">
        <f t="shared" si="90"/>
        <v>44237.626793987321</v>
      </c>
      <c r="P275" s="542">
        <v>30000</v>
      </c>
      <c r="Q275" s="69">
        <f>(98451/10000)*8.7</f>
        <v>85.652369999999991</v>
      </c>
      <c r="R275" s="69">
        <f>(91074/10000)*8.7</f>
        <v>79.234380000000002</v>
      </c>
      <c r="S275" s="455">
        <f>Q275-R275</f>
        <v>6.417989999999989</v>
      </c>
      <c r="T275" s="435">
        <f>S275/8.7*10000/(H275)</f>
        <v>0.22979160826090983</v>
      </c>
      <c r="U275" s="435">
        <f>S275/8.5*10000/(H275)</f>
        <v>0.23519846963175475</v>
      </c>
      <c r="V275" s="313"/>
      <c r="W275" s="444"/>
      <c r="X275" s="32"/>
      <c r="Y275" s="544">
        <v>2.64</v>
      </c>
      <c r="Z275" s="469">
        <f t="shared" si="94"/>
        <v>84751.92</v>
      </c>
      <c r="AA275" s="564"/>
      <c r="AB275" s="563"/>
      <c r="AC275" s="553"/>
    </row>
    <row r="276" spans="1:29" x14ac:dyDescent="0.3">
      <c r="A276" s="146">
        <v>43669.958333333336</v>
      </c>
      <c r="B276" s="146">
        <v>43670.541666666664</v>
      </c>
      <c r="C276" s="47"/>
      <c r="D276" s="47"/>
      <c r="E276" s="35" t="s">
        <v>225</v>
      </c>
      <c r="F276" s="36" t="s">
        <v>32</v>
      </c>
      <c r="G276" s="45" t="s">
        <v>396</v>
      </c>
      <c r="H276" s="433">
        <v>18129</v>
      </c>
      <c r="I276" s="447"/>
      <c r="J276" s="447">
        <v>63700</v>
      </c>
      <c r="K276" s="542">
        <f t="shared" si="87"/>
        <v>-45571</v>
      </c>
      <c r="L276" s="448">
        <f>B276-A276</f>
        <v>0.58333333332848269</v>
      </c>
      <c r="M276" s="448">
        <f>'[161]YI HUI'!$F$45</f>
        <v>0.39756944444040226</v>
      </c>
      <c r="N276" s="434">
        <f t="shared" si="89"/>
        <v>31078.285714544141</v>
      </c>
      <c r="O276" s="567">
        <f t="shared" si="90"/>
        <v>45599.580786489823</v>
      </c>
      <c r="P276" s="542">
        <v>30000</v>
      </c>
      <c r="Q276" s="69">
        <f>(90789/10000)*8.7</f>
        <v>78.986429999999999</v>
      </c>
      <c r="R276" s="69">
        <f>(86680/10000)*8.7</f>
        <v>75.411599999999993</v>
      </c>
      <c r="S276" s="455">
        <f>Q276-R276</f>
        <v>3.5748300000000057</v>
      </c>
      <c r="T276" s="435">
        <f>S276/8.7*10000/(H276)</f>
        <v>0.22665342820894741</v>
      </c>
      <c r="U276" s="435">
        <f>S276/8.5*10000/(H276)</f>
        <v>0.23198645004915788</v>
      </c>
      <c r="V276" s="313"/>
      <c r="W276" s="444"/>
      <c r="X276" s="32"/>
      <c r="Y276" s="544">
        <v>2.64</v>
      </c>
      <c r="Z276" s="469">
        <f t="shared" si="94"/>
        <v>47860.560000000005</v>
      </c>
      <c r="AA276" s="564"/>
      <c r="AB276" s="563"/>
      <c r="AC276" s="553"/>
    </row>
    <row r="277" spans="1:29" x14ac:dyDescent="0.3">
      <c r="A277" s="146">
        <v>43670.8125</v>
      </c>
      <c r="B277" s="146">
        <v>43671.194444444445</v>
      </c>
      <c r="C277" s="47"/>
      <c r="D277" s="47"/>
      <c r="E277" s="35" t="s">
        <v>439</v>
      </c>
      <c r="F277" s="36" t="s">
        <v>32</v>
      </c>
      <c r="G277" s="45" t="s">
        <v>396</v>
      </c>
      <c r="H277" s="433">
        <v>14673</v>
      </c>
      <c r="I277" s="447"/>
      <c r="J277" s="433">
        <v>65700</v>
      </c>
      <c r="K277" s="542">
        <f t="shared" si="87"/>
        <v>-51027</v>
      </c>
      <c r="L277" s="448">
        <f>B277-A277</f>
        <v>0.38194444444525288</v>
      </c>
      <c r="M277" s="448">
        <f>'[161]GNS HOPE'!$F$34</f>
        <v>0.30208333333575865</v>
      </c>
      <c r="N277" s="434">
        <f t="shared" si="89"/>
        <v>38416.581818100502</v>
      </c>
      <c r="O277" s="567">
        <f t="shared" si="90"/>
        <v>48572.689654782444</v>
      </c>
      <c r="P277" s="542">
        <v>30000</v>
      </c>
      <c r="Q277" s="69">
        <f>(86388/10000)*8.7</f>
        <v>75.157559999999989</v>
      </c>
      <c r="R277" s="69">
        <f>(83542/10000)*8.7</f>
        <v>72.681539999999998</v>
      </c>
      <c r="S277" s="455">
        <f>Q277-R277</f>
        <v>2.4760199999999912</v>
      </c>
      <c r="T277" s="435">
        <f>S277/8.7*10000/(H277)</f>
        <v>0.19396169835752675</v>
      </c>
      <c r="U277" s="435">
        <f>S277/8.5*10000/(H277)</f>
        <v>0.19852550302476266</v>
      </c>
      <c r="V277" s="313"/>
      <c r="W277" s="444"/>
      <c r="X277" s="32"/>
      <c r="Y277" s="544">
        <v>2.64</v>
      </c>
      <c r="Z277" s="469">
        <f t="shared" si="94"/>
        <v>38736.720000000001</v>
      </c>
      <c r="AA277" s="564"/>
      <c r="AB277" s="563"/>
      <c r="AC277" s="553"/>
    </row>
    <row r="278" spans="1:29" x14ac:dyDescent="0.3">
      <c r="A278" s="146">
        <v>43671.895833333336</v>
      </c>
      <c r="B278" s="146">
        <v>43673.111111111109</v>
      </c>
      <c r="C278" s="47"/>
      <c r="D278" s="47"/>
      <c r="E278" s="35" t="s">
        <v>440</v>
      </c>
      <c r="F278" s="36" t="s">
        <v>91</v>
      </c>
      <c r="G278" s="45" t="s">
        <v>396</v>
      </c>
      <c r="H278" s="433">
        <f>30963-H279</f>
        <v>22258</v>
      </c>
      <c r="I278" s="447"/>
      <c r="J278" s="433">
        <v>102130</v>
      </c>
      <c r="K278" s="542">
        <f t="shared" si="87"/>
        <v>-79872</v>
      </c>
      <c r="L278" s="448">
        <f>B278-A278</f>
        <v>1.2152777777737356</v>
      </c>
      <c r="M278" s="448">
        <f>'[161]EASTERN BUND'!$F$56</f>
        <v>0.91666666666787933</v>
      </c>
      <c r="N278" s="434">
        <f>(H278+H279)/L278</f>
        <v>25478.125714370457</v>
      </c>
      <c r="O278" s="567">
        <f>(H278+H279)/M278</f>
        <v>33777.818181773495</v>
      </c>
      <c r="P278" s="542">
        <v>30000</v>
      </c>
      <c r="Q278" s="69">
        <f>(82447/10000)*8.7</f>
        <v>71.728889999999993</v>
      </c>
      <c r="R278" s="69">
        <f>(75341/10000)*8.7</f>
        <v>65.546669999999992</v>
      </c>
      <c r="S278" s="455">
        <f>Q278-R278</f>
        <v>6.1822200000000009</v>
      </c>
      <c r="T278" s="435">
        <f>S278/8.7*10000/(H278+H279)</f>
        <v>0.2294997254787973</v>
      </c>
      <c r="U278" s="435">
        <f>S278/8.5*10000/(H278)</f>
        <v>0.32676790367508313</v>
      </c>
      <c r="V278" s="313"/>
      <c r="W278" s="444"/>
      <c r="X278" s="32"/>
      <c r="Y278" s="544">
        <v>2.64</v>
      </c>
      <c r="Z278" s="469">
        <f t="shared" si="94"/>
        <v>58761.120000000003</v>
      </c>
      <c r="AA278" s="564"/>
      <c r="AB278" s="563"/>
      <c r="AC278" s="553"/>
    </row>
    <row r="279" spans="1:29" x14ac:dyDescent="0.3">
      <c r="A279" s="146"/>
      <c r="B279" s="146"/>
      <c r="C279" s="47"/>
      <c r="D279" s="47"/>
      <c r="E279" s="35" t="s">
        <v>441</v>
      </c>
      <c r="F279" s="36"/>
      <c r="G279" s="45"/>
      <c r="H279" s="433">
        <v>8705</v>
      </c>
      <c r="I279" s="447"/>
      <c r="J279" s="433"/>
      <c r="K279" s="542"/>
      <c r="L279" s="448"/>
      <c r="M279" s="448"/>
      <c r="N279" s="434"/>
      <c r="O279" s="434"/>
      <c r="P279" s="542"/>
      <c r="Q279" s="69"/>
      <c r="R279" s="69"/>
      <c r="S279" s="455"/>
      <c r="T279" s="435"/>
      <c r="U279" s="435"/>
      <c r="V279" s="313"/>
      <c r="W279" s="444"/>
      <c r="X279" s="32"/>
      <c r="Y279" s="544">
        <v>6.5</v>
      </c>
      <c r="Z279" s="469">
        <f t="shared" si="94"/>
        <v>56582.5</v>
      </c>
      <c r="AA279" s="564"/>
      <c r="AB279" s="563"/>
      <c r="AC279" s="553"/>
    </row>
    <row r="280" spans="1:29" x14ac:dyDescent="0.3">
      <c r="A280" s="47">
        <v>43674.597222222219</v>
      </c>
      <c r="B280" s="47">
        <v>43676.75</v>
      </c>
      <c r="C280" s="47"/>
      <c r="D280" s="47"/>
      <c r="E280" s="35" t="s">
        <v>442</v>
      </c>
      <c r="F280" s="36" t="s">
        <v>212</v>
      </c>
      <c r="G280" s="45" t="s">
        <v>399</v>
      </c>
      <c r="H280" s="433">
        <f>56700-H281</f>
        <v>53181</v>
      </c>
      <c r="I280" s="447"/>
      <c r="J280" s="447">
        <v>56700</v>
      </c>
      <c r="K280" s="542">
        <f t="shared" si="87"/>
        <v>-3519</v>
      </c>
      <c r="L280" s="448">
        <f>B280-A280</f>
        <v>2.1527777777810115</v>
      </c>
      <c r="M280" s="448">
        <f>'[161]AMIS ORCHID'!$F$98</f>
        <v>1.1874999999987874</v>
      </c>
      <c r="N280" s="434">
        <f>(H280+H281)/L280</f>
        <v>26338.064516089467</v>
      </c>
      <c r="O280" s="567">
        <f>(H280+H281)/M280</f>
        <v>47747.36842110139</v>
      </c>
      <c r="P280" s="542">
        <v>30000</v>
      </c>
      <c r="Q280" s="69">
        <f>(72541/10000)*8.7</f>
        <v>63.110669999999999</v>
      </c>
      <c r="R280" s="69">
        <f>(60493/10000)*8.7</f>
        <v>52.628909999999991</v>
      </c>
      <c r="S280" s="455">
        <f>Q280-R280</f>
        <v>10.481760000000008</v>
      </c>
      <c r="T280" s="435">
        <f>S280/8.7*10000/(H280+H281)</f>
        <v>0.21248677248677264</v>
      </c>
      <c r="U280" s="435">
        <f>S280/8.5*10000/(H280)</f>
        <v>0.2318775944969291</v>
      </c>
      <c r="V280" s="313"/>
      <c r="W280" s="444"/>
      <c r="X280" s="32"/>
      <c r="Y280" s="544">
        <v>2.64</v>
      </c>
      <c r="Z280" s="469">
        <f t="shared" si="94"/>
        <v>140397.84</v>
      </c>
      <c r="AA280" s="564"/>
      <c r="AB280" s="563"/>
      <c r="AC280" s="553"/>
    </row>
    <row r="281" spans="1:29" x14ac:dyDescent="0.3">
      <c r="A281" s="47"/>
      <c r="B281" s="47"/>
      <c r="C281" s="47"/>
      <c r="D281" s="47"/>
      <c r="E281" s="35" t="s">
        <v>443</v>
      </c>
      <c r="F281" s="44"/>
      <c r="G281" s="45"/>
      <c r="H281" s="433">
        <v>3519</v>
      </c>
      <c r="I281" s="447"/>
      <c r="J281" s="447"/>
      <c r="K281" s="542"/>
      <c r="L281" s="448"/>
      <c r="M281" s="448"/>
      <c r="N281" s="434"/>
      <c r="O281" s="567"/>
      <c r="P281" s="542"/>
      <c r="Q281" s="69"/>
      <c r="R281" s="69"/>
      <c r="S281" s="455"/>
      <c r="T281" s="435"/>
      <c r="U281" s="435"/>
      <c r="V281" s="313"/>
      <c r="W281" s="444"/>
      <c r="X281" s="32"/>
      <c r="Y281" s="544">
        <v>6.5</v>
      </c>
      <c r="Z281" s="469">
        <f t="shared" si="94"/>
        <v>22873.5</v>
      </c>
      <c r="AA281" s="564"/>
      <c r="AB281" s="563"/>
      <c r="AC281" s="553"/>
    </row>
    <row r="282" spans="1:29" x14ac:dyDescent="0.3">
      <c r="A282" s="35"/>
      <c r="B282" s="35"/>
      <c r="C282" s="35"/>
      <c r="D282" s="35"/>
      <c r="E282" s="122" t="s">
        <v>67</v>
      </c>
      <c r="F282" s="123"/>
      <c r="G282" s="123"/>
      <c r="H282" s="482">
        <f>SUM(H264:H281)</f>
        <v>577956</v>
      </c>
      <c r="I282" s="482"/>
      <c r="J282" s="482"/>
      <c r="K282" s="482"/>
      <c r="L282" s="482"/>
      <c r="M282" s="482"/>
      <c r="N282" s="482"/>
      <c r="O282" s="482"/>
      <c r="P282" s="482"/>
      <c r="Q282" s="482"/>
      <c r="R282" s="482"/>
      <c r="S282" s="440">
        <f>SUM(S264:S280)</f>
        <v>115.38548999999999</v>
      </c>
      <c r="T282" s="453">
        <f>S282/8.7*10000/H282</f>
        <v>0.2294759462658057</v>
      </c>
      <c r="U282" s="482"/>
      <c r="V282" s="482"/>
      <c r="W282" s="485">
        <v>375000</v>
      </c>
      <c r="X282" s="22">
        <f>H282-W282</f>
        <v>202956</v>
      </c>
      <c r="Y282" s="130"/>
      <c r="Z282" s="432">
        <f>SUM(Z264:Z281)</f>
        <v>1572988.4800000002</v>
      </c>
      <c r="AA282" s="432"/>
      <c r="AB282" s="446">
        <f>SUM(AB264:AB280)</f>
        <v>0</v>
      </c>
      <c r="AC282" s="446">
        <f>SUM(AC264:AC280)</f>
        <v>0</v>
      </c>
    </row>
    <row r="283" spans="1:29" x14ac:dyDescent="0.3">
      <c r="A283" s="47">
        <v>43682.354166666664</v>
      </c>
      <c r="B283" s="47">
        <v>43683.597222222219</v>
      </c>
      <c r="C283" s="23"/>
      <c r="D283" s="23"/>
      <c r="E283" s="35" t="s">
        <v>384</v>
      </c>
      <c r="F283" s="36" t="s">
        <v>32</v>
      </c>
      <c r="G283" s="36" t="s">
        <v>396</v>
      </c>
      <c r="H283" s="433">
        <f>34271-H284</f>
        <v>27981</v>
      </c>
      <c r="I283" s="433"/>
      <c r="J283" s="433">
        <v>68200</v>
      </c>
      <c r="K283" s="542">
        <f>(H283+H284)-J283</f>
        <v>-33929</v>
      </c>
      <c r="L283" s="448">
        <f>B283-A283</f>
        <v>1.2430555555547471</v>
      </c>
      <c r="M283" s="448">
        <f>'[162]ORIENT LOONG'!$F$73</f>
        <v>0.84201388886382722</v>
      </c>
      <c r="N283" s="434">
        <f>(H283+H284)/L283</f>
        <v>27569.966480464856</v>
      </c>
      <c r="O283" s="567">
        <f>(H283+H284)/M283</f>
        <v>40701.22886719081</v>
      </c>
      <c r="P283" s="542">
        <v>30000</v>
      </c>
      <c r="Q283" s="69">
        <f>(149912/10000)*8.7</f>
        <v>130.42343999999997</v>
      </c>
      <c r="R283" s="69">
        <f>(142030/10000)*8.7</f>
        <v>123.56609999999999</v>
      </c>
      <c r="S283" s="455">
        <f>Q283-R283</f>
        <v>6.8573399999999793</v>
      </c>
      <c r="T283" s="435">
        <f>S283/8.7*10000/(H283+H284)</f>
        <v>0.2299903708674966</v>
      </c>
      <c r="U283" s="435">
        <f>S283/8.5*10000/(H283+H284)</f>
        <v>0.23540190900555535</v>
      </c>
      <c r="V283" s="224"/>
      <c r="Y283" s="544">
        <v>2.64</v>
      </c>
      <c r="Z283" s="469">
        <f t="shared" ref="Z283:Z298" si="95">H283*Y283</f>
        <v>73869.84</v>
      </c>
      <c r="AB283" s="445"/>
      <c r="AC283" s="553"/>
    </row>
    <row r="284" spans="1:29" x14ac:dyDescent="0.3">
      <c r="A284" s="146"/>
      <c r="B284" s="146"/>
      <c r="C284" s="23"/>
      <c r="D284" s="23"/>
      <c r="E284" s="35" t="s">
        <v>444</v>
      </c>
      <c r="F284" s="36"/>
      <c r="G284" s="36"/>
      <c r="H284" s="433">
        <v>6290</v>
      </c>
      <c r="I284" s="433"/>
      <c r="J284" s="433"/>
      <c r="K284" s="26"/>
      <c r="L284" s="27"/>
      <c r="M284" s="27"/>
      <c r="N284" s="434"/>
      <c r="O284" s="434"/>
      <c r="P284" s="542"/>
      <c r="Q284" s="35"/>
      <c r="R284" s="69"/>
      <c r="S284" s="224"/>
      <c r="T284" s="526"/>
      <c r="U284" s="526"/>
      <c r="V284" s="224"/>
      <c r="Y284" s="544">
        <v>6.5</v>
      </c>
      <c r="Z284" s="469">
        <f t="shared" si="95"/>
        <v>40885</v>
      </c>
      <c r="AB284" s="445"/>
      <c r="AC284" s="553"/>
    </row>
    <row r="285" spans="1:29" x14ac:dyDescent="0.3">
      <c r="A285" s="47">
        <v>43684.729166666664</v>
      </c>
      <c r="B285" s="47">
        <v>43686.881944444445</v>
      </c>
      <c r="C285" s="23"/>
      <c r="D285" s="23"/>
      <c r="E285" s="35" t="s">
        <v>445</v>
      </c>
      <c r="F285" s="36" t="s">
        <v>212</v>
      </c>
      <c r="G285" s="45" t="s">
        <v>399</v>
      </c>
      <c r="H285" s="433">
        <f>54600-H286</f>
        <v>47953</v>
      </c>
      <c r="I285" s="433"/>
      <c r="J285" s="433">
        <v>54600</v>
      </c>
      <c r="K285" s="542">
        <f>(H285+H286)-J285</f>
        <v>0</v>
      </c>
      <c r="L285" s="448">
        <f>B285-A285</f>
        <v>2.1527777777810115</v>
      </c>
      <c r="M285" s="27">
        <f>'[162]BAO YUN SHENG'!$F$100</f>
        <v>1.1111111111264715</v>
      </c>
      <c r="N285" s="434">
        <f>(H285+H286)/L285</f>
        <v>25362.580645123191</v>
      </c>
      <c r="O285" s="567">
        <f>(H285+H286)/M285</f>
        <v>49139.999999320673</v>
      </c>
      <c r="P285" s="542">
        <v>30000</v>
      </c>
      <c r="Q285" s="69">
        <f>(139415/10000)*8.7</f>
        <v>121.29104999999998</v>
      </c>
      <c r="R285" s="69">
        <f>(126495/10000)*8.7</f>
        <v>110.05064999999999</v>
      </c>
      <c r="S285" s="455">
        <f>Q285-R285</f>
        <v>11.240399999999994</v>
      </c>
      <c r="T285" s="435">
        <f>S285/8.7*10000/(H285+H286)</f>
        <v>0.23663003663003654</v>
      </c>
      <c r="U285" s="435">
        <f>S285/8.5*10000/(H285+H286)</f>
        <v>0.24219780219780207</v>
      </c>
      <c r="V285" s="224"/>
      <c r="Y285" s="544">
        <v>2.64</v>
      </c>
      <c r="Z285" s="469">
        <f t="shared" si="95"/>
        <v>126595.92000000001</v>
      </c>
      <c r="AB285" s="445"/>
      <c r="AC285" s="553"/>
    </row>
    <row r="286" spans="1:29" x14ac:dyDescent="0.3">
      <c r="A286" s="47"/>
      <c r="B286" s="47"/>
      <c r="C286" s="23"/>
      <c r="D286" s="23"/>
      <c r="E286" s="35" t="s">
        <v>446</v>
      </c>
      <c r="F286" s="44"/>
      <c r="G286" s="45"/>
      <c r="H286" s="433">
        <v>6647</v>
      </c>
      <c r="I286" s="433"/>
      <c r="J286" s="433"/>
      <c r="K286" s="542"/>
      <c r="L286" s="448"/>
      <c r="M286" s="27"/>
      <c r="N286" s="434"/>
      <c r="O286" s="434"/>
      <c r="P286" s="542"/>
      <c r="Q286" s="69"/>
      <c r="R286" s="69"/>
      <c r="S286" s="455"/>
      <c r="T286" s="435"/>
      <c r="U286" s="435"/>
      <c r="V286" s="224"/>
      <c r="Y286" s="544">
        <v>6.5</v>
      </c>
      <c r="Z286" s="469">
        <f t="shared" si="95"/>
        <v>43205.5</v>
      </c>
      <c r="AB286" s="445"/>
      <c r="AC286" s="553"/>
    </row>
    <row r="287" spans="1:29" x14ac:dyDescent="0.3">
      <c r="A287" s="47">
        <v>43689.875</v>
      </c>
      <c r="B287" s="47">
        <v>43690.472222222219</v>
      </c>
      <c r="C287" s="47"/>
      <c r="D287" s="47"/>
      <c r="E287" s="44" t="s">
        <v>294</v>
      </c>
      <c r="F287" s="36" t="s">
        <v>32</v>
      </c>
      <c r="G287" s="36" t="s">
        <v>396</v>
      </c>
      <c r="H287" s="433">
        <v>17593</v>
      </c>
      <c r="I287" s="447"/>
      <c r="J287" s="447">
        <v>67000</v>
      </c>
      <c r="K287" s="542">
        <f>(H287+H288)-J287</f>
        <v>-25077</v>
      </c>
      <c r="L287" s="448">
        <f>B287-A287</f>
        <v>0.59722222221898846</v>
      </c>
      <c r="M287" s="448">
        <f>'[162]KARTINI BARUNA'!$F$54</f>
        <v>0.39062499999878736</v>
      </c>
      <c r="N287" s="434">
        <f>(H287)/L287</f>
        <v>29458.046511787412</v>
      </c>
      <c r="O287" s="567">
        <f>(H287)/M287</f>
        <v>45038.080000139817</v>
      </c>
      <c r="P287" s="542">
        <v>30000</v>
      </c>
      <c r="Q287" s="69">
        <f>(120989/10000)*8.7</f>
        <v>105.26043</v>
      </c>
      <c r="R287" s="69">
        <f>(116923/10000)*8.7</f>
        <v>101.72300999999999</v>
      </c>
      <c r="S287" s="455">
        <f>Q287-R287</f>
        <v>3.5374200000000116</v>
      </c>
      <c r="T287" s="435">
        <f>S287/8.7*10000/(H287)</f>
        <v>0.23111464787131322</v>
      </c>
      <c r="U287" s="435">
        <f>S287/8.5*10000/(H287)</f>
        <v>0.23655263958593237</v>
      </c>
      <c r="V287" s="313"/>
      <c r="W287" s="444"/>
      <c r="X287" s="32"/>
      <c r="Y287" s="544">
        <v>2.64</v>
      </c>
      <c r="Z287" s="469">
        <f t="shared" si="95"/>
        <v>46445.520000000004</v>
      </c>
      <c r="AA287" s="564"/>
      <c r="AB287" s="563"/>
      <c r="AC287" s="553"/>
    </row>
    <row r="288" spans="1:29" x14ac:dyDescent="0.3">
      <c r="A288" s="47">
        <v>43692.072916666664</v>
      </c>
      <c r="B288" s="47">
        <v>43692.895833333336</v>
      </c>
      <c r="C288" s="47"/>
      <c r="D288" s="47"/>
      <c r="E288" s="44" t="s">
        <v>447</v>
      </c>
      <c r="F288" s="36" t="s">
        <v>32</v>
      </c>
      <c r="G288" s="36" t="s">
        <v>396</v>
      </c>
      <c r="H288" s="433">
        <f>28467-H289</f>
        <v>24330</v>
      </c>
      <c r="I288" s="447"/>
      <c r="J288" s="447">
        <v>69200</v>
      </c>
      <c r="K288" s="542">
        <f>(H288+H289)-J288</f>
        <v>-40733</v>
      </c>
      <c r="L288" s="448">
        <f>B288-A288</f>
        <v>0.82291666667151731</v>
      </c>
      <c r="M288" s="448">
        <f>'[162]YATAI 1'!$F$52</f>
        <v>0.62500000002425316</v>
      </c>
      <c r="N288" s="434">
        <f>(H288+H289)/L288</f>
        <v>34592.810126378376</v>
      </c>
      <c r="O288" s="567">
        <f>(H288)/M288</f>
        <v>38927.999998489395</v>
      </c>
      <c r="P288" s="542">
        <v>30000</v>
      </c>
      <c r="Q288" s="69">
        <f>(113833/10000)*8.7</f>
        <v>99.03470999999999</v>
      </c>
      <c r="R288" s="69">
        <f>(108753/10000)*8.7</f>
        <v>94.615109999999987</v>
      </c>
      <c r="S288" s="455">
        <f>Q288-R288</f>
        <v>4.4196000000000026</v>
      </c>
      <c r="T288" s="435">
        <f>S288/8.7*10000/(H288+H289)</f>
        <v>0.17845224294797499</v>
      </c>
      <c r="U288" s="435">
        <f>S288/8.5*10000/(H288+H289)</f>
        <v>0.18265111925263322</v>
      </c>
      <c r="V288" s="313"/>
      <c r="W288" s="444"/>
      <c r="X288" s="32"/>
      <c r="Y288" s="544">
        <v>2.64</v>
      </c>
      <c r="Z288" s="469">
        <f t="shared" si="95"/>
        <v>64231.200000000004</v>
      </c>
      <c r="AA288" s="564"/>
      <c r="AB288" s="563"/>
      <c r="AC288" s="553"/>
    </row>
    <row r="289" spans="1:29" x14ac:dyDescent="0.3">
      <c r="A289" s="47"/>
      <c r="B289" s="47"/>
      <c r="C289" s="47"/>
      <c r="D289" s="47"/>
      <c r="E289" s="44" t="s">
        <v>448</v>
      </c>
      <c r="F289" s="36"/>
      <c r="G289" s="36"/>
      <c r="H289" s="433">
        <v>4137</v>
      </c>
      <c r="I289" s="447"/>
      <c r="J289" s="447"/>
      <c r="K289" s="542"/>
      <c r="L289" s="448"/>
      <c r="M289" s="448"/>
      <c r="N289" s="434"/>
      <c r="O289" s="434"/>
      <c r="P289" s="542"/>
      <c r="Q289" s="69"/>
      <c r="R289" s="69"/>
      <c r="S289" s="455"/>
      <c r="T289" s="435"/>
      <c r="U289" s="435"/>
      <c r="V289" s="313"/>
      <c r="W289" s="444"/>
      <c r="X289" s="32"/>
      <c r="Y289" s="544">
        <v>6.5</v>
      </c>
      <c r="Z289" s="469">
        <f t="shared" si="95"/>
        <v>26890.5</v>
      </c>
      <c r="AA289" s="564"/>
      <c r="AB289" s="563"/>
      <c r="AC289" s="553"/>
    </row>
    <row r="290" spans="1:29" x14ac:dyDescent="0.3">
      <c r="A290" s="47">
        <v>43693.180555555555</v>
      </c>
      <c r="B290" s="47">
        <v>43694.177083333336</v>
      </c>
      <c r="C290" s="47"/>
      <c r="D290" s="47"/>
      <c r="E290" s="44" t="s">
        <v>449</v>
      </c>
      <c r="F290" s="36" t="s">
        <v>450</v>
      </c>
      <c r="G290" s="36" t="s">
        <v>399</v>
      </c>
      <c r="H290" s="433">
        <f>25500-H291</f>
        <v>21941</v>
      </c>
      <c r="I290" s="447"/>
      <c r="J290" s="433">
        <v>25500</v>
      </c>
      <c r="K290" s="542">
        <f>(H290+H291)-J290</f>
        <v>0</v>
      </c>
      <c r="L290" s="448">
        <f>B290-A290</f>
        <v>0.99652777778101154</v>
      </c>
      <c r="M290" s="448">
        <f>'[162]CETUS STAR '!$F$64</f>
        <v>0.56770833332363202</v>
      </c>
      <c r="N290" s="434">
        <f>(H290+H291)/L290</f>
        <v>25588.850174132993</v>
      </c>
      <c r="O290" s="567">
        <f>(H290+H291)/M290</f>
        <v>44917.431193428121</v>
      </c>
      <c r="P290" s="542">
        <v>30000</v>
      </c>
      <c r="Q290" s="69">
        <f>(107919/10000)*8.7</f>
        <v>93.889529999999993</v>
      </c>
      <c r="R290" s="69">
        <f>(101544/10000)*8.7</f>
        <v>88.343279999999993</v>
      </c>
      <c r="S290" s="455">
        <f>Q290-R290</f>
        <v>5.5462500000000006</v>
      </c>
      <c r="T290" s="435">
        <f>S290/8.7*10000/(H290+H291)</f>
        <v>0.25000000000000006</v>
      </c>
      <c r="U290" s="435">
        <f>S290/8.5*10000/(H290+H291)</f>
        <v>0.25588235294117651</v>
      </c>
      <c r="V290" s="313"/>
      <c r="W290" s="444"/>
      <c r="X290" s="32"/>
      <c r="Y290" s="544">
        <v>2.64</v>
      </c>
      <c r="Z290" s="469">
        <f t="shared" si="95"/>
        <v>57924.240000000005</v>
      </c>
      <c r="AA290" s="564"/>
      <c r="AB290" s="563"/>
      <c r="AC290" s="553"/>
    </row>
    <row r="291" spans="1:29" x14ac:dyDescent="0.3">
      <c r="A291" s="146"/>
      <c r="B291" s="146"/>
      <c r="C291" s="47"/>
      <c r="D291" s="47"/>
      <c r="E291" s="44" t="s">
        <v>451</v>
      </c>
      <c r="F291" s="36"/>
      <c r="G291" s="36"/>
      <c r="H291" s="433">
        <v>3559</v>
      </c>
      <c r="I291" s="447"/>
      <c r="J291" s="447"/>
      <c r="K291" s="26"/>
      <c r="L291" s="448"/>
      <c r="M291" s="448"/>
      <c r="N291" s="434"/>
      <c r="O291" s="434"/>
      <c r="P291" s="449"/>
      <c r="Q291" s="35"/>
      <c r="R291" s="69"/>
      <c r="S291" s="224"/>
      <c r="T291" s="526"/>
      <c r="U291" s="526"/>
      <c r="V291" s="313"/>
      <c r="W291" s="444"/>
      <c r="X291" s="32"/>
      <c r="Y291" s="544">
        <v>6.5</v>
      </c>
      <c r="Z291" s="469">
        <f t="shared" si="95"/>
        <v>23133.5</v>
      </c>
      <c r="AA291" s="564"/>
      <c r="AB291" s="563"/>
      <c r="AC291" s="553"/>
    </row>
    <row r="292" spans="1:29" x14ac:dyDescent="0.3">
      <c r="A292" s="146">
        <v>43697.611111111109</v>
      </c>
      <c r="B292" s="146">
        <v>43698.520833333336</v>
      </c>
      <c r="C292" s="47"/>
      <c r="D292" s="47"/>
      <c r="E292" s="44" t="s">
        <v>452</v>
      </c>
      <c r="F292" s="36" t="s">
        <v>32</v>
      </c>
      <c r="G292" s="36" t="s">
        <v>396</v>
      </c>
      <c r="H292" s="433">
        <v>25494</v>
      </c>
      <c r="I292" s="447"/>
      <c r="J292" s="447">
        <v>71500</v>
      </c>
      <c r="K292" s="542">
        <f>(H292)-J292</f>
        <v>-46006</v>
      </c>
      <c r="L292" s="448">
        <f>B292-A292</f>
        <v>0.90972222222626442</v>
      </c>
      <c r="M292" s="448">
        <f>'[162]XEI HAI KAI TUO'!$F$56</f>
        <v>0.56423611111191951</v>
      </c>
      <c r="N292" s="434">
        <f>(H292)/L292</f>
        <v>28023.93893117319</v>
      </c>
      <c r="O292" s="567">
        <f>(H292)/M292</f>
        <v>45183.212307627575</v>
      </c>
      <c r="P292" s="542">
        <v>30000</v>
      </c>
      <c r="Q292" s="35">
        <v>82.58</v>
      </c>
      <c r="R292" s="69">
        <v>77.319999999999993</v>
      </c>
      <c r="S292" s="455">
        <f>Q292-R292</f>
        <v>5.2600000000000051</v>
      </c>
      <c r="T292" s="435">
        <f>S292/8.7*10000/(H292)</f>
        <v>0.23715293839704477</v>
      </c>
      <c r="U292" s="435">
        <f>S292/8.5*10000/(H292)</f>
        <v>0.24273300753579874</v>
      </c>
      <c r="V292" s="313"/>
      <c r="W292" s="444"/>
      <c r="X292" s="32"/>
      <c r="Y292" s="544">
        <v>2.64</v>
      </c>
      <c r="Z292" s="469">
        <f t="shared" si="95"/>
        <v>67304.160000000003</v>
      </c>
      <c r="AA292" s="564"/>
      <c r="AB292" s="563"/>
      <c r="AC292" s="553"/>
    </row>
    <row r="293" spans="1:29" x14ac:dyDescent="0.3">
      <c r="A293" s="146">
        <v>43698.875</v>
      </c>
      <c r="B293" s="146">
        <v>43699.809027777781</v>
      </c>
      <c r="C293" s="47"/>
      <c r="D293" s="47"/>
      <c r="E293" s="44" t="s">
        <v>165</v>
      </c>
      <c r="F293" s="36" t="s">
        <v>32</v>
      </c>
      <c r="G293" s="36" t="s">
        <v>396</v>
      </c>
      <c r="H293" s="433">
        <v>18596</v>
      </c>
      <c r="I293" s="447"/>
      <c r="J293" s="447">
        <v>67400</v>
      </c>
      <c r="K293" s="542">
        <f>(H293)-J293</f>
        <v>-48804</v>
      </c>
      <c r="L293" s="448">
        <f>B293-A293</f>
        <v>0.93402777778101154</v>
      </c>
      <c r="M293" s="448">
        <f>'[162]CHANG SENG'!$F$39</f>
        <v>0.40625000000606332</v>
      </c>
      <c r="N293" s="434">
        <f>(H293)/L293</f>
        <v>19909.472118890179</v>
      </c>
      <c r="O293" s="567">
        <f>(H293)/M293</f>
        <v>45774.769230086036</v>
      </c>
      <c r="P293" s="542">
        <v>30000</v>
      </c>
      <c r="Q293" s="35">
        <v>76.38</v>
      </c>
      <c r="R293" s="69">
        <v>72.66</v>
      </c>
      <c r="S293" s="455">
        <f>Q293-R293</f>
        <v>3.7199999999999989</v>
      </c>
      <c r="T293" s="435">
        <f>S293/8.7*10000/(H293)</f>
        <v>0.22993450575207122</v>
      </c>
      <c r="U293" s="435">
        <f>S293/8.5*10000/(H293)</f>
        <v>0.2353447294168258</v>
      </c>
      <c r="V293" s="313"/>
      <c r="W293" s="444"/>
      <c r="X293" s="32"/>
      <c r="Y293" s="544">
        <v>2.64</v>
      </c>
      <c r="Z293" s="469">
        <f t="shared" si="95"/>
        <v>49093.440000000002</v>
      </c>
      <c r="AA293" s="564"/>
      <c r="AB293" s="563"/>
      <c r="AC293" s="553"/>
    </row>
    <row r="294" spans="1:29" x14ac:dyDescent="0.3">
      <c r="A294" s="146">
        <v>43701.944444444445</v>
      </c>
      <c r="B294" s="146">
        <v>43702.944444444445</v>
      </c>
      <c r="C294" s="23"/>
      <c r="D294" s="23"/>
      <c r="E294" s="35" t="s">
        <v>331</v>
      </c>
      <c r="F294" s="36" t="s">
        <v>32</v>
      </c>
      <c r="G294" s="36" t="s">
        <v>396</v>
      </c>
      <c r="H294" s="433">
        <v>32898</v>
      </c>
      <c r="I294" s="433"/>
      <c r="J294" s="433">
        <v>75500</v>
      </c>
      <c r="K294" s="542">
        <f>(H294)-J294</f>
        <v>-42602</v>
      </c>
      <c r="L294" s="448">
        <f>B294-A294</f>
        <v>1</v>
      </c>
      <c r="M294" s="27">
        <f>'[162]NENG YUAN'!$F$62</f>
        <v>0.6875</v>
      </c>
      <c r="N294" s="434">
        <f>(H294)/L294</f>
        <v>32898</v>
      </c>
      <c r="O294" s="567">
        <f>(H294)/M294</f>
        <v>47851.63636363636</v>
      </c>
      <c r="P294" s="542">
        <v>30000</v>
      </c>
      <c r="Q294" s="69">
        <v>69.010000000000005</v>
      </c>
      <c r="R294" s="69">
        <v>63.29</v>
      </c>
      <c r="S294" s="455">
        <f>Q294-R294</f>
        <v>5.720000000000006</v>
      </c>
      <c r="T294" s="435">
        <f>S294/8.7*10000/(H294)</f>
        <v>0.19985143910505709</v>
      </c>
      <c r="U294" s="435">
        <f>S294/8.5*10000/(H294)</f>
        <v>0.20455382590752902</v>
      </c>
      <c r="V294" s="224"/>
      <c r="W294" s="444"/>
      <c r="X294" s="32"/>
      <c r="Y294" s="544">
        <v>2.64</v>
      </c>
      <c r="Z294" s="469">
        <f t="shared" si="95"/>
        <v>86850.72</v>
      </c>
      <c r="AA294" s="564"/>
      <c r="AB294" s="445"/>
      <c r="AC294" s="553"/>
    </row>
    <row r="295" spans="1:29" x14ac:dyDescent="0.3">
      <c r="A295" s="146">
        <v>43705.833333333336</v>
      </c>
      <c r="B295" s="146">
        <v>43707.048611111109</v>
      </c>
      <c r="C295" s="23"/>
      <c r="D295" s="23"/>
      <c r="E295" s="35" t="s">
        <v>113</v>
      </c>
      <c r="F295" s="36" t="s">
        <v>32</v>
      </c>
      <c r="G295" s="36" t="s">
        <v>396</v>
      </c>
      <c r="H295" s="433">
        <f>38441-H296</f>
        <v>29851.620000000003</v>
      </c>
      <c r="I295" s="433"/>
      <c r="J295" s="433">
        <v>75800</v>
      </c>
      <c r="K295" s="542">
        <f>(H295+H296)-J295</f>
        <v>-37359</v>
      </c>
      <c r="L295" s="448">
        <f>B295-A295</f>
        <v>1.2152777777737356</v>
      </c>
      <c r="M295" s="27">
        <f>'[162]CHANG MING'!$F$62</f>
        <v>0.82638888887959183</v>
      </c>
      <c r="N295" s="434">
        <f>(H295+H296)/L295</f>
        <v>31631.451428676639</v>
      </c>
      <c r="O295" s="567">
        <f>(H295+H296)/M295</f>
        <v>46516.840336657777</v>
      </c>
      <c r="P295" s="542">
        <v>30000</v>
      </c>
      <c r="Q295" s="69">
        <f>(184857/10000)*8.7</f>
        <v>160.82559000000001</v>
      </c>
      <c r="R295" s="69">
        <f>(176966/10000)*8.7</f>
        <v>153.96042</v>
      </c>
      <c r="S295" s="455">
        <f>Q295-R295</f>
        <v>6.8651700000000062</v>
      </c>
      <c r="T295" s="435">
        <f>S295/8.7*10000/(H295+H296)</f>
        <v>0.2052756171795741</v>
      </c>
      <c r="U295" s="435">
        <f>S295/8.5*10000/(H295+H296)</f>
        <v>0.21010563170144642</v>
      </c>
      <c r="V295" s="224"/>
      <c r="W295" s="444"/>
      <c r="X295" s="32"/>
      <c r="Y295" s="544">
        <v>2.64</v>
      </c>
      <c r="Z295" s="469">
        <f t="shared" si="95"/>
        <v>78808.276800000007</v>
      </c>
      <c r="AA295" s="564"/>
      <c r="AB295" s="445"/>
      <c r="AC295" s="553"/>
    </row>
    <row r="296" spans="1:29" x14ac:dyDescent="0.3">
      <c r="A296" s="146"/>
      <c r="B296" s="146"/>
      <c r="C296" s="23"/>
      <c r="D296" s="23"/>
      <c r="E296" s="35" t="s">
        <v>453</v>
      </c>
      <c r="F296" s="36"/>
      <c r="G296" s="36"/>
      <c r="H296" s="433">
        <v>8589.3799999999992</v>
      </c>
      <c r="I296" s="433"/>
      <c r="J296" s="433"/>
      <c r="K296" s="542"/>
      <c r="L296" s="448"/>
      <c r="M296" s="27"/>
      <c r="N296" s="434"/>
      <c r="O296" s="567"/>
      <c r="P296" s="542"/>
      <c r="Q296" s="69"/>
      <c r="R296" s="69"/>
      <c r="S296" s="455"/>
      <c r="T296" s="435"/>
      <c r="U296" s="435"/>
      <c r="V296" s="224"/>
      <c r="W296" s="444"/>
      <c r="X296" s="32"/>
      <c r="Y296" s="544">
        <v>6.5</v>
      </c>
      <c r="Z296" s="469">
        <f t="shared" si="95"/>
        <v>55830.969999999994</v>
      </c>
      <c r="AA296" s="564"/>
      <c r="AB296" s="445"/>
      <c r="AC296" s="553"/>
    </row>
    <row r="297" spans="1:29" x14ac:dyDescent="0.3">
      <c r="A297" s="146">
        <v>43707.951388888891</v>
      </c>
      <c r="B297" s="146">
        <v>43708.486111111109</v>
      </c>
      <c r="C297" s="23"/>
      <c r="D297" s="23"/>
      <c r="E297" s="35" t="s">
        <v>454</v>
      </c>
      <c r="F297" s="36" t="s">
        <v>32</v>
      </c>
      <c r="G297" s="36" t="s">
        <v>396</v>
      </c>
      <c r="H297" s="433">
        <v>15777</v>
      </c>
      <c r="I297" s="433"/>
      <c r="J297" s="433">
        <v>38500</v>
      </c>
      <c r="K297" s="542">
        <f>(H297)-J297</f>
        <v>-22723</v>
      </c>
      <c r="L297" s="448">
        <f>B297-A297</f>
        <v>0.53472222221898846</v>
      </c>
      <c r="M297" s="27">
        <f>'[162]DESERT SIGNITY'!$F$36</f>
        <v>0.44791666667151731</v>
      </c>
      <c r="N297" s="434">
        <f>(H297)/L297</f>
        <v>29505.038961217393</v>
      </c>
      <c r="O297" s="567">
        <f>(H297)/M297</f>
        <v>35223.06976706042</v>
      </c>
      <c r="P297" s="542">
        <v>30000</v>
      </c>
      <c r="Q297" s="69">
        <f>(174500/10000)*8.7</f>
        <v>151.81499999999997</v>
      </c>
      <c r="R297" s="69">
        <f>(170480/10000)*8.7</f>
        <v>148.31759999999997</v>
      </c>
      <c r="S297" s="455">
        <f>Q297-R297</f>
        <v>3.497399999999999</v>
      </c>
      <c r="T297" s="435">
        <f>S297/8.7*10000/(H297)</f>
        <v>0.25480129302148691</v>
      </c>
      <c r="U297" s="435">
        <f>S297/8.5*10000/(H297)</f>
        <v>0.26079661756316891</v>
      </c>
      <c r="V297" s="224"/>
      <c r="W297" s="444"/>
      <c r="X297" s="32"/>
      <c r="Y297" s="544">
        <v>2.64</v>
      </c>
      <c r="Z297" s="469">
        <f t="shared" si="95"/>
        <v>41651.279999999999</v>
      </c>
      <c r="AA297" s="564"/>
      <c r="AB297" s="445"/>
      <c r="AC297" s="553"/>
    </row>
    <row r="298" spans="1:29" x14ac:dyDescent="0.3">
      <c r="A298" s="210"/>
      <c r="B298" s="210"/>
      <c r="C298" s="13"/>
      <c r="D298" s="13"/>
      <c r="E298" s="39" t="s">
        <v>29</v>
      </c>
      <c r="F298" s="36"/>
      <c r="G298" s="40"/>
      <c r="H298" s="457">
        <f>375000-SUM(H283:H297)</f>
        <v>83363</v>
      </c>
      <c r="I298" s="457"/>
      <c r="J298" s="457"/>
      <c r="K298" s="569"/>
      <c r="L298" s="528"/>
      <c r="M298" s="17"/>
      <c r="N298" s="505"/>
      <c r="O298" s="570"/>
      <c r="P298" s="569"/>
      <c r="Q298" s="246"/>
      <c r="R298" s="246"/>
      <c r="S298" s="507"/>
      <c r="T298" s="508"/>
      <c r="U298" s="508"/>
      <c r="V298" s="247"/>
      <c r="W298" s="509"/>
      <c r="X298" s="41"/>
      <c r="Y298" s="544">
        <v>2.64</v>
      </c>
      <c r="Z298" s="469">
        <f t="shared" si="95"/>
        <v>220078.32</v>
      </c>
      <c r="AA298" s="571"/>
      <c r="AB298" s="511"/>
      <c r="AC298" s="572"/>
    </row>
    <row r="299" spans="1:29" x14ac:dyDescent="0.3">
      <c r="A299" s="35"/>
      <c r="B299" s="35"/>
      <c r="C299" s="35"/>
      <c r="D299" s="35"/>
      <c r="E299" s="122" t="s">
        <v>72</v>
      </c>
      <c r="F299" s="123"/>
      <c r="G299" s="123"/>
      <c r="H299" s="482">
        <f>SUM(H283:H297)</f>
        <v>291637</v>
      </c>
      <c r="I299" s="482"/>
      <c r="J299" s="482"/>
      <c r="K299" s="482"/>
      <c r="L299" s="482"/>
      <c r="M299" s="482"/>
      <c r="N299" s="482"/>
      <c r="O299" s="482"/>
      <c r="P299" s="482"/>
      <c r="Q299" s="482"/>
      <c r="R299" s="482"/>
      <c r="S299" s="440">
        <f>SUM(S283:S294)</f>
        <v>46.301009999999998</v>
      </c>
      <c r="T299" s="453">
        <f>S299/8.7*10000/H299</f>
        <v>0.18248559587479618</v>
      </c>
      <c r="U299" s="482"/>
      <c r="V299" s="482"/>
      <c r="W299" s="485">
        <v>375000</v>
      </c>
      <c r="X299" s="22">
        <f>H299-W299</f>
        <v>-83363</v>
      </c>
      <c r="Y299" s="130"/>
      <c r="Z299" s="432">
        <f>SUM(Z283:Z297)</f>
        <v>882720.06680000003</v>
      </c>
      <c r="AA299" s="432"/>
      <c r="AB299" s="446">
        <f>SUM(AB283:AB294)</f>
        <v>0</v>
      </c>
      <c r="AC299" s="446">
        <f>SUM(AC283:AC294)</f>
        <v>0</v>
      </c>
    </row>
    <row r="300" spans="1:29" x14ac:dyDescent="0.3">
      <c r="A300" s="146">
        <v>43708.805555555555</v>
      </c>
      <c r="B300" s="146">
        <v>43709.576388888891</v>
      </c>
      <c r="C300" s="23"/>
      <c r="D300" s="23"/>
      <c r="E300" s="35" t="s">
        <v>103</v>
      </c>
      <c r="F300" s="36" t="s">
        <v>32</v>
      </c>
      <c r="G300" s="36" t="s">
        <v>396</v>
      </c>
      <c r="H300" s="433">
        <f>15773-H301</f>
        <v>11059.788</v>
      </c>
      <c r="I300" s="433"/>
      <c r="J300" s="433">
        <v>67000</v>
      </c>
      <c r="K300" s="542">
        <f>(H300)-J300</f>
        <v>-55940.212</v>
      </c>
      <c r="L300" s="448">
        <f>B300-A300</f>
        <v>0.77083333333575865</v>
      </c>
      <c r="M300" s="27">
        <f>'[163]DEWI PARWATI'!$F$53</f>
        <v>0.4878472222214138</v>
      </c>
      <c r="N300" s="434">
        <f>(H300+H301)/L300</f>
        <v>20462.270270205889</v>
      </c>
      <c r="O300" s="567">
        <f>(H300+H301)/M300</f>
        <v>32331.843416423686</v>
      </c>
      <c r="P300" s="542">
        <v>30000</v>
      </c>
      <c r="Q300" s="69">
        <f>(169057/10000)*8.7</f>
        <v>147.07959</v>
      </c>
      <c r="R300" s="69">
        <f>(164798/10000)*8.7</f>
        <v>143.37425999999999</v>
      </c>
      <c r="S300" s="455">
        <f>Q300-R300</f>
        <v>3.7053300000000036</v>
      </c>
      <c r="T300" s="435">
        <f>S300/8.7*10000/(H300+H301)</f>
        <v>0.27001838584923632</v>
      </c>
      <c r="U300" s="435">
        <f>S300/8.5*10000/(H300+H301)</f>
        <v>0.27637175963392424</v>
      </c>
      <c r="V300" s="224"/>
      <c r="W300" s="444"/>
      <c r="X300" s="32"/>
      <c r="Y300" s="544">
        <v>2.64</v>
      </c>
      <c r="Z300" s="469">
        <f t="shared" ref="Z300:Z317" si="96">H300*Y300</f>
        <v>29197.840320000003</v>
      </c>
      <c r="AA300" s="564"/>
      <c r="AB300" s="445"/>
      <c r="AC300" s="553"/>
    </row>
    <row r="301" spans="1:29" x14ac:dyDescent="0.3">
      <c r="A301" s="146"/>
      <c r="B301" s="146"/>
      <c r="C301" s="23"/>
      <c r="D301" s="23"/>
      <c r="E301" s="35" t="s">
        <v>455</v>
      </c>
      <c r="F301" s="36"/>
      <c r="G301" s="36"/>
      <c r="H301" s="433">
        <v>4713.2120000000004</v>
      </c>
      <c r="I301" s="433"/>
      <c r="J301" s="433"/>
      <c r="K301" s="542"/>
      <c r="L301" s="448"/>
      <c r="M301" s="27"/>
      <c r="N301" s="434"/>
      <c r="O301" s="567"/>
      <c r="P301" s="542"/>
      <c r="Q301" s="69"/>
      <c r="R301" s="69"/>
      <c r="S301" s="455"/>
      <c r="T301" s="435"/>
      <c r="U301" s="435"/>
      <c r="V301" s="224"/>
      <c r="W301" s="444"/>
      <c r="X301" s="32"/>
      <c r="Y301" s="544">
        <v>6.5</v>
      </c>
      <c r="Z301" s="469">
        <f t="shared" si="96"/>
        <v>30635.878000000004</v>
      </c>
      <c r="AA301" s="564"/>
      <c r="AB301" s="445"/>
      <c r="AC301" s="553"/>
    </row>
    <row r="302" spans="1:29" x14ac:dyDescent="0.3">
      <c r="A302" s="146">
        <v>43712.677083333336</v>
      </c>
      <c r="B302" s="146">
        <v>43713.53125</v>
      </c>
      <c r="C302" s="23"/>
      <c r="D302" s="23"/>
      <c r="E302" s="35" t="s">
        <v>456</v>
      </c>
      <c r="F302" s="36" t="s">
        <v>32</v>
      </c>
      <c r="G302" s="36" t="s">
        <v>396</v>
      </c>
      <c r="H302" s="433">
        <v>29895</v>
      </c>
      <c r="I302" s="433"/>
      <c r="J302" s="433">
        <v>68000</v>
      </c>
      <c r="K302" s="542">
        <f>(H302)-J302</f>
        <v>-38105</v>
      </c>
      <c r="L302" s="448">
        <f>B302-A302</f>
        <v>0.85416666666424135</v>
      </c>
      <c r="M302" s="27">
        <f>'[163]TAI HANG 8'!$F$52</f>
        <v>0.62847222221777577</v>
      </c>
      <c r="N302" s="434">
        <f>(H302)/L302</f>
        <v>34999.024390343278</v>
      </c>
      <c r="O302" s="567">
        <f>(H302)/M302</f>
        <v>47567.734806966379</v>
      </c>
      <c r="P302" s="542">
        <v>30000</v>
      </c>
      <c r="Q302" s="69">
        <f>(157983/10000)*8.7</f>
        <v>137.44520999999997</v>
      </c>
      <c r="R302" s="69">
        <f>(151533/10000)*8.7</f>
        <v>131.83371</v>
      </c>
      <c r="S302" s="455">
        <f>Q302-R302</f>
        <v>5.6114999999999782</v>
      </c>
      <c r="T302" s="435">
        <f>S302/8.7*10000/(H302)</f>
        <v>0.21575514300050094</v>
      </c>
      <c r="U302" s="435">
        <f>S302/8.5*10000/(H302)</f>
        <v>0.2208317346005127</v>
      </c>
      <c r="V302" s="224"/>
      <c r="Y302" s="544">
        <v>2.64</v>
      </c>
      <c r="Z302" s="469">
        <f t="shared" si="96"/>
        <v>78922.8</v>
      </c>
      <c r="AB302" s="445"/>
      <c r="AC302" s="553"/>
    </row>
    <row r="303" spans="1:29" x14ac:dyDescent="0.3">
      <c r="A303" s="146">
        <v>43715.03125</v>
      </c>
      <c r="B303" s="146">
        <v>43716</v>
      </c>
      <c r="C303" s="23"/>
      <c r="D303" s="23"/>
      <c r="E303" s="35" t="s">
        <v>457</v>
      </c>
      <c r="F303" s="36" t="s">
        <v>32</v>
      </c>
      <c r="G303" s="36" t="s">
        <v>396</v>
      </c>
      <c r="H303" s="433">
        <v>34829</v>
      </c>
      <c r="I303" s="433"/>
      <c r="J303" s="433">
        <v>70300</v>
      </c>
      <c r="K303" s="542">
        <f>(H303)-J303</f>
        <v>-35471</v>
      </c>
      <c r="L303" s="448">
        <f>B303-A303</f>
        <v>0.96875</v>
      </c>
      <c r="M303" s="27">
        <f>'[163]TIAN ZUO'!$F$62</f>
        <v>0.82986111111191951</v>
      </c>
      <c r="N303" s="434">
        <f>(H303)/L303</f>
        <v>35952.516129032258</v>
      </c>
      <c r="O303" s="567">
        <f>(H303)/M303</f>
        <v>41969.673640126479</v>
      </c>
      <c r="P303" s="542">
        <v>30000</v>
      </c>
      <c r="Q303" s="69">
        <f>(148127/10000)*8.7</f>
        <v>128.87048999999999</v>
      </c>
      <c r="R303" s="69">
        <f>(140837/10000)*8.7</f>
        <v>122.52819</v>
      </c>
      <c r="S303" s="455">
        <f>Q303-R303</f>
        <v>6.3422999999999945</v>
      </c>
      <c r="T303" s="435">
        <f>S303/8.7*10000/(H303)</f>
        <v>0.20930833500818269</v>
      </c>
      <c r="U303" s="435">
        <f>S303/8.5*10000/(H303)</f>
        <v>0.21423323700837518</v>
      </c>
      <c r="V303" s="224"/>
      <c r="Y303" s="544">
        <v>2.64</v>
      </c>
      <c r="Z303" s="469">
        <f t="shared" si="96"/>
        <v>91948.56</v>
      </c>
      <c r="AB303" s="445"/>
      <c r="AC303" s="553"/>
    </row>
    <row r="304" spans="1:29" x14ac:dyDescent="0.3">
      <c r="A304" s="146">
        <v>43718.020833333336</v>
      </c>
      <c r="B304" s="146">
        <v>43719.635416666664</v>
      </c>
      <c r="C304" s="23"/>
      <c r="D304" s="23"/>
      <c r="E304" s="35" t="s">
        <v>41</v>
      </c>
      <c r="F304" s="36" t="s">
        <v>39</v>
      </c>
      <c r="G304" s="36" t="s">
        <v>396</v>
      </c>
      <c r="H304" s="433">
        <f>51784-H305-H306</f>
        <v>35467</v>
      </c>
      <c r="I304" s="433"/>
      <c r="J304" s="433">
        <v>86500</v>
      </c>
      <c r="K304" s="542">
        <f>(H304+H305+H306)-J304</f>
        <v>-34716</v>
      </c>
      <c r="L304" s="448">
        <f>B304-A304</f>
        <v>1.6145833333284827</v>
      </c>
      <c r="M304" s="27">
        <f>'[163]TAIPOWER PROSPERITY II'!$F$75</f>
        <v>1.0555555555608105</v>
      </c>
      <c r="N304" s="434">
        <f>(H304+H305+H306)/L304</f>
        <v>32072.67096783829</v>
      </c>
      <c r="O304" s="567">
        <f>(H304+H305+H306)/M304</f>
        <v>49058.526315545241</v>
      </c>
      <c r="P304" s="542">
        <v>30000</v>
      </c>
      <c r="Q304" s="69">
        <f>(136789/10000)*8.7</f>
        <v>119.00642999999999</v>
      </c>
      <c r="R304" s="69">
        <f>(126397/10000)*8.7</f>
        <v>109.96538999999999</v>
      </c>
      <c r="S304" s="455">
        <f>Q304-R304</f>
        <v>9.0410400000000095</v>
      </c>
      <c r="T304" s="435">
        <f>S304/8.7*10000/(H304+H305+H306)</f>
        <v>0.20067974663988902</v>
      </c>
      <c r="U304" s="435">
        <f>S304/8.5*10000/(H304+H305+H306)</f>
        <v>0.20540162303141576</v>
      </c>
      <c r="V304" s="224"/>
      <c r="Y304" s="544">
        <v>2.64</v>
      </c>
      <c r="Z304" s="469">
        <f t="shared" si="96"/>
        <v>93632.88</v>
      </c>
      <c r="AB304" s="445"/>
      <c r="AC304" s="553"/>
    </row>
    <row r="305" spans="1:29" x14ac:dyDescent="0.3">
      <c r="A305" s="146"/>
      <c r="B305" s="146"/>
      <c r="C305" s="23"/>
      <c r="D305" s="23"/>
      <c r="E305" s="35" t="s">
        <v>371</v>
      </c>
      <c r="F305" s="36"/>
      <c r="G305" s="36"/>
      <c r="H305" s="433">
        <v>8271</v>
      </c>
      <c r="I305" s="433"/>
      <c r="J305" s="433"/>
      <c r="K305" s="26"/>
      <c r="L305" s="27"/>
      <c r="M305" s="27"/>
      <c r="N305" s="434"/>
      <c r="O305" s="434"/>
      <c r="P305" s="542"/>
      <c r="Q305" s="69"/>
      <c r="R305" s="69"/>
      <c r="S305" s="224"/>
      <c r="T305" s="526"/>
      <c r="U305" s="526"/>
      <c r="V305" s="224"/>
      <c r="Y305" s="544">
        <v>6.5</v>
      </c>
      <c r="Z305" s="469">
        <f t="shared" si="96"/>
        <v>53761.5</v>
      </c>
      <c r="AB305" s="445"/>
      <c r="AC305" s="573"/>
    </row>
    <row r="306" spans="1:29" x14ac:dyDescent="0.3">
      <c r="A306" s="146"/>
      <c r="B306" s="146"/>
      <c r="C306" s="23"/>
      <c r="D306" s="23"/>
      <c r="E306" s="35" t="s">
        <v>371</v>
      </c>
      <c r="F306" s="36"/>
      <c r="G306" s="36"/>
      <c r="H306" s="433">
        <v>8046</v>
      </c>
      <c r="I306" s="433"/>
      <c r="J306" s="433"/>
      <c r="K306" s="26"/>
      <c r="L306" s="27"/>
      <c r="M306" s="27"/>
      <c r="N306" s="434"/>
      <c r="O306" s="434"/>
      <c r="P306" s="542"/>
      <c r="Q306" s="69"/>
      <c r="R306" s="69"/>
      <c r="S306" s="224"/>
      <c r="T306" s="526"/>
      <c r="U306" s="526"/>
      <c r="V306" s="224"/>
      <c r="Y306" s="544">
        <v>6.5</v>
      </c>
      <c r="Z306" s="469">
        <f t="shared" si="96"/>
        <v>52299</v>
      </c>
      <c r="AB306" s="445"/>
      <c r="AC306" s="573"/>
    </row>
    <row r="307" spans="1:29" x14ac:dyDescent="0.3">
      <c r="A307" s="146">
        <v>43719.864583333336</v>
      </c>
      <c r="B307" s="146">
        <v>43721.34375</v>
      </c>
      <c r="C307" s="23"/>
      <c r="D307" s="23"/>
      <c r="E307" s="35" t="s">
        <v>429</v>
      </c>
      <c r="F307" s="36" t="s">
        <v>32</v>
      </c>
      <c r="G307" s="45" t="s">
        <v>396</v>
      </c>
      <c r="H307" s="433">
        <v>29036</v>
      </c>
      <c r="I307" s="433"/>
      <c r="J307" s="433">
        <v>68000</v>
      </c>
      <c r="K307" s="542">
        <f>(H307)-J307</f>
        <v>-38964</v>
      </c>
      <c r="L307" s="448">
        <f>B307-A307</f>
        <v>1.4791666666642413</v>
      </c>
      <c r="M307" s="27">
        <f>[163]NINGBO!$F$58</f>
        <v>0.62847222222141375</v>
      </c>
      <c r="N307" s="434">
        <f>(H307)/L307</f>
        <v>19629.971831018102</v>
      </c>
      <c r="O307" s="567">
        <f>(H307)/M307</f>
        <v>46200.928176855014</v>
      </c>
      <c r="P307" s="542">
        <v>30000</v>
      </c>
      <c r="Q307" s="69">
        <f>(125527/10000)*8.7</f>
        <v>109.20848999999998</v>
      </c>
      <c r="R307" s="69">
        <f>(118268/10000)*8.7</f>
        <v>102.89315999999999</v>
      </c>
      <c r="S307" s="455">
        <f>Q307-R307</f>
        <v>6.3153299999999888</v>
      </c>
      <c r="T307" s="435">
        <f>S307/8.7*10000/(H307)</f>
        <v>0.24999999999999956</v>
      </c>
      <c r="U307" s="435">
        <f>S307/8.5*10000/(H307)</f>
        <v>0.25588235294117601</v>
      </c>
      <c r="V307" s="224"/>
      <c r="Y307" s="544">
        <v>2.64</v>
      </c>
      <c r="Z307" s="469">
        <f t="shared" si="96"/>
        <v>76655.040000000008</v>
      </c>
      <c r="AB307" s="445"/>
      <c r="AC307" s="573"/>
    </row>
    <row r="308" spans="1:29" x14ac:dyDescent="0.3">
      <c r="A308" s="146">
        <v>43727.041666666664</v>
      </c>
      <c r="B308" s="146">
        <v>43728.013888888891</v>
      </c>
      <c r="C308" s="23"/>
      <c r="D308" s="23"/>
      <c r="E308" s="35" t="s">
        <v>458</v>
      </c>
      <c r="F308" s="45" t="s">
        <v>328</v>
      </c>
      <c r="G308" s="45" t="s">
        <v>396</v>
      </c>
      <c r="H308" s="433">
        <f>30506-H309-H310</f>
        <v>14275</v>
      </c>
      <c r="I308" s="433"/>
      <c r="J308" s="433">
        <v>67100</v>
      </c>
      <c r="K308" s="542">
        <f>(H308)-J308</f>
        <v>-52825</v>
      </c>
      <c r="L308" s="448">
        <f>B308-A308</f>
        <v>0.97222222222626442</v>
      </c>
      <c r="M308" s="27">
        <f>'[163]BEI LUN HAI 81'!$F$54</f>
        <v>0.70138888889293105</v>
      </c>
      <c r="N308" s="434">
        <f>(H308+H309+H310)/L308</f>
        <v>31377.599999869541</v>
      </c>
      <c r="O308" s="567">
        <f>(H308+H309+H310)/M308</f>
        <v>43493.702970046375</v>
      </c>
      <c r="P308" s="542">
        <v>30000</v>
      </c>
      <c r="Q308" s="69">
        <f>(108074/10000)*8.7</f>
        <v>94.024379999999994</v>
      </c>
      <c r="R308" s="69">
        <f>(102357/10000)*8.7</f>
        <v>89.050589999999985</v>
      </c>
      <c r="S308" s="455">
        <f>Q308-R308</f>
        <v>4.9737900000000081</v>
      </c>
      <c r="T308" s="435">
        <f>S308/8.7*10000/(H308+H309+H310)</f>
        <v>0.18740575624467351</v>
      </c>
      <c r="U308" s="435">
        <f>S308/8.5*10000/(H308+H309+H310)</f>
        <v>0.19181530345043049</v>
      </c>
      <c r="V308" s="224"/>
      <c r="Y308" s="544">
        <v>2.64</v>
      </c>
      <c r="Z308" s="469">
        <f t="shared" si="96"/>
        <v>37686</v>
      </c>
      <c r="AB308" s="445"/>
      <c r="AC308" s="573"/>
    </row>
    <row r="309" spans="1:29" x14ac:dyDescent="0.3">
      <c r="A309" s="146"/>
      <c r="B309" s="146"/>
      <c r="C309" s="23"/>
      <c r="D309" s="23"/>
      <c r="E309" s="35" t="s">
        <v>459</v>
      </c>
      <c r="F309" s="36"/>
      <c r="G309" s="36"/>
      <c r="H309" s="433">
        <v>8011</v>
      </c>
      <c r="I309" s="433"/>
      <c r="J309" s="433"/>
      <c r="K309" s="26"/>
      <c r="L309" s="27"/>
      <c r="M309" s="27"/>
      <c r="N309" s="434"/>
      <c r="O309" s="434"/>
      <c r="P309" s="542"/>
      <c r="Q309" s="69"/>
      <c r="R309" s="69"/>
      <c r="S309" s="224"/>
      <c r="T309" s="526"/>
      <c r="U309" s="526"/>
      <c r="V309" s="224"/>
      <c r="Y309" s="544">
        <v>6.5</v>
      </c>
      <c r="Z309" s="469">
        <f t="shared" si="96"/>
        <v>52071.5</v>
      </c>
      <c r="AB309" s="445"/>
      <c r="AC309" s="573"/>
    </row>
    <row r="310" spans="1:29" x14ac:dyDescent="0.3">
      <c r="A310" s="146"/>
      <c r="B310" s="146"/>
      <c r="C310" s="23"/>
      <c r="D310" s="23"/>
      <c r="E310" s="35" t="s">
        <v>459</v>
      </c>
      <c r="F310" s="45"/>
      <c r="G310" s="45"/>
      <c r="H310" s="433">
        <v>8220</v>
      </c>
      <c r="I310" s="433"/>
      <c r="J310" s="433"/>
      <c r="K310" s="26"/>
      <c r="L310" s="27"/>
      <c r="M310" s="27"/>
      <c r="N310" s="434"/>
      <c r="O310" s="434"/>
      <c r="P310" s="542"/>
      <c r="Q310" s="69"/>
      <c r="R310" s="69"/>
      <c r="S310" s="224"/>
      <c r="T310" s="526"/>
      <c r="U310" s="526"/>
      <c r="V310" s="224"/>
      <c r="Y310" s="544">
        <v>6.5</v>
      </c>
      <c r="Z310" s="469">
        <f t="shared" si="96"/>
        <v>53430</v>
      </c>
      <c r="AB310" s="445"/>
      <c r="AC310" s="573"/>
    </row>
    <row r="311" spans="1:29" x14ac:dyDescent="0.3">
      <c r="A311" s="146">
        <v>43728.645833333336</v>
      </c>
      <c r="B311" s="146">
        <v>43729.416666666664</v>
      </c>
      <c r="C311" s="23"/>
      <c r="D311" s="23"/>
      <c r="E311" s="35" t="s">
        <v>225</v>
      </c>
      <c r="F311" s="45" t="s">
        <v>32</v>
      </c>
      <c r="G311" s="45" t="s">
        <v>396</v>
      </c>
      <c r="H311" s="433">
        <v>19888</v>
      </c>
      <c r="I311" s="433"/>
      <c r="J311" s="433">
        <v>63700</v>
      </c>
      <c r="K311" s="542">
        <f>(H311)-J311</f>
        <v>-43812</v>
      </c>
      <c r="L311" s="448">
        <f>B311-A311</f>
        <v>0.77083333332848269</v>
      </c>
      <c r="M311" s="27">
        <f>'[163]YI HUI'!$F$41</f>
        <v>0.38020833332848269</v>
      </c>
      <c r="N311" s="434">
        <f>(H311)/L311</f>
        <v>25800.648648811006</v>
      </c>
      <c r="O311" s="434">
        <f>(H311)/M311</f>
        <v>52308.164384228985</v>
      </c>
      <c r="P311" s="542">
        <v>30000</v>
      </c>
      <c r="Q311" s="69">
        <f>(100962/10000)*8.7</f>
        <v>87.836939999999984</v>
      </c>
      <c r="R311" s="69">
        <f>(95557/10000)*8.7</f>
        <v>83.134589999999989</v>
      </c>
      <c r="S311" s="455">
        <f>Q311-R311</f>
        <v>4.7023499999999956</v>
      </c>
      <c r="T311" s="435">
        <f>S311/8.7*10000/(H311)</f>
        <v>0.27177192276749779</v>
      </c>
      <c r="U311" s="435">
        <f>S311/8.5*10000/(H311)</f>
        <v>0.27816655624438008</v>
      </c>
      <c r="V311" s="224"/>
      <c r="Y311" s="544">
        <v>2.64</v>
      </c>
      <c r="Z311" s="469">
        <f t="shared" si="96"/>
        <v>52504.32</v>
      </c>
      <c r="AB311" s="445"/>
      <c r="AC311" s="573"/>
    </row>
    <row r="312" spans="1:29" x14ac:dyDescent="0.3">
      <c r="A312" s="146">
        <v>43730.541666666664</v>
      </c>
      <c r="B312" s="146">
        <v>43731.638888888891</v>
      </c>
      <c r="C312" s="23"/>
      <c r="D312" s="23"/>
      <c r="E312" s="35" t="s">
        <v>460</v>
      </c>
      <c r="F312" s="36" t="s">
        <v>32</v>
      </c>
      <c r="G312" s="36" t="s">
        <v>396</v>
      </c>
      <c r="H312" s="433">
        <v>24201</v>
      </c>
      <c r="I312" s="433"/>
      <c r="J312" s="433">
        <v>70576</v>
      </c>
      <c r="K312" s="542">
        <f>(H312)-J312</f>
        <v>-46375</v>
      </c>
      <c r="L312" s="448">
        <f>B312-A312</f>
        <v>1.0972222222262644</v>
      </c>
      <c r="M312" s="27">
        <f>'[163]GOOD LUCK'!$F$48</f>
        <v>0.50347222222262644</v>
      </c>
      <c r="N312" s="434">
        <f>(H312)/L312</f>
        <v>22056.60759485545</v>
      </c>
      <c r="O312" s="434">
        <f>(H312)/M312</f>
        <v>48068.193103409685</v>
      </c>
      <c r="P312" s="542">
        <v>30000</v>
      </c>
      <c r="Q312" s="69">
        <f>(93797/10000)*8.7</f>
        <v>81.60338999999999</v>
      </c>
      <c r="R312" s="69">
        <f>(88413/10000)*8.7</f>
        <v>76.919309999999996</v>
      </c>
      <c r="S312" s="455">
        <f>Q312-R312</f>
        <v>4.6840799999999945</v>
      </c>
      <c r="T312" s="435">
        <f>S312/8.7*10000/(H312)</f>
        <v>0.22247014586174102</v>
      </c>
      <c r="U312" s="435">
        <f>S312/8.5*10000/(H312)</f>
        <v>0.22770473752907605</v>
      </c>
      <c r="V312" s="224"/>
      <c r="W312" s="242"/>
      <c r="X312" s="243"/>
      <c r="Y312" s="544">
        <v>2.64</v>
      </c>
      <c r="Z312" s="469">
        <f t="shared" si="96"/>
        <v>63890.64</v>
      </c>
      <c r="AA312" s="244"/>
      <c r="AB312" s="445"/>
      <c r="AC312" s="573"/>
    </row>
    <row r="313" spans="1:29" x14ac:dyDescent="0.3">
      <c r="A313" s="146">
        <v>43732.791666666664</v>
      </c>
      <c r="B313" s="146">
        <v>43735.125</v>
      </c>
      <c r="C313" s="23"/>
      <c r="D313" s="23"/>
      <c r="E313" s="35" t="s">
        <v>461</v>
      </c>
      <c r="F313" s="45" t="s">
        <v>32</v>
      </c>
      <c r="G313" s="45" t="s">
        <v>399</v>
      </c>
      <c r="H313" s="433">
        <f>54611-H314</f>
        <v>47286</v>
      </c>
      <c r="I313" s="433"/>
      <c r="J313" s="433">
        <v>70900</v>
      </c>
      <c r="K313" s="542">
        <f>(H313+H314)-J313</f>
        <v>-16289</v>
      </c>
      <c r="L313" s="448">
        <f>B313-A313</f>
        <v>2.3333333333357587</v>
      </c>
      <c r="M313" s="27">
        <f>'[163]YUE DIAN'!$F$83</f>
        <v>1.1111111111046437</v>
      </c>
      <c r="N313" s="434">
        <f>(H313+H314)/L313</f>
        <v>23404.714285689959</v>
      </c>
      <c r="O313" s="434">
        <f>(H313+H314)/M313</f>
        <v>49149.900000286085</v>
      </c>
      <c r="P313" s="542">
        <v>30000</v>
      </c>
      <c r="Q313" s="69">
        <f>(86181/10000)*8.7</f>
        <v>74.977469999999997</v>
      </c>
      <c r="R313" s="69">
        <f>(74413/10000)*8.7</f>
        <v>64.739309999999989</v>
      </c>
      <c r="S313" s="455">
        <f>Q313-R313</f>
        <v>10.238160000000008</v>
      </c>
      <c r="T313" s="435">
        <f>S313/8.7*10000/(H313+H314)</f>
        <v>0.21548772225375856</v>
      </c>
      <c r="U313" s="435">
        <f>S313/8.5*10000/(H313+H314)</f>
        <v>0.22055802160090582</v>
      </c>
      <c r="V313" s="224"/>
      <c r="W313" s="242"/>
      <c r="X313" s="243"/>
      <c r="Y313" s="544">
        <v>2.64</v>
      </c>
      <c r="Z313" s="469">
        <f t="shared" si="96"/>
        <v>124835.04000000001</v>
      </c>
      <c r="AA313" s="244"/>
      <c r="AB313" s="445"/>
      <c r="AC313" s="573"/>
    </row>
    <row r="314" spans="1:29" x14ac:dyDescent="0.3">
      <c r="A314" s="146"/>
      <c r="B314" s="146"/>
      <c r="C314" s="23"/>
      <c r="D314" s="23"/>
      <c r="E314" s="35" t="s">
        <v>163</v>
      </c>
      <c r="F314" s="45"/>
      <c r="G314" s="45"/>
      <c r="H314" s="433">
        <v>7325</v>
      </c>
      <c r="I314" s="433"/>
      <c r="J314" s="433"/>
      <c r="K314" s="542"/>
      <c r="L314" s="27"/>
      <c r="M314" s="27"/>
      <c r="N314" s="434"/>
      <c r="O314" s="434"/>
      <c r="P314" s="542"/>
      <c r="Q314" s="69"/>
      <c r="R314" s="69"/>
      <c r="S314" s="224"/>
      <c r="T314" s="526"/>
      <c r="U314" s="526"/>
      <c r="V314" s="224"/>
      <c r="W314" s="242"/>
      <c r="X314" s="243"/>
      <c r="Y314" s="544">
        <v>6.5</v>
      </c>
      <c r="Z314" s="469">
        <f t="shared" si="96"/>
        <v>47612.5</v>
      </c>
      <c r="AA314" s="244"/>
      <c r="AB314" s="445"/>
      <c r="AC314" s="573"/>
    </row>
    <row r="315" spans="1:29" x14ac:dyDescent="0.3">
      <c r="A315" s="146">
        <v>43735.75</v>
      </c>
      <c r="B315" s="146">
        <v>43736.708333333336</v>
      </c>
      <c r="C315" s="23"/>
      <c r="D315" s="23"/>
      <c r="E315" s="35" t="s">
        <v>462</v>
      </c>
      <c r="F315" s="45" t="s">
        <v>212</v>
      </c>
      <c r="G315" s="45" t="s">
        <v>399</v>
      </c>
      <c r="H315" s="433">
        <f>27500-H316</f>
        <v>20496</v>
      </c>
      <c r="I315" s="433"/>
      <c r="J315" s="433">
        <v>27500</v>
      </c>
      <c r="K315" s="542">
        <f>(H315+H319)-J315</f>
        <v>15014</v>
      </c>
      <c r="L315" s="448">
        <f>B315-A315</f>
        <v>0.95833333333575865</v>
      </c>
      <c r="M315" s="27">
        <f>'[163]AFRICAN CHEETAH'!$F$57</f>
        <v>0.56944444444767817</v>
      </c>
      <c r="N315" s="434">
        <f>(H315+H316)/L315</f>
        <v>28695.652173840423</v>
      </c>
      <c r="O315" s="434">
        <f>(H315+H316)/M315</f>
        <v>48292.682926555026</v>
      </c>
      <c r="P315" s="542">
        <v>30000</v>
      </c>
      <c r="Q315" s="69">
        <f>(172781/10000)*8.7</f>
        <v>150.31946999999997</v>
      </c>
      <c r="R315" s="69">
        <f>(166021/10000)*8.7</f>
        <v>144.43826999999999</v>
      </c>
      <c r="S315" s="455">
        <f>Q315-R315</f>
        <v>5.8811999999999784</v>
      </c>
      <c r="T315" s="435">
        <f>S315/8.7*10000/(H315+H316)</f>
        <v>0.24581818181818096</v>
      </c>
      <c r="U315" s="435">
        <f>S315/8.5*10000/(H315+H316)</f>
        <v>0.25160213903743223</v>
      </c>
      <c r="V315" s="224"/>
      <c r="W315" s="242"/>
      <c r="X315" s="243"/>
      <c r="Y315" s="544">
        <v>2.64</v>
      </c>
      <c r="Z315" s="469">
        <f t="shared" si="96"/>
        <v>54109.440000000002</v>
      </c>
      <c r="AA315" s="244"/>
      <c r="AB315" s="445"/>
      <c r="AC315" s="573"/>
    </row>
    <row r="316" spans="1:29" x14ac:dyDescent="0.3">
      <c r="A316" s="146"/>
      <c r="B316" s="146"/>
      <c r="C316" s="23"/>
      <c r="D316" s="23"/>
      <c r="E316" s="35" t="s">
        <v>463</v>
      </c>
      <c r="F316" s="45"/>
      <c r="G316" s="45"/>
      <c r="H316" s="433">
        <v>7004</v>
      </c>
      <c r="I316" s="433"/>
      <c r="J316" s="433"/>
      <c r="K316" s="542"/>
      <c r="L316" s="448"/>
      <c r="M316" s="27"/>
      <c r="N316" s="434"/>
      <c r="O316" s="434"/>
      <c r="P316" s="542"/>
      <c r="Q316" s="69"/>
      <c r="R316" s="69"/>
      <c r="S316" s="455"/>
      <c r="T316" s="435"/>
      <c r="U316" s="435"/>
      <c r="V316" s="224"/>
      <c r="W316" s="242"/>
      <c r="X316" s="243"/>
      <c r="Y316" s="544">
        <v>6.5</v>
      </c>
      <c r="Z316" s="469">
        <f t="shared" si="96"/>
        <v>45526</v>
      </c>
      <c r="AA316" s="244"/>
      <c r="AB316" s="445"/>
      <c r="AC316" s="573"/>
    </row>
    <row r="317" spans="1:29" x14ac:dyDescent="0.3">
      <c r="A317" s="146"/>
      <c r="B317" s="146"/>
      <c r="C317" s="23"/>
      <c r="D317" s="23"/>
      <c r="E317" s="39" t="s">
        <v>29</v>
      </c>
      <c r="F317" s="574"/>
      <c r="G317" s="574"/>
      <c r="H317" s="457">
        <f>375000-SUM(H300:H316)</f>
        <v>56977</v>
      </c>
      <c r="I317" s="243"/>
      <c r="J317" s="243"/>
      <c r="K317" s="26"/>
      <c r="L317" s="27"/>
      <c r="M317" s="27"/>
      <c r="N317" s="434"/>
      <c r="O317" s="434"/>
      <c r="P317" s="542"/>
      <c r="Q317" s="69"/>
      <c r="R317" s="69"/>
      <c r="S317" s="224"/>
      <c r="T317" s="526"/>
      <c r="U317" s="526"/>
      <c r="V317" s="224"/>
      <c r="W317" s="242"/>
      <c r="X317" s="243"/>
      <c r="Y317" s="544">
        <v>2.64</v>
      </c>
      <c r="Z317" s="469">
        <f t="shared" si="96"/>
        <v>150419.28</v>
      </c>
      <c r="AA317" s="244"/>
      <c r="AB317" s="445"/>
      <c r="AC317" s="573"/>
    </row>
    <row r="318" spans="1:29" x14ac:dyDescent="0.3">
      <c r="A318" s="35"/>
      <c r="B318" s="35"/>
      <c r="C318" s="35"/>
      <c r="D318" s="35"/>
      <c r="E318" s="122" t="s">
        <v>78</v>
      </c>
      <c r="F318" s="123"/>
      <c r="G318" s="123"/>
      <c r="H318" s="482">
        <f>SUM(H300:H316)</f>
        <v>318023</v>
      </c>
      <c r="I318" s="482"/>
      <c r="J318" s="482"/>
      <c r="K318" s="482"/>
      <c r="L318" s="482"/>
      <c r="M318" s="482"/>
      <c r="N318" s="482"/>
      <c r="O318" s="482"/>
      <c r="P318" s="482"/>
      <c r="Q318" s="482"/>
      <c r="R318" s="482"/>
      <c r="S318" s="484">
        <f>SUM(S300:S317)</f>
        <v>61.495079999999959</v>
      </c>
      <c r="T318" s="453">
        <f>S318/8.7*10000/H318</f>
        <v>0.22226065410363388</v>
      </c>
      <c r="U318" s="484"/>
      <c r="V318" s="484"/>
      <c r="W318" s="485">
        <v>421875</v>
      </c>
      <c r="X318" s="22">
        <f>H318-W318</f>
        <v>-103852</v>
      </c>
      <c r="Y318" s="22"/>
      <c r="Z318" s="432">
        <f>SUM(Z300:Z311)</f>
        <v>702745.31831999996</v>
      </c>
      <c r="AA318" s="432"/>
      <c r="AB318" s="446">
        <f>SUM(AB300:AB307)</f>
        <v>0</v>
      </c>
      <c r="AC318" s="446">
        <f>SUM(AC300:AC317)</f>
        <v>0</v>
      </c>
    </row>
    <row r="319" spans="1:29" x14ac:dyDescent="0.3">
      <c r="A319" s="146">
        <v>43737.944444444445</v>
      </c>
      <c r="B319" s="146">
        <v>43738.805555555555</v>
      </c>
      <c r="C319" s="301"/>
      <c r="D319" s="301"/>
      <c r="E319" s="35" t="s">
        <v>457</v>
      </c>
      <c r="F319" s="45" t="s">
        <v>328</v>
      </c>
      <c r="G319" s="36" t="s">
        <v>396</v>
      </c>
      <c r="H319" s="433">
        <f>28682-H320</f>
        <v>22018</v>
      </c>
      <c r="I319" s="433"/>
      <c r="J319" s="433">
        <v>70900</v>
      </c>
      <c r="K319" s="26">
        <f>H319+H320-J319</f>
        <v>-42218</v>
      </c>
      <c r="L319" s="448">
        <f>B319-A319</f>
        <v>0.86111111110949423</v>
      </c>
      <c r="M319" s="302">
        <f>'[164]TIAN ZUO '!$F$54</f>
        <v>0.6180555555571724</v>
      </c>
      <c r="N319" s="434">
        <f>(H319+H320)/L319</f>
        <v>33308.129032320605</v>
      </c>
      <c r="O319" s="434">
        <f>(H319+H320)/M319</f>
        <v>46406.831460552756</v>
      </c>
      <c r="P319" s="542">
        <v>30000</v>
      </c>
      <c r="Q319" s="69">
        <f>(163683/10000)*8.7</f>
        <v>142.40421000000001</v>
      </c>
      <c r="R319" s="69">
        <f>(157923/10000)*8.7</f>
        <v>137.39300999999998</v>
      </c>
      <c r="S319" s="455">
        <f>Q319-R319</f>
        <v>5.0112000000000307</v>
      </c>
      <c r="T319" s="435">
        <f>S319/8.7*10000/(H319+H320)</f>
        <v>0.20082281570322977</v>
      </c>
      <c r="U319" s="435">
        <f>S319/8.5*10000/(H319+H320)</f>
        <v>0.20554805842565865</v>
      </c>
      <c r="V319" s="301"/>
      <c r="W319" s="301"/>
      <c r="X319" s="301"/>
      <c r="Y319" s="544">
        <v>2.64</v>
      </c>
      <c r="Z319" s="469">
        <f t="shared" ref="Z319:Z368" si="97">H319*Y319</f>
        <v>58127.520000000004</v>
      </c>
      <c r="AA319" s="301"/>
      <c r="AB319" s="563"/>
      <c r="AC319" s="573"/>
    </row>
    <row r="320" spans="1:29" x14ac:dyDescent="0.3">
      <c r="A320" s="146"/>
      <c r="B320" s="146"/>
      <c r="C320" s="301"/>
      <c r="D320" s="301"/>
      <c r="E320" s="35" t="s">
        <v>464</v>
      </c>
      <c r="F320" s="45"/>
      <c r="G320" s="36"/>
      <c r="H320" s="433">
        <v>6664</v>
      </c>
      <c r="I320" s="433"/>
      <c r="J320" s="433"/>
      <c r="K320" s="26"/>
      <c r="L320" s="302"/>
      <c r="M320" s="302"/>
      <c r="N320" s="434"/>
      <c r="O320" s="434"/>
      <c r="P320" s="542"/>
      <c r="Q320" s="69"/>
      <c r="R320" s="69"/>
      <c r="S320" s="224"/>
      <c r="T320" s="526"/>
      <c r="U320" s="526"/>
      <c r="V320" s="301"/>
      <c r="W320" s="301"/>
      <c r="X320" s="301"/>
      <c r="Y320" s="544">
        <v>6.5</v>
      </c>
      <c r="Z320" s="469">
        <f t="shared" si="97"/>
        <v>43316</v>
      </c>
      <c r="AA320" s="301"/>
      <c r="AB320" s="563"/>
      <c r="AC320" s="573"/>
    </row>
    <row r="321" spans="1:29" x14ac:dyDescent="0.3">
      <c r="A321" s="146">
        <v>43739.0625</v>
      </c>
      <c r="B321" s="146">
        <v>43740.395833333336</v>
      </c>
      <c r="C321" s="23"/>
      <c r="D321" s="23"/>
      <c r="E321" s="35" t="s">
        <v>436</v>
      </c>
      <c r="F321" s="45" t="s">
        <v>328</v>
      </c>
      <c r="G321" s="45" t="s">
        <v>396</v>
      </c>
      <c r="H321" s="433">
        <v>29917</v>
      </c>
      <c r="I321" s="433"/>
      <c r="J321" s="433">
        <v>74050</v>
      </c>
      <c r="K321" s="26">
        <f>H321-J321</f>
        <v>-44133</v>
      </c>
      <c r="L321" s="448">
        <f>B321-A321</f>
        <v>1.3333333333357587</v>
      </c>
      <c r="M321" s="27">
        <f>'[164]GUANG XIN'!$F$56</f>
        <v>0.84027777778464952</v>
      </c>
      <c r="N321" s="462">
        <f>(H321)/L321</f>
        <v>22437.749999959186</v>
      </c>
      <c r="O321" s="462">
        <f>(H321)/M321</f>
        <v>35603.702479047679</v>
      </c>
      <c r="P321" s="542">
        <v>30000</v>
      </c>
      <c r="Q321" s="69">
        <f>(157297/10000)*8.7</f>
        <v>136.84838999999999</v>
      </c>
      <c r="R321" s="69">
        <f>(149888/10000)*8.7</f>
        <v>130.40255999999999</v>
      </c>
      <c r="S321" s="455">
        <f>Q321-R321</f>
        <v>6.4458300000000008</v>
      </c>
      <c r="T321" s="435">
        <f>S321/8.7*10000/(H321)</f>
        <v>0.2476518367483371</v>
      </c>
      <c r="U321" s="435">
        <f>S321/8.5*10000/(H321)</f>
        <v>0.25347893878947442</v>
      </c>
      <c r="V321" s="224"/>
      <c r="Y321" s="544">
        <v>2.64</v>
      </c>
      <c r="Z321" s="469">
        <f t="shared" si="97"/>
        <v>78980.88</v>
      </c>
      <c r="AB321" s="563"/>
      <c r="AC321" s="573"/>
    </row>
    <row r="322" spans="1:29" x14ac:dyDescent="0.3">
      <c r="A322" s="146">
        <v>43740.583333333336</v>
      </c>
      <c r="B322" s="146">
        <v>43741.347222222219</v>
      </c>
      <c r="C322" s="23"/>
      <c r="D322" s="23"/>
      <c r="E322" s="35" t="s">
        <v>465</v>
      </c>
      <c r="F322" s="45" t="s">
        <v>328</v>
      </c>
      <c r="G322" s="45" t="s">
        <v>396</v>
      </c>
      <c r="H322" s="512">
        <v>21315</v>
      </c>
      <c r="I322" s="433"/>
      <c r="J322" s="433">
        <v>72200</v>
      </c>
      <c r="K322" s="26">
        <f>H322-J322</f>
        <v>-50885</v>
      </c>
      <c r="L322" s="448">
        <f>B322-A322</f>
        <v>0.76388888888322981</v>
      </c>
      <c r="M322" s="27">
        <f>'[164]NAN XIN 9'!$F$49</f>
        <v>0.4583333333199941</v>
      </c>
      <c r="N322" s="434">
        <f>(H322)/L322</f>
        <v>27903.272727479442</v>
      </c>
      <c r="O322" s="434">
        <f>(H322)/M322</f>
        <v>46505.454546808032</v>
      </c>
      <c r="P322" s="542">
        <v>30000</v>
      </c>
      <c r="Q322" s="69">
        <f>(149369/10000)*8.7</f>
        <v>129.95102999999997</v>
      </c>
      <c r="R322" s="69">
        <f>(144618/10000)*8.7</f>
        <v>125.81765999999999</v>
      </c>
      <c r="S322" s="455">
        <f>Q322-R322</f>
        <v>4.1333699999999851</v>
      </c>
      <c r="T322" s="435">
        <f>S322/8.7*10000/(H322)</f>
        <v>0.22289467511142308</v>
      </c>
      <c r="U322" s="435">
        <f>S322/8.5*10000/(H322)</f>
        <v>0.22813925570228008</v>
      </c>
      <c r="V322" s="224"/>
      <c r="Y322" s="544">
        <v>2.64</v>
      </c>
      <c r="Z322" s="469">
        <f t="shared" si="97"/>
        <v>56271.600000000006</v>
      </c>
      <c r="AB322" s="563"/>
      <c r="AC322" s="573"/>
    </row>
    <row r="323" spans="1:29" x14ac:dyDescent="0.3">
      <c r="A323" s="146">
        <v>43741.986111111109</v>
      </c>
      <c r="B323" s="146">
        <v>43745.354166666664</v>
      </c>
      <c r="C323" s="23"/>
      <c r="D323" s="23"/>
      <c r="E323" s="35" t="s">
        <v>466</v>
      </c>
      <c r="F323" s="45" t="s">
        <v>212</v>
      </c>
      <c r="G323" s="45" t="s">
        <v>399</v>
      </c>
      <c r="H323" s="433">
        <v>58602</v>
      </c>
      <c r="I323" s="433"/>
      <c r="J323" s="433">
        <v>58900</v>
      </c>
      <c r="K323" s="26">
        <f>H323-J323</f>
        <v>-298</v>
      </c>
      <c r="L323" s="448">
        <f>B323-A323</f>
        <v>3.3680555555547471</v>
      </c>
      <c r="M323" s="27">
        <f>[164]FRIENSHIP!$F$89</f>
        <v>1.1145833333127182</v>
      </c>
      <c r="N323" s="462">
        <f>(H323)/L323</f>
        <v>17399.356701035103</v>
      </c>
      <c r="O323" s="434">
        <f>(H323)/M323</f>
        <v>52577.495328075267</v>
      </c>
      <c r="P323" s="542">
        <v>30000</v>
      </c>
      <c r="Q323" s="69">
        <f>(142949/10000)*8.7</f>
        <v>124.36563</v>
      </c>
      <c r="R323" s="69">
        <f>(127969/10000)*8.7</f>
        <v>111.33302999999999</v>
      </c>
      <c r="S323" s="455">
        <f>Q323-R323</f>
        <v>13.032600000000002</v>
      </c>
      <c r="T323" s="435">
        <f>S323/8.7*10000/(H323)</f>
        <v>0.25562267499402758</v>
      </c>
      <c r="U323" s="435">
        <f>S323/8.5*10000/(H323)</f>
        <v>0.26163732617035756</v>
      </c>
      <c r="V323" s="224"/>
      <c r="Y323" s="544">
        <v>2.64</v>
      </c>
      <c r="Z323" s="469">
        <f t="shared" si="97"/>
        <v>154709.28</v>
      </c>
      <c r="AB323" s="563"/>
      <c r="AC323" s="573"/>
    </row>
    <row r="324" spans="1:29" x14ac:dyDescent="0.3">
      <c r="A324" s="146">
        <v>43746.722222222219</v>
      </c>
      <c r="B324" s="146">
        <v>43751.003472222219</v>
      </c>
      <c r="C324" s="23"/>
      <c r="D324" s="23"/>
      <c r="E324" s="35" t="s">
        <v>467</v>
      </c>
      <c r="F324" s="45" t="s">
        <v>91</v>
      </c>
      <c r="G324" s="45" t="s">
        <v>396</v>
      </c>
      <c r="H324" s="433">
        <f>100809-H325-H326</f>
        <v>85537</v>
      </c>
      <c r="I324" s="433"/>
      <c r="J324" s="433">
        <v>162940</v>
      </c>
      <c r="K324" s="26">
        <f>H324-J324</f>
        <v>-77403</v>
      </c>
      <c r="L324" s="27">
        <f>B324-A324</f>
        <v>4.28125</v>
      </c>
      <c r="M324" s="27">
        <f>'[165]XIN WANG HAI'!$F$148</f>
        <v>2.107638888889293</v>
      </c>
      <c r="N324" s="462">
        <f>(H324+H325+H326)/L324</f>
        <v>23546.627737226278</v>
      </c>
      <c r="O324" s="434">
        <f>(H324+H325+H326)/M324</f>
        <v>47830.299835246187</v>
      </c>
      <c r="P324" s="542">
        <v>30000</v>
      </c>
      <c r="Q324" s="69">
        <f>(124909/10000)*8.7</f>
        <v>108.67083</v>
      </c>
      <c r="R324" s="69">
        <f>(100426/10000)*8.7</f>
        <v>87.370619999999988</v>
      </c>
      <c r="S324" s="455">
        <f>Q324-R324</f>
        <v>21.300210000000007</v>
      </c>
      <c r="T324" s="435">
        <f>S324/8.7*10000/(H324+H325+H326)</f>
        <v>0.24286522036722921</v>
      </c>
      <c r="U324" s="435">
        <f>S324/8.5*10000/(H324+H325+H326)</f>
        <v>0.24857969614057576</v>
      </c>
      <c r="V324" s="224"/>
      <c r="Y324" s="544">
        <v>2.64</v>
      </c>
      <c r="Z324" s="469">
        <f t="shared" si="97"/>
        <v>225817.68000000002</v>
      </c>
      <c r="AB324" s="563"/>
      <c r="AC324" s="573"/>
    </row>
    <row r="325" spans="1:29" x14ac:dyDescent="0.3">
      <c r="A325" s="146"/>
      <c r="B325" s="146"/>
      <c r="C325" s="23"/>
      <c r="D325" s="23"/>
      <c r="E325" s="35" t="s">
        <v>468</v>
      </c>
      <c r="F325" s="45"/>
      <c r="G325" s="45"/>
      <c r="H325" s="433">
        <v>6971</v>
      </c>
      <c r="I325" s="433"/>
      <c r="J325" s="433"/>
      <c r="K325" s="26"/>
      <c r="L325" s="27"/>
      <c r="M325" s="27"/>
      <c r="N325" s="434"/>
      <c r="O325" s="434"/>
      <c r="P325" s="542"/>
      <c r="Q325" s="69"/>
      <c r="R325" s="69"/>
      <c r="S325" s="224"/>
      <c r="T325" s="526"/>
      <c r="U325" s="526"/>
      <c r="V325" s="224"/>
      <c r="Y325" s="544">
        <v>6.5</v>
      </c>
      <c r="Z325" s="469">
        <f t="shared" si="97"/>
        <v>45311.5</v>
      </c>
      <c r="AB325" s="563"/>
      <c r="AC325" s="573"/>
    </row>
    <row r="326" spans="1:29" x14ac:dyDescent="0.3">
      <c r="A326" s="146"/>
      <c r="B326" s="146"/>
      <c r="C326" s="23"/>
      <c r="D326" s="23"/>
      <c r="E326" s="35" t="s">
        <v>468</v>
      </c>
      <c r="F326" s="45"/>
      <c r="G326" s="45"/>
      <c r="H326" s="433">
        <v>8301</v>
      </c>
      <c r="I326" s="433"/>
      <c r="J326" s="433"/>
      <c r="K326" s="26"/>
      <c r="L326" s="27"/>
      <c r="M326" s="27"/>
      <c r="N326" s="434"/>
      <c r="O326" s="434"/>
      <c r="P326" s="542"/>
      <c r="Q326" s="69"/>
      <c r="R326" s="69"/>
      <c r="S326" s="224"/>
      <c r="T326" s="526"/>
      <c r="U326" s="526"/>
      <c r="V326" s="224"/>
      <c r="Y326" s="544">
        <v>6.5</v>
      </c>
      <c r="Z326" s="469">
        <f t="shared" si="97"/>
        <v>53956.5</v>
      </c>
      <c r="AB326" s="563"/>
      <c r="AC326" s="573"/>
    </row>
    <row r="327" spans="1:29" x14ac:dyDescent="0.3">
      <c r="A327" s="146">
        <v>43752.4375</v>
      </c>
      <c r="B327" s="146">
        <v>43752.611111111109</v>
      </c>
      <c r="C327" s="23"/>
      <c r="D327" s="23"/>
      <c r="E327" s="35" t="s">
        <v>111</v>
      </c>
      <c r="F327" s="171" t="s">
        <v>328</v>
      </c>
      <c r="G327" s="36" t="s">
        <v>396</v>
      </c>
      <c r="H327" s="433">
        <v>7900</v>
      </c>
      <c r="I327" s="433"/>
      <c r="J327" s="433">
        <v>65500</v>
      </c>
      <c r="K327" s="26">
        <f>H327-J327</f>
        <v>-57600</v>
      </c>
      <c r="L327" s="448">
        <f>B327-A327</f>
        <v>0.17361111110949423</v>
      </c>
      <c r="M327" s="27">
        <f>'[165]ANDHIKA PARAMESTI'!$F$34</f>
        <v>0.16493055554625849</v>
      </c>
      <c r="N327" s="434">
        <f>(H327)/L327</f>
        <v>45504.000000423788</v>
      </c>
      <c r="O327" s="434">
        <f>(H327)/M327</f>
        <v>47898.947371121096</v>
      </c>
      <c r="P327" s="542">
        <v>30000</v>
      </c>
      <c r="Q327" s="69">
        <f>(97370/10000)*8.7</f>
        <v>84.7119</v>
      </c>
      <c r="R327" s="69">
        <f>(95570/10000)*8.7</f>
        <v>83.145899999999997</v>
      </c>
      <c r="S327" s="455">
        <f>Q327-R327</f>
        <v>1.5660000000000025</v>
      </c>
      <c r="T327" s="435">
        <f>S327/8.7*10000/(H327)</f>
        <v>0.22784810126582317</v>
      </c>
      <c r="U327" s="435">
        <f>S327/8.5*10000/(H327)</f>
        <v>0.23320923306031313</v>
      </c>
      <c r="V327" s="224"/>
      <c r="Y327" s="544">
        <v>2.64</v>
      </c>
      <c r="Z327" s="469">
        <f t="shared" si="97"/>
        <v>20856</v>
      </c>
      <c r="AB327" s="563"/>
      <c r="AC327" s="573"/>
    </row>
    <row r="328" spans="1:29" x14ac:dyDescent="0.3">
      <c r="A328" s="146">
        <v>43753.083333333336</v>
      </c>
      <c r="B328" s="146">
        <v>43755.243055555555</v>
      </c>
      <c r="C328" s="23"/>
      <c r="D328" s="23"/>
      <c r="E328" s="35" t="s">
        <v>164</v>
      </c>
      <c r="F328" s="575" t="s">
        <v>328</v>
      </c>
      <c r="G328" s="36" t="s">
        <v>399</v>
      </c>
      <c r="H328" s="433">
        <f>65000-H329</f>
        <v>56955</v>
      </c>
      <c r="I328" s="433"/>
      <c r="J328" s="433">
        <v>65000</v>
      </c>
      <c r="K328" s="26">
        <f>H328+H329-J328</f>
        <v>0</v>
      </c>
      <c r="L328" s="448">
        <f>B328-A328</f>
        <v>2.1597222222189885</v>
      </c>
      <c r="M328" s="27">
        <f>'[165]HUI ZHI'!$F$100</f>
        <v>1.2604166666666667</v>
      </c>
      <c r="N328" s="434">
        <f>(H328+H329)/L328</f>
        <v>30096.463022553104</v>
      </c>
      <c r="O328" s="434">
        <f>(H328+H329)/M328</f>
        <v>51570.247933884297</v>
      </c>
      <c r="P328" s="542">
        <v>30000</v>
      </c>
      <c r="Q328" s="69">
        <f>(94336/10000)*8.7</f>
        <v>82.072319999999991</v>
      </c>
      <c r="R328" s="69">
        <f>(81410/10000)*8.7</f>
        <v>70.826699999999988</v>
      </c>
      <c r="S328" s="455">
        <f>Q328-R328</f>
        <v>11.245620000000002</v>
      </c>
      <c r="T328" s="435">
        <f>S328/8.7*10000/(H328+H329)</f>
        <v>0.19886153846153851</v>
      </c>
      <c r="U328" s="435">
        <f>S328/8.5*10000/(H328+H329)</f>
        <v>0.20354063348416296</v>
      </c>
      <c r="V328" s="224"/>
      <c r="W328" s="242"/>
      <c r="X328" s="243"/>
      <c r="Y328" s="544">
        <v>2.64</v>
      </c>
      <c r="Z328" s="469">
        <f t="shared" si="97"/>
        <v>150361.20000000001</v>
      </c>
      <c r="AA328" s="244"/>
      <c r="AB328" s="563"/>
      <c r="AC328" s="573"/>
    </row>
    <row r="329" spans="1:29" x14ac:dyDescent="0.3">
      <c r="A329" s="146"/>
      <c r="B329" s="146"/>
      <c r="C329" s="23"/>
      <c r="D329" s="23"/>
      <c r="E329" s="35" t="s">
        <v>469</v>
      </c>
      <c r="F329" s="45"/>
      <c r="G329" s="574"/>
      <c r="H329" s="433">
        <v>8045</v>
      </c>
      <c r="I329" s="433"/>
      <c r="J329" s="433"/>
      <c r="K329" s="26"/>
      <c r="L329" s="27"/>
      <c r="M329" s="27"/>
      <c r="N329" s="434"/>
      <c r="O329" s="434"/>
      <c r="P329" s="542"/>
      <c r="Q329" s="69"/>
      <c r="R329" s="69"/>
      <c r="S329" s="224"/>
      <c r="T329" s="526"/>
      <c r="U329" s="526"/>
      <c r="V329" s="224"/>
      <c r="W329" s="242"/>
      <c r="X329" s="243"/>
      <c r="Y329" s="544">
        <v>6.5</v>
      </c>
      <c r="Z329" s="469">
        <f t="shared" si="97"/>
        <v>52292.5</v>
      </c>
      <c r="AA329" s="244"/>
      <c r="AB329" s="563"/>
      <c r="AC329" s="573"/>
    </row>
    <row r="330" spans="1:29" x14ac:dyDescent="0.3">
      <c r="A330" s="576"/>
      <c r="B330" s="577"/>
      <c r="C330" s="578"/>
      <c r="D330" s="578"/>
      <c r="E330" s="579" t="s">
        <v>464</v>
      </c>
      <c r="F330" s="580"/>
      <c r="G330" s="581"/>
      <c r="H330" s="582">
        <f>8134</f>
        <v>8134</v>
      </c>
      <c r="I330" s="433"/>
      <c r="J330" s="433"/>
      <c r="K330" s="26"/>
      <c r="L330" s="27"/>
      <c r="M330" s="27"/>
      <c r="N330" s="434"/>
      <c r="O330" s="434"/>
      <c r="P330" s="542"/>
      <c r="Q330" s="69"/>
      <c r="R330" s="69"/>
      <c r="S330" s="224"/>
      <c r="T330" s="526"/>
      <c r="U330" s="526"/>
      <c r="V330" s="224"/>
      <c r="W330" s="242"/>
      <c r="X330" s="243"/>
      <c r="Y330" s="544">
        <v>6.5</v>
      </c>
      <c r="Z330" s="469">
        <f t="shared" si="97"/>
        <v>52871</v>
      </c>
      <c r="AA330" s="244"/>
      <c r="AB330" s="563"/>
      <c r="AC330" s="573"/>
    </row>
    <row r="331" spans="1:29" x14ac:dyDescent="0.3">
      <c r="A331" s="583">
        <v>43757.677083333336</v>
      </c>
      <c r="B331" s="584">
        <v>43760.375</v>
      </c>
      <c r="C331" s="585"/>
      <c r="D331" s="585"/>
      <c r="E331" s="586" t="s">
        <v>457</v>
      </c>
      <c r="F331" s="587" t="s">
        <v>328</v>
      </c>
      <c r="G331" s="588" t="s">
        <v>399</v>
      </c>
      <c r="H331" s="589">
        <f>59066-H332</f>
        <v>54622</v>
      </c>
      <c r="I331" s="433"/>
      <c r="J331" s="433">
        <v>67200</v>
      </c>
      <c r="K331" s="26">
        <f>H331+H330-J331</f>
        <v>-4444</v>
      </c>
      <c r="L331" s="27">
        <f>B331-A331</f>
        <v>2.6979166666642413</v>
      </c>
      <c r="M331" s="27">
        <f>'[165]TIAN ZUO'!$F$98</f>
        <v>1.3020833333272701</v>
      </c>
      <c r="N331" s="434">
        <f>(H331+H332+H330)/L331</f>
        <v>24908.108108130498</v>
      </c>
      <c r="O331" s="434">
        <f>(H331+H332+H330)/M331</f>
        <v>51609.600000240323</v>
      </c>
      <c r="P331" s="542">
        <v>30000</v>
      </c>
      <c r="Q331" s="69">
        <v>66.34</v>
      </c>
      <c r="R331" s="69">
        <v>53.08</v>
      </c>
      <c r="S331" s="455">
        <f>Q331-R331</f>
        <v>13.260000000000005</v>
      </c>
      <c r="T331" s="526">
        <f>S331/8.7*10000/(H331+H332+H330)</f>
        <v>0.22680623973727432</v>
      </c>
      <c r="U331" s="526">
        <f>S331/8.5*10000/(H331+H332+H330)</f>
        <v>0.23214285714285723</v>
      </c>
      <c r="V331" s="224"/>
      <c r="W331" s="242"/>
      <c r="X331" s="243"/>
      <c r="Y331" s="544">
        <v>2.64</v>
      </c>
      <c r="Z331" s="469">
        <f t="shared" si="97"/>
        <v>144202.08000000002</v>
      </c>
      <c r="AA331" s="244"/>
      <c r="AB331" s="563"/>
      <c r="AC331" s="573"/>
    </row>
    <row r="332" spans="1:29" x14ac:dyDescent="0.3">
      <c r="A332" s="590"/>
      <c r="B332" s="591"/>
      <c r="C332" s="592"/>
      <c r="D332" s="592"/>
      <c r="E332" s="593" t="s">
        <v>457</v>
      </c>
      <c r="F332" s="594"/>
      <c r="G332" s="595"/>
      <c r="H332" s="596">
        <v>4444</v>
      </c>
      <c r="I332" s="433"/>
      <c r="J332" s="433"/>
      <c r="K332" s="26"/>
      <c r="L332" s="27"/>
      <c r="M332" s="27"/>
      <c r="N332" s="462"/>
      <c r="O332" s="434"/>
      <c r="P332" s="542"/>
      <c r="Q332" s="69"/>
      <c r="R332" s="69"/>
      <c r="S332" s="455"/>
      <c r="T332" s="526"/>
      <c r="U332" s="526"/>
      <c r="V332" s="224"/>
      <c r="W332" s="242"/>
      <c r="X332" s="243"/>
      <c r="Y332" s="544">
        <v>2.64</v>
      </c>
      <c r="Z332" s="469">
        <f t="shared" si="97"/>
        <v>11732.16</v>
      </c>
      <c r="AA332" s="244"/>
      <c r="AB332" s="563"/>
      <c r="AC332" s="573"/>
    </row>
    <row r="333" spans="1:29" x14ac:dyDescent="0.3">
      <c r="A333" s="583">
        <v>43761.114583333336</v>
      </c>
      <c r="B333" s="584">
        <v>43764.25</v>
      </c>
      <c r="C333" s="23"/>
      <c r="D333" s="23"/>
      <c r="E333" s="35" t="s">
        <v>41</v>
      </c>
      <c r="F333" s="575" t="s">
        <v>333</v>
      </c>
      <c r="G333" s="574" t="s">
        <v>399</v>
      </c>
      <c r="H333" s="433">
        <f>86515-H335-H336-H334</f>
        <v>65681</v>
      </c>
      <c r="I333" s="433"/>
      <c r="J333" s="433">
        <v>86500</v>
      </c>
      <c r="K333" s="26">
        <f>H333+H334+H335+H336-J333</f>
        <v>15</v>
      </c>
      <c r="L333" s="27">
        <f>B333-A333</f>
        <v>3.1354166666642413</v>
      </c>
      <c r="M333" s="27">
        <f>'[165]TAIPOWER PROSPERITY II'!$F$119</f>
        <v>1.5451388888783792</v>
      </c>
      <c r="N333" s="434">
        <f>(H333+H334+H335+H336)/L333</f>
        <v>27592.823920287123</v>
      </c>
      <c r="O333" s="434">
        <f>(H333+H334+H335+H336)/M333</f>
        <v>55991.730337459492</v>
      </c>
      <c r="P333" s="542">
        <v>30000</v>
      </c>
      <c r="Q333" s="69">
        <f>(59554/10000)*8.7</f>
        <v>51.811979999999998</v>
      </c>
      <c r="R333" s="69">
        <f>(40274/10000)*8.7</f>
        <v>35.038379999999997</v>
      </c>
      <c r="S333" s="224">
        <f>Q333-R333</f>
        <v>16.773600000000002</v>
      </c>
      <c r="T333" s="526">
        <f>S333/8.7*10000/(H333+H334+H335+H336)</f>
        <v>0.22285152863665264</v>
      </c>
      <c r="U333" s="526">
        <f>S333/8.5*10000/(H333+H334+H335+H336)</f>
        <v>0.22809509401633857</v>
      </c>
      <c r="V333" s="224"/>
      <c r="W333" s="242"/>
      <c r="X333" s="243"/>
      <c r="Y333" s="544">
        <v>2.64</v>
      </c>
      <c r="Z333" s="469">
        <f t="shared" si="97"/>
        <v>173397.84</v>
      </c>
      <c r="AA333" s="244"/>
      <c r="AB333" s="563"/>
      <c r="AC333" s="573"/>
    </row>
    <row r="334" spans="1:29" x14ac:dyDescent="0.3">
      <c r="A334" s="146"/>
      <c r="B334" s="146"/>
      <c r="C334" s="23"/>
      <c r="D334" s="23"/>
      <c r="E334" s="35" t="s">
        <v>470</v>
      </c>
      <c r="F334" s="45"/>
      <c r="G334" s="36"/>
      <c r="H334" s="433">
        <v>4780</v>
      </c>
      <c r="I334" s="433"/>
      <c r="J334" s="433"/>
      <c r="K334" s="26"/>
      <c r="L334" s="27"/>
      <c r="M334" s="27"/>
      <c r="N334" s="434"/>
      <c r="O334" s="434"/>
      <c r="P334" s="542"/>
      <c r="Q334" s="69"/>
      <c r="R334" s="69"/>
      <c r="S334" s="224"/>
      <c r="T334" s="526"/>
      <c r="U334" s="526"/>
      <c r="V334" s="224"/>
      <c r="W334" s="242"/>
      <c r="X334" s="243"/>
      <c r="Y334" s="544">
        <v>6.5</v>
      </c>
      <c r="Z334" s="469">
        <f t="shared" si="97"/>
        <v>31070</v>
      </c>
      <c r="AA334" s="244"/>
      <c r="AB334" s="563"/>
      <c r="AC334" s="573"/>
    </row>
    <row r="335" spans="1:29" x14ac:dyDescent="0.3">
      <c r="A335" s="146"/>
      <c r="B335" s="146"/>
      <c r="C335" s="23"/>
      <c r="D335" s="23"/>
      <c r="E335" s="35" t="s">
        <v>470</v>
      </c>
      <c r="F335" s="45"/>
      <c r="G335" s="36"/>
      <c r="H335" s="433">
        <v>7731</v>
      </c>
      <c r="I335" s="433"/>
      <c r="J335" s="433"/>
      <c r="K335" s="26"/>
      <c r="L335" s="27"/>
      <c r="M335" s="27"/>
      <c r="N335" s="434"/>
      <c r="O335" s="434"/>
      <c r="P335" s="542"/>
      <c r="Q335" s="69"/>
      <c r="R335" s="69"/>
      <c r="S335" s="224"/>
      <c r="T335" s="526"/>
      <c r="U335" s="526"/>
      <c r="V335" s="224"/>
      <c r="W335" s="242"/>
      <c r="X335" s="243"/>
      <c r="Y335" s="544">
        <v>6.5</v>
      </c>
      <c r="Z335" s="469">
        <f t="shared" si="97"/>
        <v>50251.5</v>
      </c>
      <c r="AA335" s="244"/>
      <c r="AB335" s="563"/>
      <c r="AC335" s="573"/>
    </row>
    <row r="336" spans="1:29" x14ac:dyDescent="0.3">
      <c r="A336" s="146"/>
      <c r="B336" s="146"/>
      <c r="C336" s="23"/>
      <c r="D336" s="23"/>
      <c r="E336" s="35" t="s">
        <v>470</v>
      </c>
      <c r="F336" s="45"/>
      <c r="G336" s="36"/>
      <c r="H336" s="433">
        <v>8323</v>
      </c>
      <c r="I336" s="433"/>
      <c r="J336" s="433"/>
      <c r="K336" s="26"/>
      <c r="L336" s="27"/>
      <c r="M336" s="27"/>
      <c r="N336" s="434"/>
      <c r="O336" s="434"/>
      <c r="P336" s="542"/>
      <c r="Q336" s="69"/>
      <c r="R336" s="69"/>
      <c r="S336" s="224"/>
      <c r="T336" s="526"/>
      <c r="U336" s="526"/>
      <c r="V336" s="224"/>
      <c r="W336" s="242"/>
      <c r="X336" s="243"/>
      <c r="Y336" s="544">
        <v>6.5</v>
      </c>
      <c r="Z336" s="469">
        <f t="shared" si="97"/>
        <v>54099.5</v>
      </c>
      <c r="AA336" s="244"/>
      <c r="AB336" s="563"/>
      <c r="AC336" s="573"/>
    </row>
    <row r="337" spans="1:29" x14ac:dyDescent="0.3">
      <c r="A337" s="583">
        <v>43766.958333333336</v>
      </c>
      <c r="B337" s="584">
        <v>43767.854166666664</v>
      </c>
      <c r="C337" s="23"/>
      <c r="D337" s="23"/>
      <c r="E337" s="35" t="s">
        <v>81</v>
      </c>
      <c r="F337" s="45" t="s">
        <v>328</v>
      </c>
      <c r="G337" s="36" t="s">
        <v>396</v>
      </c>
      <c r="H337" s="433">
        <f>28468-H338</f>
        <v>21354</v>
      </c>
      <c r="I337" s="433"/>
      <c r="J337" s="433">
        <v>73000</v>
      </c>
      <c r="K337" s="26">
        <f>H337+H338-J337</f>
        <v>-44532</v>
      </c>
      <c r="L337" s="27">
        <f>B337-A337</f>
        <v>0.89583333332848269</v>
      </c>
      <c r="M337" s="27">
        <f>'[166]LONG SHAN HU'!$F$54</f>
        <v>0.55729166666302865</v>
      </c>
      <c r="N337" s="434">
        <f>(H337+H338/L337)</f>
        <v>29295.209302368581</v>
      </c>
      <c r="O337" s="434">
        <f>(H337+H338)/M337</f>
        <v>51082.766355473657</v>
      </c>
      <c r="P337" s="542">
        <v>30000</v>
      </c>
      <c r="Q337" s="69">
        <f>(152643/10000)*8.7</f>
        <v>132.79940999999999</v>
      </c>
      <c r="R337" s="69">
        <f>(146613/10000)*8.7</f>
        <v>127.55331</v>
      </c>
      <c r="S337" s="224">
        <f>Q337-R337</f>
        <v>5.2460999999999984</v>
      </c>
      <c r="T337" s="526">
        <f>S337/8.7*10000/(H337+H338)</f>
        <v>0.21181677673176896</v>
      </c>
      <c r="U337" s="526">
        <f>S337/8.5*10000/(H337+H338)</f>
        <v>0.21680070089016351</v>
      </c>
      <c r="V337" s="224"/>
      <c r="W337" s="242"/>
      <c r="X337" s="243"/>
      <c r="Y337" s="544">
        <v>2.64</v>
      </c>
      <c r="Z337" s="469">
        <f t="shared" si="97"/>
        <v>56374.560000000005</v>
      </c>
      <c r="AA337" s="244"/>
      <c r="AB337" s="563"/>
      <c r="AC337" s="573"/>
    </row>
    <row r="338" spans="1:29" x14ac:dyDescent="0.3">
      <c r="A338" s="146"/>
      <c r="B338" s="146"/>
      <c r="C338" s="23"/>
      <c r="D338" s="23"/>
      <c r="E338" s="35" t="s">
        <v>471</v>
      </c>
      <c r="F338" s="45"/>
      <c r="G338" s="36"/>
      <c r="H338" s="433">
        <v>7114</v>
      </c>
      <c r="I338" s="433"/>
      <c r="J338" s="433"/>
      <c r="K338" s="26"/>
      <c r="L338" s="27"/>
      <c r="M338" s="27"/>
      <c r="N338" s="434"/>
      <c r="O338" s="434"/>
      <c r="P338" s="542"/>
      <c r="Q338" s="69"/>
      <c r="R338" s="69"/>
      <c r="S338" s="224"/>
      <c r="T338" s="526"/>
      <c r="U338" s="526"/>
      <c r="V338" s="224"/>
      <c r="W338" s="242"/>
      <c r="X338" s="243"/>
      <c r="Y338" s="544">
        <v>6.5</v>
      </c>
      <c r="Z338" s="469">
        <f t="shared" si="97"/>
        <v>46241</v>
      </c>
      <c r="AA338" s="244"/>
      <c r="AB338" s="563"/>
      <c r="AC338" s="573"/>
    </row>
    <row r="339" spans="1:29" x14ac:dyDescent="0.3">
      <c r="A339" s="35"/>
      <c r="B339" s="35"/>
      <c r="C339" s="35"/>
      <c r="D339" s="35"/>
      <c r="E339" s="122" t="s">
        <v>84</v>
      </c>
      <c r="F339" s="123"/>
      <c r="G339" s="123"/>
      <c r="H339" s="482">
        <f>SUM(H319:H338)</f>
        <v>494408</v>
      </c>
      <c r="I339" s="482"/>
      <c r="J339" s="482"/>
      <c r="K339" s="482"/>
      <c r="L339" s="482"/>
      <c r="M339" s="482"/>
      <c r="N339" s="482"/>
      <c r="O339" s="482"/>
      <c r="P339" s="482"/>
      <c r="Q339" s="482"/>
      <c r="R339" s="482"/>
      <c r="S339" s="484">
        <f>SUM(S319:S338)</f>
        <v>98.014530000000036</v>
      </c>
      <c r="T339" s="453">
        <f>S339/8.7*10000/H339</f>
        <v>0.22786924829360541</v>
      </c>
      <c r="U339" s="484"/>
      <c r="V339" s="484"/>
      <c r="W339" s="485">
        <v>421875</v>
      </c>
      <c r="X339" s="22">
        <f>H339-W339</f>
        <v>72533</v>
      </c>
      <c r="Y339" s="22"/>
      <c r="Z339" s="432">
        <f>SUM(Z319:Z338)</f>
        <v>1560240.3000000003</v>
      </c>
      <c r="AA339" s="432"/>
      <c r="AB339" s="446">
        <f>SUM(AB319:AB338)</f>
        <v>0</v>
      </c>
      <c r="AC339" s="446">
        <f>SUM(AC321:AC331)</f>
        <v>0</v>
      </c>
    </row>
    <row r="340" spans="1:29" x14ac:dyDescent="0.3">
      <c r="A340" s="583">
        <v>43770.3125</v>
      </c>
      <c r="B340" s="584">
        <v>43772.0625</v>
      </c>
      <c r="C340" s="23"/>
      <c r="D340" s="23"/>
      <c r="E340" s="35" t="s">
        <v>472</v>
      </c>
      <c r="F340" s="45" t="s">
        <v>328</v>
      </c>
      <c r="G340" s="36" t="s">
        <v>396</v>
      </c>
      <c r="H340" s="433">
        <f>43257-H341</f>
        <v>35134</v>
      </c>
      <c r="I340" s="433"/>
      <c r="J340" s="433">
        <v>79800</v>
      </c>
      <c r="K340" s="26">
        <f>H340+H341-J340</f>
        <v>-36543</v>
      </c>
      <c r="L340" s="27">
        <f>B340-A340</f>
        <v>1.75</v>
      </c>
      <c r="M340" s="27">
        <f>'[167]FORTUNE RAINBOW'!$F$67</f>
        <v>0.97222222224324162</v>
      </c>
      <c r="N340" s="434">
        <f>(43257/L340)</f>
        <v>24718.285714285714</v>
      </c>
      <c r="O340" s="434">
        <f>(H340+H341)/M340</f>
        <v>44492.914284752354</v>
      </c>
      <c r="P340" s="542">
        <v>30000</v>
      </c>
      <c r="Q340" s="69">
        <f>(141852/10000)*8.7</f>
        <v>123.41123999999999</v>
      </c>
      <c r="R340" s="69">
        <f>(131113/10000)*8.7</f>
        <v>114.06831</v>
      </c>
      <c r="S340" s="224">
        <f>Q340-R340</f>
        <v>9.3429299999999955</v>
      </c>
      <c r="T340" s="526">
        <f>S340/8.7*10000/(H340+H341)</f>
        <v>0.24826039716115303</v>
      </c>
      <c r="U340" s="526">
        <f>S340/8.5*10000/(H340+H341)</f>
        <v>0.25410181827082717</v>
      </c>
      <c r="V340" s="224"/>
      <c r="Y340" s="544">
        <v>2.64</v>
      </c>
      <c r="Z340" s="469">
        <f t="shared" si="97"/>
        <v>92753.760000000009</v>
      </c>
      <c r="AB340" s="469"/>
      <c r="AC340" s="573"/>
    </row>
    <row r="341" spans="1:29" x14ac:dyDescent="0.3">
      <c r="A341" s="146"/>
      <c r="B341" s="146"/>
      <c r="C341" s="23"/>
      <c r="D341" s="23"/>
      <c r="E341" s="35" t="s">
        <v>473</v>
      </c>
      <c r="F341" s="45"/>
      <c r="G341" s="36"/>
      <c r="H341" s="433">
        <v>8123</v>
      </c>
      <c r="I341" s="433"/>
      <c r="J341" s="433"/>
      <c r="K341" s="26"/>
      <c r="L341" s="27"/>
      <c r="M341" s="27"/>
      <c r="N341" s="434"/>
      <c r="O341" s="434"/>
      <c r="P341" s="542"/>
      <c r="Q341" s="69"/>
      <c r="R341" s="69"/>
      <c r="S341" s="224"/>
      <c r="T341" s="526"/>
      <c r="U341" s="526"/>
      <c r="V341" s="224"/>
      <c r="Y341" s="544">
        <v>6.5</v>
      </c>
      <c r="Z341" s="469">
        <f t="shared" si="97"/>
        <v>52799.5</v>
      </c>
      <c r="AB341" s="469"/>
      <c r="AC341" s="573"/>
    </row>
    <row r="342" spans="1:29" x14ac:dyDescent="0.3">
      <c r="A342" s="146">
        <v>43773.069444444445</v>
      </c>
      <c r="B342" s="146">
        <v>43773.875</v>
      </c>
      <c r="C342" s="23"/>
      <c r="D342" s="23"/>
      <c r="E342" s="35" t="s">
        <v>225</v>
      </c>
      <c r="F342" s="110" t="s">
        <v>328</v>
      </c>
      <c r="G342" s="541" t="s">
        <v>396</v>
      </c>
      <c r="H342" s="433">
        <v>25372</v>
      </c>
      <c r="I342" s="433"/>
      <c r="J342" s="433">
        <v>66700</v>
      </c>
      <c r="K342" s="26">
        <f>H342-J342</f>
        <v>-41328</v>
      </c>
      <c r="L342" s="27">
        <f>B342-A342</f>
        <v>0.80555555555474712</v>
      </c>
      <c r="M342" s="27">
        <f>'[167]YI HUI'!$F$52</f>
        <v>0.5902777777688849</v>
      </c>
      <c r="N342" s="434">
        <f>(H342)/L342</f>
        <v>31496.275862100574</v>
      </c>
      <c r="O342" s="434">
        <f>(H342)/M342</f>
        <v>42983.152941824039</v>
      </c>
      <c r="P342" s="542">
        <v>30000</v>
      </c>
      <c r="Q342" s="69">
        <f>(129034/10000)*8.7</f>
        <v>112.25957999999999</v>
      </c>
      <c r="R342" s="69">
        <f>(123644/10000)*8.7</f>
        <v>107.57028</v>
      </c>
      <c r="S342" s="455">
        <f>Q342-R342</f>
        <v>4.6892999999999887</v>
      </c>
      <c r="T342" s="435">
        <f>S342/8.7*10000/(H342)</f>
        <v>0.21243890903357981</v>
      </c>
      <c r="U342" s="435">
        <f>S342/8.5*10000/(H342)</f>
        <v>0.21743747159907584</v>
      </c>
      <c r="V342" s="224"/>
      <c r="Y342" s="544">
        <v>2.64</v>
      </c>
      <c r="Z342" s="469">
        <f t="shared" si="97"/>
        <v>66982.080000000002</v>
      </c>
      <c r="AB342" s="469"/>
      <c r="AC342" s="573"/>
    </row>
    <row r="343" spans="1:29" x14ac:dyDescent="0.3">
      <c r="A343" s="146">
        <v>43775.5625</v>
      </c>
      <c r="B343" s="146">
        <v>43779.458333333336</v>
      </c>
      <c r="C343" s="23"/>
      <c r="D343" s="23"/>
      <c r="E343" s="35" t="s">
        <v>474</v>
      </c>
      <c r="F343" s="110" t="s">
        <v>212</v>
      </c>
      <c r="G343" s="541" t="s">
        <v>399</v>
      </c>
      <c r="H343" s="433">
        <v>54160</v>
      </c>
      <c r="I343" s="433"/>
      <c r="J343" s="433">
        <v>54160</v>
      </c>
      <c r="K343" s="26">
        <f>H343-J343</f>
        <v>0</v>
      </c>
      <c r="L343" s="27">
        <f>B343-A343</f>
        <v>3.8958333333357587</v>
      </c>
      <c r="M343" s="27">
        <f>'[167]PPS LUCK'!$F$100</f>
        <v>2.614583333305442</v>
      </c>
      <c r="N343" s="462">
        <f>(H343)/L343</f>
        <v>13902.032085552843</v>
      </c>
      <c r="O343" s="434">
        <f>(H343)/M343</f>
        <v>20714.581673527748</v>
      </c>
      <c r="P343" s="542">
        <v>30000</v>
      </c>
      <c r="Q343" s="69">
        <f>(120397/10000)*8.7</f>
        <v>104.74538999999999</v>
      </c>
      <c r="R343" s="69">
        <f>(104420/10000)*8.7</f>
        <v>90.845399999999998</v>
      </c>
      <c r="S343" s="455">
        <f>Q343-R343</f>
        <v>13.899989999999988</v>
      </c>
      <c r="T343" s="435">
        <f>S343/8.7*10000/(H343)</f>
        <v>0.29499630723781367</v>
      </c>
      <c r="U343" s="435">
        <f>S343/8.5*10000/(H343)</f>
        <v>0.3019373968198798</v>
      </c>
      <c r="V343" s="224"/>
      <c r="Y343" s="544">
        <v>2.64</v>
      </c>
      <c r="Z343" s="469">
        <f t="shared" si="97"/>
        <v>142982.39999999999</v>
      </c>
      <c r="AB343" s="469"/>
      <c r="AC343" s="573"/>
    </row>
    <row r="344" spans="1:29" x14ac:dyDescent="0.3">
      <c r="A344" s="146">
        <v>43781.645833333336</v>
      </c>
      <c r="B344" s="146">
        <v>43788.527777777781</v>
      </c>
      <c r="C344" s="23"/>
      <c r="D344" s="23"/>
      <c r="E344" s="35" t="s">
        <v>475</v>
      </c>
      <c r="F344" s="45" t="s">
        <v>91</v>
      </c>
      <c r="G344" s="36" t="s">
        <v>396</v>
      </c>
      <c r="H344" s="433">
        <f>135120-H345-H346-H347</f>
        <v>114523</v>
      </c>
      <c r="I344" s="433"/>
      <c r="J344" s="433">
        <v>164600</v>
      </c>
      <c r="K344" s="26">
        <f>H344+H345+H346+H347-J344</f>
        <v>-29480</v>
      </c>
      <c r="L344" s="27">
        <f>B344-A344</f>
        <v>6.8819444444452529</v>
      </c>
      <c r="M344" s="27">
        <f>'[167]NAVIOS FULVIA'!$F$169</f>
        <v>4.031249999955131</v>
      </c>
      <c r="N344" s="462">
        <f>(H344+H345+H346+H347)/L344</f>
        <v>19633.985872853395</v>
      </c>
      <c r="O344" s="434">
        <f>(H344+H345+H346+H347)/M344</f>
        <v>33518.139535256785</v>
      </c>
      <c r="P344" s="542">
        <v>30000</v>
      </c>
      <c r="Q344" s="69">
        <f>(99682/10000)*8.7</f>
        <v>86.723339999999993</v>
      </c>
      <c r="R344" s="69">
        <f>(65253/10000)*8.7</f>
        <v>56.770109999999995</v>
      </c>
      <c r="S344" s="224">
        <f>Q344-R344</f>
        <v>29.953229999999998</v>
      </c>
      <c r="T344" s="526">
        <f>S344/8.7*10000/(H344+H345+H346+H347)</f>
        <v>0.25480313795145054</v>
      </c>
      <c r="U344" s="526">
        <f>S344/8.5*10000/(H344+H345+H346+H347)</f>
        <v>0.26079850590324938</v>
      </c>
      <c r="V344" s="224"/>
      <c r="Y344" s="544">
        <v>2.64</v>
      </c>
      <c r="Z344" s="469">
        <f t="shared" si="97"/>
        <v>302340.72000000003</v>
      </c>
      <c r="AB344" s="469"/>
      <c r="AC344" s="573"/>
    </row>
    <row r="345" spans="1:29" x14ac:dyDescent="0.3">
      <c r="A345" s="146"/>
      <c r="B345" s="146"/>
      <c r="C345" s="23"/>
      <c r="D345" s="23"/>
      <c r="E345" s="35" t="s">
        <v>476</v>
      </c>
      <c r="F345" s="45"/>
      <c r="G345" s="36"/>
      <c r="H345" s="433">
        <v>6914</v>
      </c>
      <c r="I345" s="433"/>
      <c r="J345" s="433"/>
      <c r="K345" s="26"/>
      <c r="L345" s="27"/>
      <c r="M345" s="27"/>
      <c r="N345" s="434"/>
      <c r="O345" s="434"/>
      <c r="P345" s="542"/>
      <c r="Q345" s="69"/>
      <c r="R345" s="69"/>
      <c r="S345" s="224"/>
      <c r="T345" s="526"/>
      <c r="U345" s="526"/>
      <c r="V345" s="224"/>
      <c r="Y345" s="544">
        <v>6.5</v>
      </c>
      <c r="Z345" s="469">
        <f t="shared" si="97"/>
        <v>44941</v>
      </c>
      <c r="AB345" s="469"/>
      <c r="AC345" s="573"/>
    </row>
    <row r="346" spans="1:29" x14ac:dyDescent="0.3">
      <c r="A346" s="146"/>
      <c r="B346" s="146"/>
      <c r="C346" s="23"/>
      <c r="D346" s="23"/>
      <c r="E346" s="35" t="s">
        <v>476</v>
      </c>
      <c r="F346" s="171"/>
      <c r="G346" s="36"/>
      <c r="H346" s="433">
        <v>6454</v>
      </c>
      <c r="I346" s="433"/>
      <c r="J346" s="433"/>
      <c r="K346" s="26"/>
      <c r="L346" s="27"/>
      <c r="M346" s="27"/>
      <c r="N346" s="434"/>
      <c r="O346" s="434"/>
      <c r="P346" s="542"/>
      <c r="Q346" s="69"/>
      <c r="R346" s="69"/>
      <c r="S346" s="224"/>
      <c r="T346" s="526"/>
      <c r="U346" s="526"/>
      <c r="V346" s="224"/>
      <c r="Y346" s="544">
        <v>6.5</v>
      </c>
      <c r="Z346" s="469">
        <f t="shared" si="97"/>
        <v>41951</v>
      </c>
      <c r="AB346" s="469"/>
      <c r="AC346" s="573"/>
    </row>
    <row r="347" spans="1:29" x14ac:dyDescent="0.3">
      <c r="A347" s="146"/>
      <c r="B347" s="146"/>
      <c r="C347" s="23"/>
      <c r="D347" s="23"/>
      <c r="E347" s="35" t="s">
        <v>476</v>
      </c>
      <c r="F347" s="45"/>
      <c r="G347" s="36"/>
      <c r="H347" s="433">
        <v>7229</v>
      </c>
      <c r="I347" s="433"/>
      <c r="J347" s="433"/>
      <c r="K347" s="26"/>
      <c r="L347" s="27"/>
      <c r="M347" s="27"/>
      <c r="N347" s="434"/>
      <c r="O347" s="434"/>
      <c r="P347" s="542"/>
      <c r="Q347" s="69"/>
      <c r="R347" s="69"/>
      <c r="S347" s="224"/>
      <c r="T347" s="526"/>
      <c r="U347" s="526"/>
      <c r="V347" s="224"/>
      <c r="Y347" s="544">
        <v>6.5</v>
      </c>
      <c r="Z347" s="469">
        <f t="shared" si="97"/>
        <v>46988.5</v>
      </c>
      <c r="AB347" s="469"/>
      <c r="AC347" s="573"/>
    </row>
    <row r="348" spans="1:29" x14ac:dyDescent="0.3">
      <c r="A348" s="146">
        <v>43795.083333333336</v>
      </c>
      <c r="B348" s="146">
        <v>43797.104166666664</v>
      </c>
      <c r="C348" s="23"/>
      <c r="D348" s="23"/>
      <c r="E348" s="35" t="s">
        <v>418</v>
      </c>
      <c r="F348" s="45" t="s">
        <v>212</v>
      </c>
      <c r="G348" s="574" t="s">
        <v>399</v>
      </c>
      <c r="H348" s="433">
        <f>50005-H349-H350</f>
        <v>41410</v>
      </c>
      <c r="I348" s="447"/>
      <c r="J348" s="447">
        <v>50000</v>
      </c>
      <c r="K348" s="26">
        <f>H348+H349+H350-J348</f>
        <v>5</v>
      </c>
      <c r="L348" s="27">
        <f>B348-A348</f>
        <v>2.0208333333284827</v>
      </c>
      <c r="M348" s="27">
        <f>[167]KAREEM!$F$113</f>
        <v>1.1631944444404023</v>
      </c>
      <c r="N348" s="434">
        <f>(H348+H349+H350)/L348</f>
        <v>24744.742268100632</v>
      </c>
      <c r="O348" s="434">
        <f>(H348+H349+H350)/M348</f>
        <v>42989.373134477748</v>
      </c>
      <c r="P348" s="542">
        <v>30000</v>
      </c>
      <c r="Q348" s="69">
        <f>(163081/10000)*8.7</f>
        <v>141.88046999999997</v>
      </c>
      <c r="R348" s="69">
        <f>(150351/10000)*8.7</f>
        <v>130.80536999999998</v>
      </c>
      <c r="S348" s="455">
        <f>Q348-R348</f>
        <v>11.075099999999992</v>
      </c>
      <c r="T348" s="435">
        <f>S348/8.7*10000/(H348+H349+H350)</f>
        <v>0.2545745425457453</v>
      </c>
      <c r="U348" s="435">
        <f>S348/8.5*10000/(H348+H349+H350)</f>
        <v>0.26056453178211569</v>
      </c>
      <c r="V348" s="224"/>
      <c r="W348" s="242"/>
      <c r="X348" s="243"/>
      <c r="Y348" s="544">
        <v>2.64</v>
      </c>
      <c r="Z348" s="469">
        <f t="shared" si="97"/>
        <v>109322.40000000001</v>
      </c>
      <c r="AA348" s="244"/>
      <c r="AB348" s="469"/>
      <c r="AC348" s="573"/>
    </row>
    <row r="349" spans="1:29" x14ac:dyDescent="0.3">
      <c r="A349" s="146"/>
      <c r="B349" s="146"/>
      <c r="C349" s="23"/>
      <c r="D349" s="23"/>
      <c r="E349" s="35" t="s">
        <v>477</v>
      </c>
      <c r="F349" s="575"/>
      <c r="G349" s="574"/>
      <c r="H349" s="433">
        <v>4735</v>
      </c>
      <c r="I349" s="447"/>
      <c r="J349" s="447"/>
      <c r="K349" s="133"/>
      <c r="L349" s="27"/>
      <c r="M349" s="27"/>
      <c r="N349" s="434"/>
      <c r="O349" s="434"/>
      <c r="P349" s="542"/>
      <c r="Q349" s="69"/>
      <c r="R349" s="69"/>
      <c r="S349" s="224"/>
      <c r="T349" s="526"/>
      <c r="U349" s="526"/>
      <c r="V349" s="224"/>
      <c r="W349" s="242"/>
      <c r="X349" s="243"/>
      <c r="Y349" s="544">
        <v>6.5</v>
      </c>
      <c r="Z349" s="469">
        <f t="shared" si="97"/>
        <v>30777.5</v>
      </c>
      <c r="AA349" s="244"/>
      <c r="AB349" s="469"/>
      <c r="AC349" s="573"/>
    </row>
    <row r="350" spans="1:29" x14ac:dyDescent="0.3">
      <c r="A350" s="146"/>
      <c r="B350" s="146"/>
      <c r="C350" s="23"/>
      <c r="D350" s="23"/>
      <c r="E350" s="35" t="s">
        <v>477</v>
      </c>
      <c r="F350" s="575"/>
      <c r="G350" s="574"/>
      <c r="H350" s="433">
        <v>3860</v>
      </c>
      <c r="I350" s="433"/>
      <c r="J350" s="433"/>
      <c r="K350" s="26"/>
      <c r="L350" s="27"/>
      <c r="M350" s="27"/>
      <c r="N350" s="434"/>
      <c r="O350" s="434"/>
      <c r="P350" s="542"/>
      <c r="Q350" s="69"/>
      <c r="R350" s="69"/>
      <c r="S350" s="224"/>
      <c r="T350" s="526"/>
      <c r="U350" s="526"/>
      <c r="V350" s="224"/>
      <c r="W350" s="242"/>
      <c r="X350" s="243"/>
      <c r="Y350" s="544">
        <v>6.5</v>
      </c>
      <c r="Z350" s="469">
        <f t="shared" si="97"/>
        <v>25090</v>
      </c>
      <c r="AA350" s="244"/>
      <c r="AB350" s="469"/>
      <c r="AC350" s="573"/>
    </row>
    <row r="351" spans="1:29" x14ac:dyDescent="0.3">
      <c r="A351" s="439">
        <v>43797.368055555555</v>
      </c>
      <c r="B351" s="439">
        <v>43798.263888888891</v>
      </c>
      <c r="C351" s="23" t="s">
        <v>478</v>
      </c>
      <c r="D351" s="23"/>
      <c r="E351" s="35" t="s">
        <v>133</v>
      </c>
      <c r="F351" s="575" t="s">
        <v>328</v>
      </c>
      <c r="G351" s="574" t="s">
        <v>396</v>
      </c>
      <c r="H351" s="433">
        <v>23451</v>
      </c>
      <c r="I351" s="433"/>
      <c r="J351" s="433">
        <v>68800</v>
      </c>
      <c r="K351" s="26">
        <f>H351-J351</f>
        <v>-45349</v>
      </c>
      <c r="L351" s="27">
        <f>B351-A351</f>
        <v>0.89583333333575865</v>
      </c>
      <c r="M351" s="27">
        <f>'[167]YUE DIAN 82'!$F$51</f>
        <v>0.53298611111555749</v>
      </c>
      <c r="N351" s="434">
        <f>(H351)/L351</f>
        <v>26177.860465045407</v>
      </c>
      <c r="O351" s="434">
        <f>(H351)/M351</f>
        <v>43999.270357939131</v>
      </c>
      <c r="P351" s="542">
        <v>30000</v>
      </c>
      <c r="Q351" s="69">
        <f>(149332/10000)*8.7</f>
        <v>129.91883999999999</v>
      </c>
      <c r="R351" s="69">
        <f>(144101/10000)*8.7</f>
        <v>125.36786999999998</v>
      </c>
      <c r="S351" s="455">
        <f>Q351-R351</f>
        <v>4.5509700000000066</v>
      </c>
      <c r="T351" s="435">
        <f>S351/8.7*10000/(H351)</f>
        <v>0.22306085028357034</v>
      </c>
      <c r="U351" s="435">
        <f>S351/8.5*10000/(H351)</f>
        <v>0.22830934087847785</v>
      </c>
      <c r="V351" s="224"/>
      <c r="W351" s="242"/>
      <c r="X351" s="243"/>
      <c r="Y351" s="544">
        <v>2.64</v>
      </c>
      <c r="Z351" s="469">
        <f t="shared" si="97"/>
        <v>61910.64</v>
      </c>
      <c r="AA351" s="244"/>
      <c r="AB351" s="469"/>
      <c r="AC351" s="573"/>
    </row>
    <row r="352" spans="1:29" x14ac:dyDescent="0.3">
      <c r="A352" s="23"/>
      <c r="B352" s="23"/>
      <c r="C352" s="23"/>
      <c r="D352" s="23"/>
      <c r="E352" s="39" t="s">
        <v>29</v>
      </c>
      <c r="F352" s="243"/>
      <c r="G352" s="574"/>
      <c r="H352" s="457">
        <f>375000-SUM(H340:H351)</f>
        <v>43635</v>
      </c>
      <c r="I352" s="433"/>
      <c r="J352" s="433"/>
      <c r="K352" s="26"/>
      <c r="L352" s="27"/>
      <c r="M352" s="27"/>
      <c r="N352" s="434"/>
      <c r="O352" s="434"/>
      <c r="P352" s="542"/>
      <c r="Q352" s="69"/>
      <c r="R352" s="69"/>
      <c r="S352" s="455"/>
      <c r="T352" s="435"/>
      <c r="U352" s="435"/>
      <c r="V352" s="224"/>
      <c r="W352" s="242"/>
      <c r="X352" s="243"/>
      <c r="Y352" s="544">
        <v>2.64</v>
      </c>
      <c r="Z352" s="469">
        <f t="shared" si="97"/>
        <v>115196.40000000001</v>
      </c>
      <c r="AA352" s="244"/>
      <c r="AB352" s="469"/>
      <c r="AC352" s="573"/>
    </row>
    <row r="353" spans="1:29" x14ac:dyDescent="0.3">
      <c r="E353" s="122" t="s">
        <v>89</v>
      </c>
      <c r="F353" s="123"/>
      <c r="G353" s="123"/>
      <c r="H353" s="482">
        <f>SUM(H340:H351)</f>
        <v>331365</v>
      </c>
      <c r="I353" s="482"/>
      <c r="J353" s="482"/>
      <c r="K353" s="482"/>
      <c r="L353" s="482"/>
      <c r="M353" s="482"/>
      <c r="N353" s="482"/>
      <c r="O353" s="482"/>
      <c r="P353" s="482"/>
      <c r="Q353" s="482"/>
      <c r="R353" s="482"/>
      <c r="S353" s="484">
        <f>SUM(S340:S351)</f>
        <v>73.511519999999962</v>
      </c>
      <c r="T353" s="453">
        <f>S353/8.7*10000/H353</f>
        <v>0.25499373802302588</v>
      </c>
      <c r="U353" s="484"/>
      <c r="V353" s="484"/>
      <c r="W353" s="485">
        <v>421875</v>
      </c>
      <c r="X353" s="22">
        <f>H353-W353</f>
        <v>-90510</v>
      </c>
      <c r="Y353" s="22"/>
      <c r="Z353" s="432">
        <f>SUM(Z340:Z351)</f>
        <v>1018839.5</v>
      </c>
      <c r="AA353" s="432"/>
      <c r="AB353" s="446">
        <f>SUM(AB340:AB351)</f>
        <v>0</v>
      </c>
      <c r="AC353" s="446">
        <f>SUM(AC340:AC351)</f>
        <v>0</v>
      </c>
    </row>
    <row r="354" spans="1:29" x14ac:dyDescent="0.3">
      <c r="A354" s="146">
        <v>43800.791666666664</v>
      </c>
      <c r="B354" s="146">
        <v>43802.125</v>
      </c>
      <c r="C354" s="23"/>
      <c r="D354" s="23"/>
      <c r="E354" s="35" t="s">
        <v>479</v>
      </c>
      <c r="F354" s="36" t="s">
        <v>32</v>
      </c>
      <c r="G354" s="36" t="s">
        <v>396</v>
      </c>
      <c r="H354" s="433">
        <v>43867</v>
      </c>
      <c r="I354" s="433"/>
      <c r="J354" s="433">
        <v>75605</v>
      </c>
      <c r="K354" s="26">
        <f>H354-J354</f>
        <v>-31738</v>
      </c>
      <c r="L354" s="27">
        <f t="shared" ref="L354:L359" si="98">B354-A354</f>
        <v>1.3333333333357587</v>
      </c>
      <c r="M354" s="27">
        <f>'[168]ANNA S'!$F$72</f>
        <v>0.91666666666302865</v>
      </c>
      <c r="N354" s="434">
        <f>(H354)/L354</f>
        <v>32900.249999940155</v>
      </c>
      <c r="O354" s="434">
        <f>(H354)/M354</f>
        <v>47854.909091099013</v>
      </c>
      <c r="P354" s="542">
        <v>30000</v>
      </c>
      <c r="Q354" s="69">
        <f>(139062/10000)*8.7</f>
        <v>120.98393999999999</v>
      </c>
      <c r="R354" s="69">
        <f>(129945/10000)*8.7</f>
        <v>113.05215</v>
      </c>
      <c r="S354" s="224">
        <f t="shared" ref="S354:S359" si="99">Q354-R354</f>
        <v>7.9317899999999923</v>
      </c>
      <c r="T354" s="526">
        <f>S354/8.7*10000/(H354)</f>
        <v>0.20783276722821234</v>
      </c>
      <c r="U354" s="526">
        <f>S354/8.5*10000/(H354)</f>
        <v>0.21272294998652322</v>
      </c>
      <c r="V354" s="224"/>
      <c r="Y354" s="544">
        <v>2.64</v>
      </c>
      <c r="Z354" s="469">
        <f t="shared" si="97"/>
        <v>115808.88</v>
      </c>
      <c r="AC354" s="489"/>
    </row>
    <row r="355" spans="1:29" x14ac:dyDescent="0.3">
      <c r="A355" s="146">
        <v>43803.104166666664</v>
      </c>
      <c r="B355" s="146">
        <v>43804.46875</v>
      </c>
      <c r="C355" s="23"/>
      <c r="D355" s="23"/>
      <c r="E355" s="35" t="s">
        <v>480</v>
      </c>
      <c r="F355" s="36" t="s">
        <v>328</v>
      </c>
      <c r="G355" s="36" t="s">
        <v>396</v>
      </c>
      <c r="H355" s="433">
        <v>34268</v>
      </c>
      <c r="I355" s="433"/>
      <c r="J355" s="433">
        <v>68400</v>
      </c>
      <c r="K355" s="26">
        <f>H355-J355</f>
        <v>-34132</v>
      </c>
      <c r="L355" s="27">
        <f t="shared" si="98"/>
        <v>1.3645833333357587</v>
      </c>
      <c r="M355" s="27">
        <f>'[168]TWIN DRAGON'!$F$75</f>
        <v>0.71874999998059741</v>
      </c>
      <c r="N355" s="434">
        <f>(H355)/L355</f>
        <v>25112.427480871396</v>
      </c>
      <c r="O355" s="434">
        <f>(H355)/M355</f>
        <v>47677.217392591388</v>
      </c>
      <c r="P355" s="542">
        <v>30000</v>
      </c>
      <c r="Q355" s="69">
        <f>(127500/10000)*8.7</f>
        <v>110.925</v>
      </c>
      <c r="R355" s="69">
        <f>(118933/10000)*8.7</f>
        <v>103.47170999999999</v>
      </c>
      <c r="S355" s="224">
        <f t="shared" si="99"/>
        <v>7.4532900000000097</v>
      </c>
      <c r="T355" s="526">
        <f>S355/8.7*10000/(H355)</f>
        <v>0.25000000000000039</v>
      </c>
      <c r="U355" s="526">
        <f>S355/8.5*10000/(H355)</f>
        <v>0.25588235294117678</v>
      </c>
      <c r="V355" s="224"/>
      <c r="Y355" s="544">
        <v>2.64</v>
      </c>
      <c r="Z355" s="469">
        <f t="shared" si="97"/>
        <v>90467.520000000004</v>
      </c>
      <c r="AC355" s="489"/>
    </row>
    <row r="356" spans="1:29" x14ac:dyDescent="0.3">
      <c r="A356" s="146">
        <v>43805.708333333336</v>
      </c>
      <c r="B356" s="146">
        <v>43806.802083333336</v>
      </c>
      <c r="C356" s="23"/>
      <c r="D356" s="23"/>
      <c r="E356" s="35" t="s">
        <v>81</v>
      </c>
      <c r="F356" s="36" t="s">
        <v>328</v>
      </c>
      <c r="G356" s="36" t="s">
        <v>396</v>
      </c>
      <c r="H356" s="433">
        <v>31834</v>
      </c>
      <c r="I356" s="433"/>
      <c r="J356" s="433">
        <v>67071</v>
      </c>
      <c r="K356" s="512">
        <f>H356-J356</f>
        <v>-35237</v>
      </c>
      <c r="L356" s="27">
        <f t="shared" si="98"/>
        <v>1.09375</v>
      </c>
      <c r="M356" s="27">
        <f>'[168]LONG SHAN HU'!$F$60</f>
        <v>0.81423611111191951</v>
      </c>
      <c r="N356" s="434">
        <f>(H356)/L356</f>
        <v>29105.371428571427</v>
      </c>
      <c r="O356" s="462">
        <f>(H356)/M356</f>
        <v>39096.767590579519</v>
      </c>
      <c r="P356" s="542">
        <v>30000</v>
      </c>
      <c r="Q356" s="69">
        <f>(115869/10000)*8.7</f>
        <v>100.80602999999999</v>
      </c>
      <c r="R356" s="69">
        <f>(108490/10000)*8.7</f>
        <v>94.386299999999991</v>
      </c>
      <c r="S356" s="224">
        <f t="shared" si="99"/>
        <v>6.4197300000000013</v>
      </c>
      <c r="T356" s="526">
        <f>S356/8.7*10000/(H356)</f>
        <v>0.23179619274989011</v>
      </c>
      <c r="U356" s="526">
        <f>S356/8.5*10000/(H356)</f>
        <v>0.23725022081459338</v>
      </c>
      <c r="V356" s="224"/>
      <c r="Y356" s="544">
        <v>2.64</v>
      </c>
      <c r="Z356" s="469">
        <f t="shared" si="97"/>
        <v>84041.760000000009</v>
      </c>
      <c r="AC356" s="489"/>
    </row>
    <row r="357" spans="1:29" x14ac:dyDescent="0.3">
      <c r="A357" s="146">
        <v>43807.875</v>
      </c>
      <c r="B357" s="146">
        <v>43809.760416666664</v>
      </c>
      <c r="C357" s="23"/>
      <c r="D357" s="23"/>
      <c r="E357" s="35" t="s">
        <v>481</v>
      </c>
      <c r="F357" s="36" t="s">
        <v>333</v>
      </c>
      <c r="G357" s="36" t="s">
        <v>396</v>
      </c>
      <c r="H357" s="433">
        <v>52863</v>
      </c>
      <c r="I357" s="433"/>
      <c r="J357" s="433">
        <v>99999</v>
      </c>
      <c r="K357" s="512">
        <f>H357-J357</f>
        <v>-47136</v>
      </c>
      <c r="L357" s="27">
        <f t="shared" si="98"/>
        <v>1.8854166666642413</v>
      </c>
      <c r="M357" s="27">
        <f>'[168]ENTERNAL RESOURCE'!$F$82</f>
        <v>1.0833333333309081</v>
      </c>
      <c r="N357" s="434">
        <f>(H357)/L357</f>
        <v>28037.834254179714</v>
      </c>
      <c r="O357" s="434">
        <f>(H357)/M357</f>
        <v>48796.615384724624</v>
      </c>
      <c r="P357" s="542">
        <v>30000</v>
      </c>
      <c r="Q357" s="69">
        <f>(105819/10000)*8.7</f>
        <v>92.062529999999981</v>
      </c>
      <c r="R357" s="69">
        <f>(93809/10000)*8.7</f>
        <v>81.613829999999993</v>
      </c>
      <c r="S357" s="224">
        <f>Q357-R357</f>
        <v>10.448699999999988</v>
      </c>
      <c r="T357" s="526">
        <f>S357/8.7*10000/(H357)</f>
        <v>0.22719104099275461</v>
      </c>
      <c r="U357" s="526">
        <f>S357/8.5*10000/(H357)</f>
        <v>0.2325367125455253</v>
      </c>
      <c r="V357" s="224"/>
      <c r="Y357" s="544">
        <v>2.64</v>
      </c>
      <c r="Z357" s="469">
        <f t="shared" si="97"/>
        <v>139558.32</v>
      </c>
      <c r="AC357" s="489"/>
    </row>
    <row r="358" spans="1:29" x14ac:dyDescent="0.3">
      <c r="A358" s="146">
        <v>43809.993055555555</v>
      </c>
      <c r="B358" s="146">
        <v>43810.986111111109</v>
      </c>
      <c r="C358" s="23"/>
      <c r="D358" s="23"/>
      <c r="E358" s="35" t="s">
        <v>482</v>
      </c>
      <c r="F358" s="36" t="s">
        <v>32</v>
      </c>
      <c r="G358" s="36" t="s">
        <v>396</v>
      </c>
      <c r="H358" s="433">
        <v>35104</v>
      </c>
      <c r="I358" s="433"/>
      <c r="J358" s="433">
        <v>74910</v>
      </c>
      <c r="K358" s="512">
        <f>H358-J358</f>
        <v>-39806</v>
      </c>
      <c r="L358" s="27">
        <f t="shared" si="98"/>
        <v>0.99305555555474712</v>
      </c>
      <c r="M358" s="27">
        <f>[168]PIREAS!$F$56</f>
        <v>0.70833333334182191</v>
      </c>
      <c r="N358" s="434">
        <f>(H358)/L358</f>
        <v>35349.482517511293</v>
      </c>
      <c r="O358" s="434">
        <f>(H358)/M358</f>
        <v>49558.588234700212</v>
      </c>
      <c r="P358" s="542">
        <v>30000</v>
      </c>
      <c r="Q358" s="69">
        <f>(93159/10000)*8.7</f>
        <v>81.048329999999993</v>
      </c>
      <c r="R358" s="69">
        <f>(86741/10000)*8.7</f>
        <v>75.464669999999984</v>
      </c>
      <c r="S358" s="224">
        <f t="shared" si="99"/>
        <v>5.5836600000000089</v>
      </c>
      <c r="T358" s="526">
        <f>S358/8.7*10000/(H358)</f>
        <v>0.18282816773017349</v>
      </c>
      <c r="U358" s="526">
        <f>S358/8.5*10000/(H358)</f>
        <v>0.18713000697088347</v>
      </c>
      <c r="V358" s="224"/>
      <c r="Y358" s="544">
        <v>2.64</v>
      </c>
      <c r="Z358" s="469">
        <f t="shared" si="97"/>
        <v>92674.559999999998</v>
      </c>
      <c r="AC358" s="489"/>
    </row>
    <row r="359" spans="1:29" x14ac:dyDescent="0.3">
      <c r="A359" s="146">
        <v>43812.666666666664</v>
      </c>
      <c r="B359" s="146">
        <v>43813.864583333336</v>
      </c>
      <c r="C359" s="23"/>
      <c r="D359" s="23"/>
      <c r="E359" s="35" t="s">
        <v>483</v>
      </c>
      <c r="F359" s="36" t="s">
        <v>32</v>
      </c>
      <c r="G359" s="36" t="s">
        <v>396</v>
      </c>
      <c r="H359" s="433">
        <f>41984-H360</f>
        <v>36339</v>
      </c>
      <c r="I359" s="433"/>
      <c r="J359" s="433">
        <v>74910</v>
      </c>
      <c r="K359" s="512">
        <f>H359+H360-J359</f>
        <v>-32926</v>
      </c>
      <c r="L359" s="27">
        <f t="shared" si="98"/>
        <v>1.1979166666715173</v>
      </c>
      <c r="M359" s="27">
        <f>[168]MISTRAL!$F$70</f>
        <v>0.83333333333454596</v>
      </c>
      <c r="N359" s="434">
        <f>(H359+H360)/L359</f>
        <v>35047.513043336345</v>
      </c>
      <c r="O359" s="434">
        <f>(H359+H360)/M359</f>
        <v>50380.79999992669</v>
      </c>
      <c r="P359" s="542">
        <v>30000</v>
      </c>
      <c r="Q359" s="69">
        <f>(82394/10000)*8.7</f>
        <v>71.682779999999994</v>
      </c>
      <c r="R359" s="69">
        <f>(74249/10000)*8.7</f>
        <v>64.59662999999999</v>
      </c>
      <c r="S359" s="224">
        <f t="shared" si="99"/>
        <v>7.0861500000000035</v>
      </c>
      <c r="T359" s="526">
        <f>S359/8.7*10000/(H359+H360)</f>
        <v>0.19400247713414645</v>
      </c>
      <c r="U359" s="526">
        <f>S359/8.5*10000/(H359+H360)</f>
        <v>0.1985672413020087</v>
      </c>
      <c r="V359" s="224"/>
      <c r="Y359" s="544">
        <v>2.64</v>
      </c>
      <c r="Z359" s="469">
        <f t="shared" si="97"/>
        <v>95934.96</v>
      </c>
      <c r="AC359" s="489"/>
    </row>
    <row r="360" spans="1:29" x14ac:dyDescent="0.3">
      <c r="A360" s="146"/>
      <c r="B360" s="146"/>
      <c r="C360" s="23"/>
      <c r="D360" s="23"/>
      <c r="E360" s="35" t="s">
        <v>484</v>
      </c>
      <c r="F360" s="36"/>
      <c r="G360" s="36"/>
      <c r="H360" s="433">
        <v>5645</v>
      </c>
      <c r="I360" s="433"/>
      <c r="J360" s="433"/>
      <c r="K360" s="512"/>
      <c r="L360" s="27"/>
      <c r="M360" s="27"/>
      <c r="N360" s="434"/>
      <c r="O360" s="434"/>
      <c r="P360" s="542"/>
      <c r="Q360" s="69"/>
      <c r="R360" s="69"/>
      <c r="S360" s="224"/>
      <c r="T360" s="526"/>
      <c r="U360" s="526"/>
      <c r="V360" s="224"/>
      <c r="Y360" s="544">
        <v>6.5</v>
      </c>
      <c r="Z360" s="469">
        <f t="shared" si="97"/>
        <v>36692.5</v>
      </c>
      <c r="AC360" s="489"/>
    </row>
    <row r="361" spans="1:29" x14ac:dyDescent="0.3">
      <c r="A361" s="146">
        <v>43814.642361111109</v>
      </c>
      <c r="B361" s="146">
        <v>43816.850694444445</v>
      </c>
      <c r="C361" s="23"/>
      <c r="D361" s="23"/>
      <c r="E361" s="35" t="s">
        <v>418</v>
      </c>
      <c r="F361" s="36" t="s">
        <v>212</v>
      </c>
      <c r="G361" s="36" t="s">
        <v>399</v>
      </c>
      <c r="H361" s="433">
        <f>50005-H362</f>
        <v>45423</v>
      </c>
      <c r="I361" s="433"/>
      <c r="J361" s="433">
        <v>50000</v>
      </c>
      <c r="K361" s="512">
        <f>H361+H362-J361</f>
        <v>5</v>
      </c>
      <c r="L361" s="27">
        <f>B361-A361</f>
        <v>2.2083333333357587</v>
      </c>
      <c r="M361" s="27">
        <f>[169]KAREEM!$F$117</f>
        <v>0.97222222223596566</v>
      </c>
      <c r="N361" s="434">
        <f>(H361+H362)/L361</f>
        <v>22643.773584880793</v>
      </c>
      <c r="O361" s="434">
        <f>(H361+H362)/M361</f>
        <v>51433.714284987211</v>
      </c>
      <c r="P361" s="542">
        <v>30000</v>
      </c>
      <c r="Q361" s="69">
        <f>(71980/10000)*8.7</f>
        <v>62.622599999999998</v>
      </c>
      <c r="R361" s="69">
        <f>(58877/10000)*8.7</f>
        <v>51.222989999999996</v>
      </c>
      <c r="S361" s="224">
        <f t="shared" ref="S361" si="100">Q361-R361</f>
        <v>11.399610000000003</v>
      </c>
      <c r="T361" s="526">
        <f>S361/8.7*10000/(H361+H362)</f>
        <v>0.2620337966203381</v>
      </c>
      <c r="U361" s="526">
        <f>S361/8.5*10000/(H361+H362)</f>
        <v>0.26819929771728718</v>
      </c>
      <c r="V361" s="224"/>
      <c r="Y361" s="544">
        <v>2.64</v>
      </c>
      <c r="Z361" s="469">
        <f t="shared" si="97"/>
        <v>119916.72</v>
      </c>
      <c r="AC361" s="489"/>
    </row>
    <row r="362" spans="1:29" x14ac:dyDescent="0.3">
      <c r="A362" s="146"/>
      <c r="B362" s="146"/>
      <c r="C362" s="23"/>
      <c r="D362" s="23"/>
      <c r="E362" s="35" t="s">
        <v>477</v>
      </c>
      <c r="F362" s="36"/>
      <c r="G362" s="36"/>
      <c r="H362" s="433">
        <v>4582</v>
      </c>
      <c r="I362" s="433"/>
      <c r="J362" s="433"/>
      <c r="K362" s="512"/>
      <c r="L362" s="27"/>
      <c r="M362" s="27"/>
      <c r="N362" s="434"/>
      <c r="O362" s="434"/>
      <c r="P362" s="542"/>
      <c r="Q362" s="69"/>
      <c r="R362" s="69"/>
      <c r="S362" s="224"/>
      <c r="T362" s="526"/>
      <c r="U362" s="526"/>
      <c r="V362" s="224"/>
      <c r="Y362" s="544">
        <v>6.5</v>
      </c>
      <c r="Z362" s="469">
        <f t="shared" si="97"/>
        <v>29783</v>
      </c>
      <c r="AC362" s="489"/>
    </row>
    <row r="363" spans="1:29" x14ac:dyDescent="0.3">
      <c r="A363" s="146">
        <v>43817.104166666664</v>
      </c>
      <c r="B363" s="146">
        <v>43818.138888888891</v>
      </c>
      <c r="C363" s="23"/>
      <c r="D363" s="23"/>
      <c r="E363" s="35" t="s">
        <v>429</v>
      </c>
      <c r="F363" s="36" t="s">
        <v>32</v>
      </c>
      <c r="G363" s="36" t="s">
        <v>396</v>
      </c>
      <c r="H363" s="433">
        <v>31399</v>
      </c>
      <c r="I363" s="433"/>
      <c r="J363" s="433">
        <v>70500</v>
      </c>
      <c r="K363" s="433">
        <v>-39806</v>
      </c>
      <c r="L363" s="27">
        <f>B363-A363</f>
        <v>1.0347222222262644</v>
      </c>
      <c r="M363" s="27">
        <f>'[169]NS NINGBO'!$F$60</f>
        <v>0.64583333333090798</v>
      </c>
      <c r="N363" s="434">
        <f>(H363)/L363</f>
        <v>30345.342281760648</v>
      </c>
      <c r="O363" s="434">
        <f>(H363)/M363</f>
        <v>48617.806451795484</v>
      </c>
      <c r="P363" s="542">
        <v>30000</v>
      </c>
      <c r="Q363" s="69">
        <f>(58658/10000)*8.7</f>
        <v>51.03246</v>
      </c>
      <c r="R363" s="69">
        <f>(52038/10000)*8.7</f>
        <v>45.273060000000001</v>
      </c>
      <c r="S363" s="224">
        <f t="shared" ref="S363:S364" si="101">Q363-R363</f>
        <v>5.7593999999999994</v>
      </c>
      <c r="T363" s="526">
        <f>S363/8.7*10000/(H363)</f>
        <v>0.21083473995987134</v>
      </c>
      <c r="U363" s="526">
        <f>S363/8.5*10000/(H363)</f>
        <v>0.21579555737069181</v>
      </c>
      <c r="V363" s="526"/>
      <c r="Y363" s="544">
        <v>2.64</v>
      </c>
      <c r="Z363" s="469">
        <f t="shared" si="97"/>
        <v>82893.36</v>
      </c>
      <c r="AC363" s="489"/>
    </row>
    <row r="364" spans="1:29" x14ac:dyDescent="0.3">
      <c r="A364" s="146">
        <v>43820.555555555555</v>
      </c>
      <c r="B364" s="146">
        <v>43822.645833333336</v>
      </c>
      <c r="C364" s="23" t="s">
        <v>485</v>
      </c>
      <c r="D364" s="23"/>
      <c r="E364" s="35" t="s">
        <v>276</v>
      </c>
      <c r="F364" s="36" t="s">
        <v>32</v>
      </c>
      <c r="G364" s="36" t="s">
        <v>396</v>
      </c>
      <c r="H364" s="433">
        <f>41758-H365</f>
        <v>34786</v>
      </c>
      <c r="I364" s="433"/>
      <c r="J364" s="433">
        <v>66600</v>
      </c>
      <c r="K364" s="512">
        <f>H364+H365-J364</f>
        <v>-24842</v>
      </c>
      <c r="L364" s="27">
        <f>B364-A364</f>
        <v>2.0902777777810115</v>
      </c>
      <c r="M364" s="27">
        <f>'[169]BEST UNITY'!$F$86</f>
        <v>0.86805555556444836</v>
      </c>
      <c r="N364" s="462">
        <f>(H364+H365)/L364</f>
        <v>19977.249169404309</v>
      </c>
      <c r="O364" s="434">
        <f>(H364+H365)/M364</f>
        <v>48105.215999507185</v>
      </c>
      <c r="P364" s="542">
        <v>30000</v>
      </c>
      <c r="Q364" s="69">
        <f>(152046/10000)*8.7</f>
        <v>132.28001999999998</v>
      </c>
      <c r="R364" s="69">
        <f>(140961/10000)*8.7</f>
        <v>122.63606999999999</v>
      </c>
      <c r="S364" s="224">
        <f t="shared" si="101"/>
        <v>9.6439499999999896</v>
      </c>
      <c r="T364" s="526">
        <f>S364/8.7*10000/(H364+H365)</f>
        <v>0.26545811581014389</v>
      </c>
      <c r="U364" s="526">
        <f>S364/8.5*10000/(H364+H365)</f>
        <v>0.27170418912332372</v>
      </c>
      <c r="V364" s="224"/>
      <c r="Y364" s="544">
        <v>2.64</v>
      </c>
      <c r="Z364" s="469">
        <f t="shared" si="97"/>
        <v>91835.040000000008</v>
      </c>
      <c r="AC364" s="489"/>
    </row>
    <row r="365" spans="1:29" x14ac:dyDescent="0.3">
      <c r="A365" s="146"/>
      <c r="B365" s="146"/>
      <c r="C365" s="23"/>
      <c r="D365" s="23"/>
      <c r="E365" s="35" t="s">
        <v>486</v>
      </c>
      <c r="F365" s="36"/>
      <c r="G365" s="36"/>
      <c r="H365" s="433">
        <v>6972</v>
      </c>
      <c r="I365" s="433"/>
      <c r="J365" s="433"/>
      <c r="K365" s="512"/>
      <c r="L365" s="27"/>
      <c r="M365" s="27"/>
      <c r="N365" s="434"/>
      <c r="O365" s="434"/>
      <c r="P365" s="542"/>
      <c r="Q365" s="69"/>
      <c r="R365" s="69"/>
      <c r="S365" s="224"/>
      <c r="T365" s="526"/>
      <c r="U365" s="526"/>
      <c r="V365" s="224"/>
      <c r="Y365" s="544">
        <v>6.5</v>
      </c>
      <c r="Z365" s="469">
        <f t="shared" si="97"/>
        <v>45318</v>
      </c>
      <c r="AC365" s="489"/>
    </row>
    <row r="366" spans="1:29" x14ac:dyDescent="0.3">
      <c r="A366" s="146">
        <v>43822.847222222219</v>
      </c>
      <c r="B366" s="146">
        <v>43823.798611111109</v>
      </c>
      <c r="C366" s="23"/>
      <c r="D366" s="23"/>
      <c r="E366" s="142" t="s">
        <v>109</v>
      </c>
      <c r="F366" s="597" t="s">
        <v>328</v>
      </c>
      <c r="G366" s="597" t="s">
        <v>396</v>
      </c>
      <c r="H366" s="598">
        <f>23789</f>
        <v>23789</v>
      </c>
      <c r="I366" s="433"/>
      <c r="J366" s="433">
        <v>67600</v>
      </c>
      <c r="K366" s="512">
        <f>H366-J366</f>
        <v>-43811</v>
      </c>
      <c r="L366" s="27">
        <f>B366-A366</f>
        <v>0.95138888889050577</v>
      </c>
      <c r="M366" s="27">
        <f>'[169]YUE DIAN 81'!$F$50</f>
        <v>0.50347222222141375</v>
      </c>
      <c r="N366" s="434">
        <f>(H366)/L366</f>
        <v>25004.496350322468</v>
      </c>
      <c r="O366" s="434">
        <f>(H366)/M366</f>
        <v>47249.875862144836</v>
      </c>
      <c r="P366" s="542">
        <v>30000</v>
      </c>
      <c r="Q366" s="69">
        <f>(140369/10000)*8.7</f>
        <v>122.12102999999999</v>
      </c>
      <c r="R366" s="69">
        <f>(134377/10000)*8.7</f>
        <v>116.90798999999998</v>
      </c>
      <c r="S366" s="224">
        <f t="shared" ref="S366:S367" si="102">Q366-R366</f>
        <v>5.2130400000000066</v>
      </c>
      <c r="T366" s="526">
        <f>S366/8.7*10000/(H366)</f>
        <v>0.2518811215267564</v>
      </c>
      <c r="U366" s="526">
        <f>S366/8.5*10000/(H366)</f>
        <v>0.2578077361509154</v>
      </c>
      <c r="V366" s="224"/>
      <c r="Y366" s="544">
        <v>2.64</v>
      </c>
      <c r="Z366" s="469">
        <f t="shared" si="97"/>
        <v>62802.960000000006</v>
      </c>
      <c r="AC366" s="489"/>
    </row>
    <row r="367" spans="1:29" x14ac:dyDescent="0.3">
      <c r="A367" s="146">
        <v>43825.868055555555</v>
      </c>
      <c r="B367" s="146">
        <v>43828.354166666664</v>
      </c>
      <c r="C367" s="23"/>
      <c r="D367" s="23"/>
      <c r="E367" s="35" t="s">
        <v>487</v>
      </c>
      <c r="F367" s="36" t="s">
        <v>32</v>
      </c>
      <c r="G367" s="36" t="s">
        <v>396</v>
      </c>
      <c r="H367" s="433">
        <f>54555-H368</f>
        <v>49769</v>
      </c>
      <c r="I367" s="433"/>
      <c r="J367" s="433">
        <v>65600</v>
      </c>
      <c r="K367" s="512">
        <f>H367+H368-J367</f>
        <v>-11045</v>
      </c>
      <c r="L367" s="27">
        <f>B367-A367</f>
        <v>2.4861111111094942</v>
      </c>
      <c r="M367" s="27">
        <f>'[169]LUCKY JACK'!$F$96</f>
        <v>1.1024305555426206</v>
      </c>
      <c r="N367" s="434">
        <f>(H367+H368)/L367</f>
        <v>21943.910614539411</v>
      </c>
      <c r="O367" s="434">
        <f>(H367+H368)/M367</f>
        <v>49486.110236801098</v>
      </c>
      <c r="P367" s="542">
        <v>30000</v>
      </c>
      <c r="Q367" s="69">
        <f>(130473/10000)*8.7</f>
        <v>113.51150999999999</v>
      </c>
      <c r="R367" s="69">
        <f>(116128/10000)*8.7</f>
        <v>101.03135999999999</v>
      </c>
      <c r="S367" s="224">
        <f t="shared" si="102"/>
        <v>12.480149999999995</v>
      </c>
      <c r="T367" s="526">
        <f>S367/8.7*10000/(H367+H368)</f>
        <v>0.26294565117771046</v>
      </c>
      <c r="U367" s="526">
        <f>S367/8.5*10000/(H367+H368)</f>
        <v>0.26913260767600949</v>
      </c>
      <c r="V367" s="224"/>
      <c r="Y367" s="544">
        <v>2.64</v>
      </c>
      <c r="Z367" s="469">
        <f t="shared" si="97"/>
        <v>131390.16</v>
      </c>
      <c r="AC367" s="489"/>
    </row>
    <row r="368" spans="1:29" x14ac:dyDescent="0.3">
      <c r="A368" s="146"/>
      <c r="B368" s="146"/>
      <c r="C368" s="23"/>
      <c r="D368" s="23"/>
      <c r="E368" s="35" t="s">
        <v>488</v>
      </c>
      <c r="F368" s="36"/>
      <c r="G368" s="36"/>
      <c r="H368" s="433">
        <v>4786</v>
      </c>
      <c r="I368" s="433"/>
      <c r="J368" s="433"/>
      <c r="K368" s="512"/>
      <c r="L368" s="27"/>
      <c r="M368" s="27"/>
      <c r="N368" s="434"/>
      <c r="O368" s="434"/>
      <c r="P368" s="542"/>
      <c r="Q368" s="69"/>
      <c r="R368" s="69"/>
      <c r="S368" s="224"/>
      <c r="T368" s="526"/>
      <c r="U368" s="526"/>
      <c r="V368" s="224"/>
      <c r="Y368" s="544">
        <v>6.5</v>
      </c>
      <c r="Z368" s="469">
        <f t="shared" si="97"/>
        <v>31109</v>
      </c>
      <c r="AC368" s="489"/>
    </row>
    <row r="369" spans="1:29" x14ac:dyDescent="0.3">
      <c r="A369" s="471"/>
      <c r="B369" s="471"/>
      <c r="C369" s="471"/>
      <c r="D369" s="471"/>
      <c r="E369" s="261"/>
      <c r="F369" s="260"/>
      <c r="G369" s="260"/>
      <c r="H369" s="535"/>
      <c r="I369" s="535"/>
      <c r="J369" s="535"/>
      <c r="K369" s="535"/>
      <c r="L369" s="476"/>
      <c r="M369" s="476"/>
      <c r="N369" s="462"/>
      <c r="O369" s="462"/>
      <c r="P369" s="557"/>
      <c r="Q369" s="261"/>
      <c r="R369" s="261"/>
      <c r="S369" s="599"/>
      <c r="T369" s="599"/>
      <c r="U369" s="599"/>
      <c r="V369" s="599"/>
      <c r="W369" s="286"/>
      <c r="X369" s="283"/>
      <c r="Y369" s="600"/>
      <c r="Z369" s="540"/>
      <c r="AA369" s="285"/>
      <c r="AB369" s="285"/>
      <c r="AC369" s="601"/>
    </row>
    <row r="370" spans="1:29" x14ac:dyDescent="0.3">
      <c r="A370" s="23"/>
      <c r="B370" s="23"/>
      <c r="C370" s="23"/>
      <c r="D370" s="23"/>
      <c r="E370" s="35"/>
      <c r="F370" s="36"/>
      <c r="G370" s="36"/>
      <c r="H370" s="433"/>
      <c r="I370" s="433"/>
      <c r="J370" s="433"/>
      <c r="K370" s="512"/>
      <c r="L370" s="27"/>
      <c r="M370" s="27"/>
      <c r="N370" s="434"/>
      <c r="O370" s="434"/>
      <c r="P370" s="542"/>
      <c r="Q370" s="35"/>
      <c r="R370" s="35"/>
      <c r="S370" s="224"/>
      <c r="T370" s="224"/>
      <c r="U370" s="224"/>
      <c r="V370" s="224"/>
      <c r="Y370" s="602"/>
      <c r="Z370" s="469"/>
      <c r="AC370" s="489"/>
    </row>
    <row r="371" spans="1:29" x14ac:dyDescent="0.3">
      <c r="E371" s="122" t="s">
        <v>95</v>
      </c>
      <c r="F371" s="123"/>
      <c r="G371" s="123"/>
      <c r="H371" s="482">
        <f>SUM(H354:H369)</f>
        <v>441426</v>
      </c>
      <c r="I371" s="482"/>
      <c r="J371" s="482"/>
      <c r="K371" s="482"/>
      <c r="L371" s="482"/>
      <c r="M371" s="482"/>
      <c r="N371" s="482"/>
      <c r="O371" s="482"/>
      <c r="P371" s="482"/>
      <c r="Q371" s="482"/>
      <c r="R371" s="482"/>
      <c r="S371" s="484">
        <f>SUM(S354:S368)</f>
        <v>89.419470000000004</v>
      </c>
      <c r="T371" s="484"/>
      <c r="U371" s="484"/>
      <c r="V371" s="484"/>
      <c r="W371" s="485">
        <v>421875</v>
      </c>
      <c r="X371" s="22">
        <f>H371-W371</f>
        <v>19551</v>
      </c>
      <c r="Y371" s="22"/>
      <c r="Z371" s="432">
        <f>SUM(Z354:Z368)</f>
        <v>1250226.74</v>
      </c>
      <c r="AA371" s="432"/>
      <c r="AB371" s="446">
        <f>SUM(AB345:AB356)</f>
        <v>0</v>
      </c>
      <c r="AC371" s="446">
        <f>SUM(AC353:AC357)</f>
        <v>0</v>
      </c>
    </row>
    <row r="373" spans="1:29" x14ac:dyDescent="0.3">
      <c r="A373" s="90" t="s">
        <v>269</v>
      </c>
      <c r="AC373" s="3"/>
    </row>
    <row r="374" spans="1:29" ht="41.4" x14ac:dyDescent="0.3">
      <c r="A374" s="4" t="s">
        <v>0</v>
      </c>
      <c r="B374" s="4" t="s">
        <v>1</v>
      </c>
      <c r="C374" s="4" t="s">
        <v>2</v>
      </c>
      <c r="D374" s="4" t="s">
        <v>3</v>
      </c>
      <c r="E374" s="5" t="s">
        <v>4</v>
      </c>
      <c r="F374" s="5" t="s">
        <v>5</v>
      </c>
      <c r="G374" s="5" t="s">
        <v>268</v>
      </c>
      <c r="H374" s="426" t="s">
        <v>6</v>
      </c>
      <c r="I374" s="426" t="s">
        <v>7</v>
      </c>
      <c r="J374" s="426" t="s">
        <v>8</v>
      </c>
      <c r="K374" s="426" t="s">
        <v>9</v>
      </c>
      <c r="L374" s="426" t="s">
        <v>10</v>
      </c>
      <c r="M374" s="426" t="s">
        <v>11</v>
      </c>
      <c r="N374" s="426" t="s">
        <v>12</v>
      </c>
      <c r="O374" s="426" t="s">
        <v>13</v>
      </c>
      <c r="P374" s="426" t="s">
        <v>14</v>
      </c>
      <c r="Q374" s="426" t="s">
        <v>15</v>
      </c>
      <c r="R374" s="426" t="s">
        <v>16</v>
      </c>
      <c r="S374" s="426" t="s">
        <v>17</v>
      </c>
      <c r="T374" s="426" t="s">
        <v>18</v>
      </c>
      <c r="U374" s="426" t="s">
        <v>19</v>
      </c>
      <c r="V374" s="426" t="s">
        <v>20</v>
      </c>
      <c r="W374" s="426" t="s">
        <v>21</v>
      </c>
      <c r="X374" s="427" t="s">
        <v>22</v>
      </c>
      <c r="Y374" s="427" t="s">
        <v>23</v>
      </c>
      <c r="Z374" s="428" t="s">
        <v>24</v>
      </c>
      <c r="AA374" s="428" t="s">
        <v>26</v>
      </c>
      <c r="AB374" s="429" t="s">
        <v>27</v>
      </c>
      <c r="AC374" s="430" t="s">
        <v>28</v>
      </c>
    </row>
    <row r="375" spans="1:29" x14ac:dyDescent="0.3">
      <c r="A375" s="146"/>
      <c r="B375" s="146"/>
      <c r="C375" s="23"/>
      <c r="D375" s="14"/>
      <c r="E375" s="35"/>
      <c r="F375" s="25"/>
      <c r="G375" s="433"/>
      <c r="H375" s="433"/>
      <c r="I375" s="433"/>
      <c r="J375" s="26"/>
      <c r="K375" s="27"/>
      <c r="L375" s="27"/>
      <c r="M375" s="434"/>
      <c r="N375" s="434"/>
      <c r="O375" s="434"/>
      <c r="P375" s="69"/>
      <c r="Q375" s="69"/>
      <c r="R375" s="69"/>
      <c r="S375" s="435"/>
      <c r="T375" s="435"/>
      <c r="U375" s="435"/>
      <c r="V375" s="436"/>
      <c r="W375" s="437"/>
      <c r="X375" s="33"/>
      <c r="Y375" s="33"/>
      <c r="Z375" s="33"/>
      <c r="AA375" s="33"/>
      <c r="AB375" s="438"/>
      <c r="AC375" s="33"/>
    </row>
    <row r="376" spans="1:29" x14ac:dyDescent="0.3">
      <c r="A376" s="146">
        <v>43832.833333333336</v>
      </c>
      <c r="B376" s="146">
        <v>43837.0625</v>
      </c>
      <c r="C376" s="23"/>
      <c r="D376" s="14"/>
      <c r="E376" s="35" t="s">
        <v>532</v>
      </c>
      <c r="F376" s="36" t="s">
        <v>32</v>
      </c>
      <c r="G376" s="433"/>
      <c r="H376" s="433">
        <f>77000-H377-H378</f>
        <v>64399</v>
      </c>
      <c r="I376" s="433"/>
      <c r="J376" s="26">
        <v>77000</v>
      </c>
      <c r="K376" s="632">
        <f>H376+H377+H378-J376</f>
        <v>0</v>
      </c>
      <c r="L376" s="448">
        <f>B376-A376</f>
        <v>4.2291666666642413</v>
      </c>
      <c r="M376" s="27">
        <f>'[170]DUTA AZZAM'!$F$123</f>
        <v>1.7708333333163562</v>
      </c>
      <c r="N376" s="462">
        <f>(H376+H377+H378)/L376</f>
        <v>18206.896551734579</v>
      </c>
      <c r="O376" s="462">
        <f>(H376+H377+H378)/M376</f>
        <v>43482.352941593337</v>
      </c>
      <c r="P376" s="633">
        <v>30000</v>
      </c>
      <c r="Q376" s="69">
        <f>(107751/10000)*8.7</f>
        <v>93.743369999999999</v>
      </c>
      <c r="R376" s="69">
        <f>(87364/10000)*8.7</f>
        <v>76.006679999999989</v>
      </c>
      <c r="S376" s="435">
        <f>Q376-R376</f>
        <v>17.73669000000001</v>
      </c>
      <c r="T376" s="435">
        <f>S376/8.7*10000/(H376+H377+H378)</f>
        <v>0.26476623376623398</v>
      </c>
      <c r="U376" s="435">
        <f>S376/8.5*10000/(H376+H377+H378)</f>
        <v>0.27099602750190999</v>
      </c>
      <c r="V376" s="436"/>
      <c r="W376" s="32"/>
      <c r="X376" s="33"/>
      <c r="Y376" s="544">
        <v>2.64</v>
      </c>
      <c r="Z376" s="469">
        <f t="shared" ref="Z376:Z389" si="103">H376*Y376</f>
        <v>170013.36000000002</v>
      </c>
      <c r="AA376" s="33"/>
      <c r="AB376" s="438"/>
      <c r="AC376" s="33"/>
    </row>
    <row r="377" spans="1:29" x14ac:dyDescent="0.3">
      <c r="A377" s="146"/>
      <c r="B377" s="146"/>
      <c r="C377" s="23"/>
      <c r="D377" s="14"/>
      <c r="E377" s="35" t="s">
        <v>579</v>
      </c>
      <c r="F377" s="36"/>
      <c r="G377" s="433"/>
      <c r="H377" s="433">
        <v>4636</v>
      </c>
      <c r="I377" s="433"/>
      <c r="J377" s="26"/>
      <c r="K377" s="632"/>
      <c r="L377" s="27"/>
      <c r="M377" s="434"/>
      <c r="N377" s="434"/>
      <c r="O377" s="434"/>
      <c r="P377" s="69"/>
      <c r="Q377" s="69"/>
      <c r="R377" s="69"/>
      <c r="S377" s="435"/>
      <c r="T377" s="435"/>
      <c r="U377" s="435"/>
      <c r="V377" s="31"/>
      <c r="W377" s="32"/>
      <c r="X377" s="33"/>
      <c r="Y377" s="544">
        <v>6.5</v>
      </c>
      <c r="Z377" s="469">
        <f t="shared" si="103"/>
        <v>30134</v>
      </c>
      <c r="AA377" s="33"/>
      <c r="AB377" s="438"/>
      <c r="AC377" s="33"/>
    </row>
    <row r="378" spans="1:29" x14ac:dyDescent="0.3">
      <c r="A378" s="146"/>
      <c r="B378" s="439"/>
      <c r="C378" s="23"/>
      <c r="D378" s="23"/>
      <c r="E378" s="35" t="s">
        <v>579</v>
      </c>
      <c r="F378" s="25"/>
      <c r="G378" s="433"/>
      <c r="H378" s="433">
        <v>7965</v>
      </c>
      <c r="I378" s="433"/>
      <c r="J378" s="26"/>
      <c r="K378" s="632"/>
      <c r="L378" s="27"/>
      <c r="M378" s="434"/>
      <c r="N378" s="434"/>
      <c r="O378" s="434"/>
      <c r="P378" s="69"/>
      <c r="Q378" s="69"/>
      <c r="R378" s="69"/>
      <c r="S378" s="435"/>
      <c r="T378" s="435"/>
      <c r="U378" s="69"/>
      <c r="V378" s="436"/>
      <c r="W378" s="437"/>
      <c r="X378" s="33"/>
      <c r="Y378" s="544">
        <v>6.5</v>
      </c>
      <c r="Z378" s="469">
        <f t="shared" si="103"/>
        <v>51772.5</v>
      </c>
      <c r="AA378" s="33"/>
      <c r="AB378" s="438"/>
      <c r="AC378" s="33"/>
    </row>
    <row r="379" spans="1:29" x14ac:dyDescent="0.3">
      <c r="A379" s="146">
        <v>43838.680555555555</v>
      </c>
      <c r="B379" s="439">
        <v>43842.444444444445</v>
      </c>
      <c r="C379" s="23"/>
      <c r="D379" s="23"/>
      <c r="E379" s="35" t="s">
        <v>113</v>
      </c>
      <c r="F379" s="25" t="s">
        <v>32</v>
      </c>
      <c r="G379" s="433"/>
      <c r="H379" s="433">
        <f>75240-H380</f>
        <v>68040</v>
      </c>
      <c r="I379" s="433"/>
      <c r="J379" s="26">
        <v>75200</v>
      </c>
      <c r="K379" s="632">
        <f>H379+H380-J379</f>
        <v>40</v>
      </c>
      <c r="L379" s="27">
        <f>B379-A379</f>
        <v>3.7638888888905058</v>
      </c>
      <c r="M379" s="27">
        <f>'[170]CHANG MING'!$F$109</f>
        <v>1.5104166666484768</v>
      </c>
      <c r="N379" s="462">
        <f>(H379+H380)/L379</f>
        <v>19989.963099622408</v>
      </c>
      <c r="O379" s="434">
        <f>(H379+H380)/M379</f>
        <v>49814.068966117149</v>
      </c>
      <c r="P379" s="633">
        <v>30000</v>
      </c>
      <c r="Q379" s="69">
        <f>(84190/10000)*8.7</f>
        <v>73.2453</v>
      </c>
      <c r="R379" s="69">
        <f>(64824/10000)*8.7</f>
        <v>56.396879999999996</v>
      </c>
      <c r="S379" s="435">
        <f>Q379-R379</f>
        <v>16.848420000000004</v>
      </c>
      <c r="T379" s="435">
        <f>S379/8.7*10000/(H379+H380)</f>
        <v>0.25738968633705483</v>
      </c>
      <c r="U379" s="435">
        <f>S379/8.5*10000/(H379+H380)</f>
        <v>0.26344591425086789</v>
      </c>
      <c r="V379" s="436"/>
      <c r="W379" s="437"/>
      <c r="X379" s="33"/>
      <c r="Y379" s="544">
        <v>2.64</v>
      </c>
      <c r="Z379" s="469">
        <f t="shared" si="103"/>
        <v>179625.60000000001</v>
      </c>
      <c r="AA379" s="33"/>
      <c r="AB379" s="438"/>
      <c r="AC379" s="33"/>
    </row>
    <row r="380" spans="1:29" x14ac:dyDescent="0.3">
      <c r="A380" s="146"/>
      <c r="B380" s="439"/>
      <c r="C380" s="23"/>
      <c r="D380" s="23"/>
      <c r="E380" s="35" t="s">
        <v>453</v>
      </c>
      <c r="F380" s="25"/>
      <c r="G380" s="433"/>
      <c r="H380" s="433">
        <v>7200</v>
      </c>
      <c r="I380" s="433"/>
      <c r="J380" s="26"/>
      <c r="K380" s="632"/>
      <c r="L380" s="27"/>
      <c r="M380" s="434"/>
      <c r="N380" s="434"/>
      <c r="O380" s="434"/>
      <c r="P380" s="69"/>
      <c r="Q380" s="69"/>
      <c r="R380" s="69"/>
      <c r="S380" s="435"/>
      <c r="T380" s="435"/>
      <c r="U380" s="69"/>
      <c r="V380" s="436"/>
      <c r="W380" s="437"/>
      <c r="X380" s="33"/>
      <c r="Y380" s="544">
        <v>6.5</v>
      </c>
      <c r="Z380" s="469">
        <f t="shared" si="103"/>
        <v>46800</v>
      </c>
      <c r="AA380" s="33"/>
      <c r="AB380" s="438"/>
      <c r="AC380" s="33"/>
    </row>
    <row r="381" spans="1:29" x14ac:dyDescent="0.3">
      <c r="A381" s="146">
        <v>43844.041666666664</v>
      </c>
      <c r="B381" s="439">
        <v>43845.715277777781</v>
      </c>
      <c r="C381" s="23"/>
      <c r="D381" s="23"/>
      <c r="E381" s="35" t="s">
        <v>109</v>
      </c>
      <c r="F381" s="25" t="s">
        <v>32</v>
      </c>
      <c r="G381" s="433"/>
      <c r="H381" s="433">
        <v>38932</v>
      </c>
      <c r="I381" s="433"/>
      <c r="J381" s="26">
        <v>67200</v>
      </c>
      <c r="K381" s="632">
        <f>H381-J381</f>
        <v>-28268</v>
      </c>
      <c r="L381" s="27">
        <f>B381-A381</f>
        <v>1.6736111111167702</v>
      </c>
      <c r="M381" s="27">
        <f>'[170]YUE DIAN 81'!$F$66</f>
        <v>0.81435185183969827</v>
      </c>
      <c r="N381" s="434">
        <f>(H381)/L381</f>
        <v>23262.273858842505</v>
      </c>
      <c r="O381" s="434">
        <f>(H381)/M381</f>
        <v>47807.345083146691</v>
      </c>
      <c r="P381" s="633">
        <v>30000</v>
      </c>
      <c r="Q381" s="69">
        <f>(179220/10000)*8.7</f>
        <v>155.92140000000001</v>
      </c>
      <c r="R381" s="69">
        <f>(169542/10000)*8.7</f>
        <v>147.50153999999998</v>
      </c>
      <c r="S381" s="435">
        <f>Q381-R381</f>
        <v>8.4198600000000283</v>
      </c>
      <c r="T381" s="435">
        <f>S381/8.7*10000/(H381)</f>
        <v>0.24858728038631545</v>
      </c>
      <c r="U381" s="435">
        <f>S381/8.5*10000/(H381)</f>
        <v>0.25443639286599345</v>
      </c>
      <c r="V381" s="436"/>
      <c r="W381" s="437"/>
      <c r="X381" s="33"/>
      <c r="Y381" s="544">
        <v>2.64</v>
      </c>
      <c r="Z381" s="469">
        <f t="shared" si="103"/>
        <v>102780.48000000001</v>
      </c>
      <c r="AA381" s="33"/>
      <c r="AB381" s="438"/>
      <c r="AC381" s="33"/>
    </row>
    <row r="382" spans="1:29" x14ac:dyDescent="0.3">
      <c r="A382" s="146">
        <v>43846.1875</v>
      </c>
      <c r="B382" s="439">
        <v>43847.375</v>
      </c>
      <c r="C382" s="23"/>
      <c r="D382" s="23"/>
      <c r="E382" s="35" t="s">
        <v>580</v>
      </c>
      <c r="F382" s="25" t="s">
        <v>32</v>
      </c>
      <c r="G382" s="433"/>
      <c r="H382" s="433">
        <v>31457</v>
      </c>
      <c r="I382" s="433"/>
      <c r="J382" s="26">
        <v>74900</v>
      </c>
      <c r="K382" s="632">
        <f>H382-J382</f>
        <v>-43443</v>
      </c>
      <c r="L382" s="27">
        <f>B382-A382</f>
        <v>1.1875</v>
      </c>
      <c r="M382" s="27">
        <f>'[170]GORGOY PIKOOS'!$F$65</f>
        <v>0.78993055554989644</v>
      </c>
      <c r="N382" s="434">
        <f>(H382)/L382</f>
        <v>26490.105263157893</v>
      </c>
      <c r="O382" s="462">
        <f>(H382)/M382</f>
        <v>39822.487912373203</v>
      </c>
      <c r="P382" s="633">
        <v>30000</v>
      </c>
      <c r="Q382" s="69">
        <f>(168465/10000)*8.7</f>
        <v>146.56454999999997</v>
      </c>
      <c r="R382" s="69">
        <f>(161075/10000)*8.7</f>
        <v>140.13525000000001</v>
      </c>
      <c r="S382" s="435">
        <f>Q382-R382</f>
        <v>6.4292999999999552</v>
      </c>
      <c r="T382" s="435">
        <f>S382/8.7*10000/(H382)</f>
        <v>0.23492386432272463</v>
      </c>
      <c r="U382" s="435">
        <f>S382/8.5*10000/(H382)</f>
        <v>0.2404514846597299</v>
      </c>
      <c r="V382" s="436"/>
      <c r="W382" s="437"/>
      <c r="X382" s="33"/>
      <c r="Y382" s="544">
        <v>2.64</v>
      </c>
      <c r="Z382" s="469">
        <f t="shared" si="103"/>
        <v>83046.48000000001</v>
      </c>
      <c r="AA382" s="33"/>
      <c r="AB382" s="438"/>
      <c r="AC382" s="33"/>
    </row>
    <row r="383" spans="1:29" x14ac:dyDescent="0.3">
      <c r="A383" s="439">
        <v>43852.9375</v>
      </c>
      <c r="B383" s="439">
        <v>43856.833333333336</v>
      </c>
      <c r="C383" s="23"/>
      <c r="D383" s="23"/>
      <c r="E383" s="35" t="s">
        <v>420</v>
      </c>
      <c r="F383" s="25" t="s">
        <v>32</v>
      </c>
      <c r="G383" s="433"/>
      <c r="H383" s="433">
        <f>70412-H384-H385-H386</f>
        <v>50411</v>
      </c>
      <c r="I383" s="433"/>
      <c r="J383" s="26">
        <v>70500</v>
      </c>
      <c r="K383" s="632">
        <f>H383+H384+H385+H386-J383</f>
        <v>-88</v>
      </c>
      <c r="L383" s="27">
        <f>B383-A383</f>
        <v>3.8958333333357587</v>
      </c>
      <c r="M383" s="27">
        <f>'[170]XIN DONG GUAN 11'!$F$108</f>
        <v>1.6857638888892932</v>
      </c>
      <c r="N383" s="462">
        <f>(H383+H384+H385+H386)/L383</f>
        <v>18073.668449186611</v>
      </c>
      <c r="O383" s="462">
        <f>(H383+H384+H385+H386)/M383</f>
        <v>41768.601441802544</v>
      </c>
      <c r="P383" s="633">
        <v>30000</v>
      </c>
      <c r="Q383" s="69">
        <f>(150499/10000)*8.7</f>
        <v>130.93412999999998</v>
      </c>
      <c r="R383" s="69">
        <f>(132516/10000)*8.7</f>
        <v>115.28891999999999</v>
      </c>
      <c r="S383" s="435">
        <f>Q383-R383</f>
        <v>15.645209999999992</v>
      </c>
      <c r="T383" s="435">
        <f>S383/8.7*10000/(H383+H384+H385+H386)</f>
        <v>0.2553968073623813</v>
      </c>
      <c r="U383" s="435">
        <f>S383/8.5*10000/(H383+H384+H385+H386)</f>
        <v>0.26140614400620199</v>
      </c>
      <c r="V383" s="436"/>
      <c r="W383" s="437"/>
      <c r="X383" s="33"/>
      <c r="Y383" s="544">
        <v>2.64</v>
      </c>
      <c r="Z383" s="469">
        <f t="shared" si="103"/>
        <v>133085.04</v>
      </c>
      <c r="AA383" s="33"/>
      <c r="AB383" s="438"/>
      <c r="AC383" s="33"/>
    </row>
    <row r="384" spans="1:29" x14ac:dyDescent="0.3">
      <c r="A384" s="439"/>
      <c r="B384" s="439"/>
      <c r="C384" s="23"/>
      <c r="D384" s="23"/>
      <c r="E384" s="35" t="s">
        <v>581</v>
      </c>
      <c r="F384" s="25"/>
      <c r="G384" s="433"/>
      <c r="H384" s="433">
        <v>7286</v>
      </c>
      <c r="I384" s="433"/>
      <c r="J384" s="26"/>
      <c r="K384" s="632"/>
      <c r="L384" s="27"/>
      <c r="M384" s="434"/>
      <c r="N384" s="434"/>
      <c r="O384" s="434"/>
      <c r="P384" s="69"/>
      <c r="Q384" s="69"/>
      <c r="R384" s="69"/>
      <c r="S384" s="435"/>
      <c r="T384" s="435"/>
      <c r="U384" s="435"/>
      <c r="V384" s="436"/>
      <c r="W384" s="437"/>
      <c r="X384" s="33"/>
      <c r="Y384" s="544">
        <v>6.5</v>
      </c>
      <c r="Z384" s="469">
        <f t="shared" si="103"/>
        <v>47359</v>
      </c>
      <c r="AA384" s="33"/>
      <c r="AB384" s="438"/>
      <c r="AC384" s="33"/>
    </row>
    <row r="385" spans="1:29" x14ac:dyDescent="0.3">
      <c r="A385" s="439"/>
      <c r="B385" s="439"/>
      <c r="C385" s="23"/>
      <c r="D385" s="23"/>
      <c r="E385" s="35" t="s">
        <v>581</v>
      </c>
      <c r="F385" s="25"/>
      <c r="G385" s="433"/>
      <c r="H385" s="433">
        <v>7473</v>
      </c>
      <c r="I385" s="433"/>
      <c r="J385" s="26"/>
      <c r="K385" s="632"/>
      <c r="L385" s="27"/>
      <c r="M385" s="434"/>
      <c r="N385" s="434"/>
      <c r="O385" s="434"/>
      <c r="P385" s="69"/>
      <c r="Q385" s="69"/>
      <c r="R385" s="69"/>
      <c r="S385" s="435"/>
      <c r="T385" s="435"/>
      <c r="U385" s="435"/>
      <c r="V385" s="436"/>
      <c r="W385" s="437"/>
      <c r="X385" s="33"/>
      <c r="Y385" s="544">
        <v>6.5</v>
      </c>
      <c r="Z385" s="469">
        <f t="shared" si="103"/>
        <v>48574.5</v>
      </c>
      <c r="AA385" s="33"/>
      <c r="AB385" s="438"/>
      <c r="AC385" s="33"/>
    </row>
    <row r="386" spans="1:29" x14ac:dyDescent="0.3">
      <c r="A386" s="439"/>
      <c r="B386" s="439"/>
      <c r="C386" s="23"/>
      <c r="D386" s="23"/>
      <c r="E386" s="35" t="s">
        <v>581</v>
      </c>
      <c r="F386" s="25"/>
      <c r="G386" s="433"/>
      <c r="H386" s="433">
        <v>5242</v>
      </c>
      <c r="I386" s="433"/>
      <c r="J386" s="26"/>
      <c r="K386" s="632"/>
      <c r="L386" s="27"/>
      <c r="M386" s="434"/>
      <c r="N386" s="434"/>
      <c r="O386" s="434"/>
      <c r="P386" s="69"/>
      <c r="Q386" s="69"/>
      <c r="R386" s="69"/>
      <c r="S386" s="435"/>
      <c r="T386" s="435"/>
      <c r="U386" s="435"/>
      <c r="V386" s="436"/>
      <c r="W386" s="437"/>
      <c r="X386" s="33"/>
      <c r="Y386" s="544">
        <v>6.5</v>
      </c>
      <c r="Z386" s="469">
        <f t="shared" si="103"/>
        <v>34073</v>
      </c>
      <c r="AA386" s="33"/>
      <c r="AB386" s="438"/>
      <c r="AC386" s="33"/>
    </row>
    <row r="387" spans="1:29" x14ac:dyDescent="0.3">
      <c r="A387" s="439">
        <v>43857.927083333336</v>
      </c>
      <c r="B387" s="439">
        <v>43861.208333333336</v>
      </c>
      <c r="C387" s="23"/>
      <c r="D387" s="23"/>
      <c r="E387" s="35" t="s">
        <v>582</v>
      </c>
      <c r="F387" s="25" t="s">
        <v>212</v>
      </c>
      <c r="G387" s="433"/>
      <c r="H387" s="433">
        <f>48800-H388</f>
        <v>41926</v>
      </c>
      <c r="I387" s="433"/>
      <c r="J387" s="26">
        <v>48800</v>
      </c>
      <c r="K387" s="632">
        <f>(H387+H388)-J387</f>
        <v>0</v>
      </c>
      <c r="L387" s="27">
        <f>B387-A387</f>
        <v>3.28125</v>
      </c>
      <c r="M387" s="27">
        <f>'[170]SBI VIRGO'!$F$85</f>
        <v>1.0659722222141379</v>
      </c>
      <c r="N387" s="462">
        <f>(H387+H388)/L387</f>
        <v>14872.380952380952</v>
      </c>
      <c r="O387" s="434">
        <f>(H387+H388)/M387</f>
        <v>45779.804560607779</v>
      </c>
      <c r="P387" s="633">
        <v>30000</v>
      </c>
      <c r="Q387" s="69">
        <f>(129967/10000)*8.7</f>
        <v>113.07128999999999</v>
      </c>
      <c r="R387" s="69">
        <f>(115383/10000)*8.7</f>
        <v>100.38320999999999</v>
      </c>
      <c r="S387" s="435">
        <f>Q387-R387</f>
        <v>12.688079999999999</v>
      </c>
      <c r="T387" s="435">
        <f>S387/8.7*10000/(H387+H388)</f>
        <v>0.29885245901639346</v>
      </c>
      <c r="U387" s="435">
        <f>S387/8.5*10000/(H387+H388)</f>
        <v>0.30588428158148501</v>
      </c>
      <c r="V387" s="436"/>
      <c r="W387" s="437"/>
      <c r="X387" s="33"/>
      <c r="Y387" s="544">
        <v>2.64</v>
      </c>
      <c r="Z387" s="469">
        <f t="shared" si="103"/>
        <v>110684.64</v>
      </c>
      <c r="AA387" s="33"/>
      <c r="AB387" s="438"/>
      <c r="AC387" s="33"/>
    </row>
    <row r="388" spans="1:29" x14ac:dyDescent="0.3">
      <c r="A388" s="439"/>
      <c r="B388" s="439"/>
      <c r="C388" s="23"/>
      <c r="D388" s="23"/>
      <c r="E388" s="35" t="s">
        <v>583</v>
      </c>
      <c r="F388" s="25"/>
      <c r="G388" s="433"/>
      <c r="H388" s="433">
        <v>6874</v>
      </c>
      <c r="I388" s="433"/>
      <c r="J388" s="26"/>
      <c r="K388" s="632"/>
      <c r="L388" s="27"/>
      <c r="M388" s="27"/>
      <c r="N388" s="462"/>
      <c r="O388" s="434"/>
      <c r="P388" s="633"/>
      <c r="Q388" s="69"/>
      <c r="R388" s="69"/>
      <c r="S388" s="435"/>
      <c r="T388" s="435"/>
      <c r="U388" s="435"/>
      <c r="V388" s="436"/>
      <c r="W388" s="437"/>
      <c r="X388" s="33"/>
      <c r="Y388" s="544">
        <v>6.5</v>
      </c>
      <c r="Z388" s="469">
        <f t="shared" si="103"/>
        <v>44681</v>
      </c>
      <c r="AA388" s="33"/>
      <c r="AB388" s="438"/>
      <c r="AC388" s="33"/>
    </row>
    <row r="389" spans="1:29" x14ac:dyDescent="0.3">
      <c r="A389" s="439"/>
      <c r="B389" s="439"/>
      <c r="C389" s="23"/>
      <c r="D389" s="23"/>
      <c r="E389" s="39" t="s">
        <v>29</v>
      </c>
      <c r="F389" s="25"/>
      <c r="G389" s="433"/>
      <c r="H389" s="457">
        <v>33159</v>
      </c>
      <c r="I389" s="433"/>
      <c r="J389" s="26"/>
      <c r="K389" s="27"/>
      <c r="L389" s="27"/>
      <c r="M389" s="434"/>
      <c r="N389" s="434"/>
      <c r="O389" s="434"/>
      <c r="P389" s="69"/>
      <c r="Q389" s="69"/>
      <c r="R389" s="69"/>
      <c r="S389" s="435"/>
      <c r="T389" s="435"/>
      <c r="U389" s="435"/>
      <c r="V389" s="436"/>
      <c r="W389" s="437"/>
      <c r="X389" s="33"/>
      <c r="Y389" s="620">
        <v>2.64</v>
      </c>
      <c r="Z389" s="503">
        <f t="shared" si="103"/>
        <v>87539.760000000009</v>
      </c>
      <c r="AA389" s="33"/>
      <c r="AB389" s="438"/>
      <c r="AC389" s="33"/>
    </row>
    <row r="390" spans="1:29" x14ac:dyDescent="0.3">
      <c r="A390" s="20"/>
      <c r="B390" s="20"/>
      <c r="C390" s="20">
        <v>1000000001</v>
      </c>
      <c r="D390" s="20"/>
      <c r="E390" s="21" t="s">
        <v>30</v>
      </c>
      <c r="F390" s="21"/>
      <c r="G390" s="431">
        <f>SUM(G375:G389)</f>
        <v>0</v>
      </c>
      <c r="H390" s="431">
        <f>SUM(H376:H388)</f>
        <v>341841</v>
      </c>
      <c r="I390" s="431"/>
      <c r="J390" s="431"/>
      <c r="K390" s="431"/>
      <c r="L390" s="431"/>
      <c r="M390" s="431"/>
      <c r="N390" s="431"/>
      <c r="O390" s="431"/>
      <c r="P390" s="431"/>
      <c r="Q390" s="431"/>
      <c r="R390" s="440"/>
      <c r="S390" s="441">
        <f>SUM(S375:S389)</f>
        <v>77.767559999999989</v>
      </c>
      <c r="T390" s="440"/>
      <c r="U390" s="440"/>
      <c r="V390" s="442"/>
      <c r="W390" s="22"/>
      <c r="X390" s="22"/>
      <c r="Y390" s="432"/>
      <c r="Z390" s="432">
        <f>SUM(Z376:Z389)</f>
        <v>1170169.3600000001</v>
      </c>
      <c r="AA390" s="432"/>
      <c r="AB390" s="432"/>
      <c r="AC390" s="432"/>
    </row>
    <row r="391" spans="1:29" x14ac:dyDescent="0.3">
      <c r="A391" s="146"/>
      <c r="B391" s="146"/>
      <c r="C391" s="23"/>
      <c r="D391" s="14"/>
      <c r="E391" s="35"/>
      <c r="F391" s="25"/>
      <c r="G391" s="433"/>
      <c r="H391" s="433"/>
      <c r="I391" s="433"/>
      <c r="J391" s="26"/>
      <c r="K391" s="27"/>
      <c r="L391" s="27"/>
      <c r="M391" s="434"/>
      <c r="N391" s="434"/>
      <c r="O391" s="434"/>
      <c r="P391" s="69"/>
      <c r="Q391" s="69"/>
      <c r="R391" s="69"/>
      <c r="S391" s="435"/>
      <c r="T391" s="435"/>
      <c r="U391" s="435"/>
      <c r="V391" s="436"/>
      <c r="W391" s="437"/>
      <c r="X391" s="33"/>
      <c r="Y391" s="33"/>
      <c r="Z391" s="33"/>
      <c r="AA391" s="33"/>
      <c r="AB391" s="438"/>
      <c r="AC391" s="33"/>
    </row>
    <row r="392" spans="1:29" x14ac:dyDescent="0.3">
      <c r="A392" s="439">
        <v>43862.0625</v>
      </c>
      <c r="B392" s="439">
        <v>43864.368055555555</v>
      </c>
      <c r="C392" s="23"/>
      <c r="D392" s="14"/>
      <c r="E392" s="35" t="s">
        <v>119</v>
      </c>
      <c r="F392" s="25" t="s">
        <v>32</v>
      </c>
      <c r="G392" s="433"/>
      <c r="H392" s="433">
        <v>66800</v>
      </c>
      <c r="I392" s="433"/>
      <c r="J392" s="26">
        <v>66800</v>
      </c>
      <c r="K392" s="632">
        <f>H392-J392</f>
        <v>0</v>
      </c>
      <c r="L392" s="27">
        <f>B392-A392</f>
        <v>2.3055555555547471</v>
      </c>
      <c r="M392" s="27">
        <f>[171]GLORIEVER!$F$101</f>
        <v>1.5555555555971903</v>
      </c>
      <c r="N392" s="434">
        <f>(H392)/L392</f>
        <v>28973.493975913774</v>
      </c>
      <c r="O392" s="462">
        <f>(H392)/M392</f>
        <v>42942.857141707769</v>
      </c>
      <c r="P392" s="633">
        <v>30000</v>
      </c>
      <c r="Q392" s="69">
        <f>(113623/10000)*8.7</f>
        <v>98.852009999999993</v>
      </c>
      <c r="R392" s="69">
        <f>(99023/10000)*8.7</f>
        <v>86.150009999999995</v>
      </c>
      <c r="S392" s="435">
        <f>Q392-R392</f>
        <v>12.701999999999998</v>
      </c>
      <c r="T392" s="435">
        <f>S392/8.7*10000/(H392)</f>
        <v>0.21856287425149701</v>
      </c>
      <c r="U392" s="435">
        <f>S392/8.5*10000/(H392)</f>
        <v>0.22370553011623809</v>
      </c>
      <c r="V392" s="436"/>
      <c r="W392" s="32"/>
      <c r="X392" s="33"/>
      <c r="Y392" s="544">
        <v>2.64</v>
      </c>
      <c r="Z392" s="469">
        <f t="shared" ref="Z392:Z405" si="104">H392*Y392</f>
        <v>176352</v>
      </c>
      <c r="AA392" s="33"/>
      <c r="AB392" s="438"/>
      <c r="AC392" s="33"/>
    </row>
    <row r="393" spans="1:29" x14ac:dyDescent="0.3">
      <c r="A393" s="439">
        <v>43866.736111111109</v>
      </c>
      <c r="B393" s="439">
        <v>43871.059027777781</v>
      </c>
      <c r="C393" s="23"/>
      <c r="D393" s="14"/>
      <c r="E393" s="35" t="s">
        <v>584</v>
      </c>
      <c r="F393" s="25" t="s">
        <v>212</v>
      </c>
      <c r="G393" s="433"/>
      <c r="H393" s="433">
        <f>62119-H394-H395</f>
        <v>48007</v>
      </c>
      <c r="I393" s="433"/>
      <c r="J393" s="26">
        <v>62692</v>
      </c>
      <c r="K393" s="632">
        <f>H393+H394+H395-J393</f>
        <v>-573</v>
      </c>
      <c r="L393" s="27">
        <f>B393-A393</f>
        <v>4.3229166666715173</v>
      </c>
      <c r="M393" s="27">
        <f>'[171]STAR DAMON'!$F$105</f>
        <v>1.5815972222250518</v>
      </c>
      <c r="N393" s="462">
        <f>(H393+H394+H395)/L393</f>
        <v>14369.696385526046</v>
      </c>
      <c r="O393" s="462">
        <f>(H393+H394+H395)/M393</f>
        <v>39276.11855097254</v>
      </c>
      <c r="P393" s="633">
        <v>30000</v>
      </c>
      <c r="Q393" s="69">
        <f>(94808/10000)*8.7</f>
        <v>82.482959999999991</v>
      </c>
      <c r="R393" s="69">
        <f>(75614/10000)*8.7</f>
        <v>65.784179999999992</v>
      </c>
      <c r="S393" s="435">
        <f>Q393-R393</f>
        <v>16.698779999999999</v>
      </c>
      <c r="T393" s="435">
        <f>S393/8.7*10000/(H393+H394+H395)</f>
        <v>0.30898758833851159</v>
      </c>
      <c r="U393" s="435">
        <f>S393/8.5*10000/(H393+H394+H395)</f>
        <v>0.31625788453471182</v>
      </c>
      <c r="V393" s="31"/>
      <c r="W393" s="32"/>
      <c r="X393" s="33"/>
      <c r="Y393" s="544">
        <v>2.64</v>
      </c>
      <c r="Z393" s="469">
        <f t="shared" si="104"/>
        <v>126738.48000000001</v>
      </c>
      <c r="AA393" s="33"/>
      <c r="AB393" s="438"/>
      <c r="AC393" s="33"/>
    </row>
    <row r="394" spans="1:29" x14ac:dyDescent="0.3">
      <c r="A394" s="146"/>
      <c r="B394" s="146"/>
      <c r="C394" s="23"/>
      <c r="D394" s="14"/>
      <c r="E394" s="35" t="s">
        <v>585</v>
      </c>
      <c r="F394" s="36"/>
      <c r="G394" s="433"/>
      <c r="H394" s="433">
        <v>7264</v>
      </c>
      <c r="I394" s="433"/>
      <c r="J394" s="26"/>
      <c r="K394" s="632"/>
      <c r="L394" s="27"/>
      <c r="M394" s="434"/>
      <c r="N394" s="434"/>
      <c r="O394" s="434"/>
      <c r="P394" s="69"/>
      <c r="Q394" s="69"/>
      <c r="R394" s="69"/>
      <c r="S394" s="435"/>
      <c r="T394" s="435"/>
      <c r="U394" s="435"/>
      <c r="V394" s="31"/>
      <c r="W394" s="32"/>
      <c r="X394" s="33"/>
      <c r="Y394" s="544">
        <v>6.5</v>
      </c>
      <c r="Z394" s="469">
        <f t="shared" si="104"/>
        <v>47216</v>
      </c>
      <c r="AA394" s="33"/>
      <c r="AB394" s="438"/>
      <c r="AC394" s="33"/>
    </row>
    <row r="395" spans="1:29" x14ac:dyDescent="0.3">
      <c r="A395" s="146"/>
      <c r="B395" s="146"/>
      <c r="C395" s="23"/>
      <c r="D395" s="14"/>
      <c r="E395" s="35" t="s">
        <v>585</v>
      </c>
      <c r="F395" s="36"/>
      <c r="G395" s="433"/>
      <c r="H395" s="433">
        <v>6848</v>
      </c>
      <c r="I395" s="433"/>
      <c r="J395" s="26"/>
      <c r="K395" s="632"/>
      <c r="L395" s="27"/>
      <c r="M395" s="434"/>
      <c r="N395" s="434"/>
      <c r="O395" s="434"/>
      <c r="P395" s="69"/>
      <c r="Q395" s="69"/>
      <c r="R395" s="69"/>
      <c r="S395" s="435"/>
      <c r="T395" s="435"/>
      <c r="U395" s="435"/>
      <c r="V395" s="31"/>
      <c r="W395" s="32"/>
      <c r="X395" s="33"/>
      <c r="Y395" s="544">
        <v>6.5</v>
      </c>
      <c r="Z395" s="469">
        <f t="shared" si="104"/>
        <v>44512</v>
      </c>
      <c r="AA395" s="33"/>
      <c r="AB395" s="438"/>
      <c r="AC395" s="33"/>
    </row>
    <row r="396" spans="1:29" x14ac:dyDescent="0.3">
      <c r="A396" s="146">
        <v>43871.322916666664</v>
      </c>
      <c r="B396" s="146">
        <v>43877.75</v>
      </c>
      <c r="C396" s="23"/>
      <c r="D396" s="14"/>
      <c r="E396" s="35" t="s">
        <v>41</v>
      </c>
      <c r="F396" s="36" t="s">
        <v>39</v>
      </c>
      <c r="G396" s="433"/>
      <c r="H396" s="433">
        <f>86700-H397-H398</f>
        <v>69934</v>
      </c>
      <c r="I396" s="433"/>
      <c r="J396" s="26">
        <v>86700</v>
      </c>
      <c r="K396" s="632">
        <f>H396+H397+H398-J396</f>
        <v>0</v>
      </c>
      <c r="L396" s="27">
        <f>B396-A396</f>
        <v>6.4270833333357587</v>
      </c>
      <c r="M396" s="27">
        <f>'[171]TAIPOWER PROSPERITY II'!$F$135</f>
        <v>1.9409722222104999</v>
      </c>
      <c r="N396" s="462">
        <f>(H396+H397+H398)/L396</f>
        <v>13489.789303074325</v>
      </c>
      <c r="O396" s="462">
        <f>(H396+H397+H398)/M396</f>
        <v>44668.336315117711</v>
      </c>
      <c r="P396" s="633">
        <v>30000</v>
      </c>
      <c r="Q396" s="69">
        <f>(74541/10000)*8.7</f>
        <v>64.850669999999994</v>
      </c>
      <c r="R396" s="69">
        <f>(48888/10000)*8.7</f>
        <v>42.532559999999997</v>
      </c>
      <c r="S396" s="435">
        <f>Q396-R396</f>
        <v>22.318109999999997</v>
      </c>
      <c r="T396" s="435">
        <f>S396/8.7*10000/(H396+H397+H398)</f>
        <v>0.29588235294117643</v>
      </c>
      <c r="U396" s="435">
        <f>S396/8.5*10000/(H396+H397+H398)</f>
        <v>0.30284429065743945</v>
      </c>
      <c r="V396" s="31"/>
      <c r="W396" s="32"/>
      <c r="X396" s="33"/>
      <c r="Y396" s="544">
        <v>2.64</v>
      </c>
      <c r="Z396" s="469">
        <f t="shared" si="104"/>
        <v>184625.76</v>
      </c>
      <c r="AA396" s="33"/>
      <c r="AB396" s="438"/>
      <c r="AC396" s="33"/>
    </row>
    <row r="397" spans="1:29" x14ac:dyDescent="0.3">
      <c r="A397" s="146"/>
      <c r="B397" s="146"/>
      <c r="C397" s="23"/>
      <c r="D397" s="14"/>
      <c r="E397" s="35" t="s">
        <v>371</v>
      </c>
      <c r="F397" s="36"/>
      <c r="G397" s="433"/>
      <c r="H397" s="433">
        <v>8093</v>
      </c>
      <c r="I397" s="433"/>
      <c r="J397" s="26"/>
      <c r="K397" s="27"/>
      <c r="L397" s="27"/>
      <c r="M397" s="27"/>
      <c r="N397" s="434"/>
      <c r="O397" s="434"/>
      <c r="P397" s="633"/>
      <c r="Q397" s="69"/>
      <c r="R397" s="69"/>
      <c r="S397" s="435"/>
      <c r="T397" s="435"/>
      <c r="U397" s="435"/>
      <c r="V397" s="31"/>
      <c r="W397" s="32"/>
      <c r="X397" s="33"/>
      <c r="Y397" s="544">
        <v>6.5</v>
      </c>
      <c r="Z397" s="469">
        <f t="shared" si="104"/>
        <v>52604.5</v>
      </c>
      <c r="AA397" s="33"/>
      <c r="AB397" s="438"/>
      <c r="AC397" s="33"/>
    </row>
    <row r="398" spans="1:29" x14ac:dyDescent="0.3">
      <c r="A398" s="146"/>
      <c r="B398" s="146"/>
      <c r="C398" s="23"/>
      <c r="D398" s="14"/>
      <c r="E398" s="35" t="s">
        <v>371</v>
      </c>
      <c r="F398" s="36"/>
      <c r="G398" s="433"/>
      <c r="H398" s="433">
        <v>8673</v>
      </c>
      <c r="I398" s="433"/>
      <c r="J398" s="26"/>
      <c r="K398" s="27"/>
      <c r="L398" s="27"/>
      <c r="M398" s="27"/>
      <c r="N398" s="434"/>
      <c r="O398" s="434"/>
      <c r="P398" s="633"/>
      <c r="Q398" s="69"/>
      <c r="R398" s="69"/>
      <c r="S398" s="435"/>
      <c r="T398" s="435"/>
      <c r="U398" s="435"/>
      <c r="V398" s="31"/>
      <c r="W398" s="32"/>
      <c r="X398" s="33"/>
      <c r="Y398" s="544">
        <v>6.5</v>
      </c>
      <c r="Z398" s="469">
        <f t="shared" si="104"/>
        <v>56374.5</v>
      </c>
      <c r="AA398" s="33"/>
      <c r="AB398" s="438"/>
      <c r="AC398" s="33"/>
    </row>
    <row r="399" spans="1:29" x14ac:dyDescent="0.3">
      <c r="A399" s="146">
        <v>43881.027777777781</v>
      </c>
      <c r="B399" s="146">
        <v>43883.506944444445</v>
      </c>
      <c r="C399" s="23"/>
      <c r="D399" s="14"/>
      <c r="E399" s="35" t="s">
        <v>586</v>
      </c>
      <c r="F399" s="36" t="s">
        <v>212</v>
      </c>
      <c r="G399" s="433"/>
      <c r="H399" s="433">
        <f>49500-H400</f>
        <v>42834</v>
      </c>
      <c r="I399" s="433"/>
      <c r="J399" s="26">
        <v>49500</v>
      </c>
      <c r="K399" s="632">
        <f>H399+H400-J399</f>
        <v>0</v>
      </c>
      <c r="L399" s="27">
        <f>B399-A399</f>
        <v>2.4791666666642413</v>
      </c>
      <c r="M399" s="27">
        <f>'[171]AFRICAN KINGFISHER'!$F$88</f>
        <v>1.0659722222359658</v>
      </c>
      <c r="N399" s="462">
        <f>(H399+H400)/L399</f>
        <v>19966.38655464138</v>
      </c>
      <c r="O399" s="434">
        <f>(H399+H400)/M399</f>
        <v>46436.482084091847</v>
      </c>
      <c r="P399" s="633">
        <v>30000</v>
      </c>
      <c r="Q399" s="69">
        <f>(167339/10000)*8.7</f>
        <v>145.58492999999999</v>
      </c>
      <c r="R399" s="69">
        <f>(155432/10000)*8.7</f>
        <v>135.22584000000001</v>
      </c>
      <c r="S399" s="435">
        <f>Q399-R399</f>
        <v>10.359089999999981</v>
      </c>
      <c r="T399" s="435">
        <f>S399/8.7*10000/(H399+H400)</f>
        <v>0.24054545454545412</v>
      </c>
      <c r="U399" s="435">
        <f>S399/8.5*10000/(H399+H400)</f>
        <v>0.2462053475935824</v>
      </c>
      <c r="V399" s="31"/>
      <c r="W399" s="32"/>
      <c r="X399" s="33"/>
      <c r="Y399" s="544">
        <v>2.64</v>
      </c>
      <c r="Z399" s="469">
        <f t="shared" si="104"/>
        <v>113081.76000000001</v>
      </c>
      <c r="AA399" s="33"/>
      <c r="AB399" s="438"/>
      <c r="AC399" s="33"/>
    </row>
    <row r="400" spans="1:29" x14ac:dyDescent="0.3">
      <c r="A400" s="146"/>
      <c r="B400" s="439"/>
      <c r="C400" s="23"/>
      <c r="D400" s="23"/>
      <c r="E400" s="35" t="s">
        <v>587</v>
      </c>
      <c r="F400" s="25"/>
      <c r="G400" s="433"/>
      <c r="H400" s="433">
        <v>6666</v>
      </c>
      <c r="I400" s="433"/>
      <c r="J400" s="26"/>
      <c r="K400" s="27"/>
      <c r="L400" s="27"/>
      <c r="M400" s="27"/>
      <c r="N400" s="434"/>
      <c r="O400" s="434"/>
      <c r="P400" s="633"/>
      <c r="Q400" s="69"/>
      <c r="R400" s="69"/>
      <c r="S400" s="435"/>
      <c r="T400" s="435"/>
      <c r="U400" s="435"/>
      <c r="V400" s="436"/>
      <c r="W400" s="437"/>
      <c r="X400" s="33"/>
      <c r="Y400" s="544">
        <v>6.5</v>
      </c>
      <c r="Z400" s="469">
        <f t="shared" si="104"/>
        <v>43329</v>
      </c>
      <c r="AA400" s="33"/>
      <c r="AB400" s="438"/>
      <c r="AC400" s="33"/>
    </row>
    <row r="401" spans="1:29" x14ac:dyDescent="0.3">
      <c r="A401" s="439">
        <v>43885.982638888891</v>
      </c>
      <c r="B401" s="439">
        <v>43886.416666666664</v>
      </c>
      <c r="C401" s="23"/>
      <c r="D401" s="23"/>
      <c r="E401" s="35" t="s">
        <v>588</v>
      </c>
      <c r="F401" s="25" t="s">
        <v>32</v>
      </c>
      <c r="G401" s="433"/>
      <c r="H401" s="433">
        <f>15623-H402</f>
        <v>7761.7160000000003</v>
      </c>
      <c r="I401" s="433"/>
      <c r="J401" s="26">
        <v>64000</v>
      </c>
      <c r="K401" s="632">
        <f>H401+H402-J401</f>
        <v>-48377</v>
      </c>
      <c r="L401" s="27">
        <f>B401-A401</f>
        <v>0.43402777777373558</v>
      </c>
      <c r="M401" s="27">
        <f>'[171]ZHONG MENG HANG LIAN'!$F$40</f>
        <v>0.35069444443312631</v>
      </c>
      <c r="N401" s="434">
        <f>(H401+H402)/L401</f>
        <v>35995.392000335232</v>
      </c>
      <c r="O401" s="434">
        <f>(H401+H402)/M401</f>
        <v>44548.752476685266</v>
      </c>
      <c r="P401" s="633">
        <v>30000</v>
      </c>
      <c r="Q401" s="69">
        <f>(150848/10000)*8.7</f>
        <v>131.23775999999998</v>
      </c>
      <c r="R401" s="69">
        <f>(147668/10000)*8.7</f>
        <v>128.47116</v>
      </c>
      <c r="S401" s="435">
        <f>Q401-R401</f>
        <v>2.7665999999999826</v>
      </c>
      <c r="T401" s="435">
        <f>S401/8.7*10000/(H401+H402)</f>
        <v>0.20354605389489727</v>
      </c>
      <c r="U401" s="435">
        <f>S401/8.5*10000/(H401+H402)</f>
        <v>0.20833537281007133</v>
      </c>
      <c r="V401" s="436"/>
      <c r="W401" s="437"/>
      <c r="X401" s="33"/>
      <c r="Y401" s="544">
        <v>2.64</v>
      </c>
      <c r="Z401" s="469">
        <f t="shared" si="104"/>
        <v>20490.930240000002</v>
      </c>
      <c r="AA401" s="33"/>
      <c r="AB401" s="438"/>
      <c r="AC401" s="33"/>
    </row>
    <row r="402" spans="1:29" x14ac:dyDescent="0.3">
      <c r="A402" s="439"/>
      <c r="B402" s="439"/>
      <c r="C402" s="23"/>
      <c r="D402" s="23"/>
      <c r="E402" s="35" t="s">
        <v>589</v>
      </c>
      <c r="F402" s="25"/>
      <c r="G402" s="433"/>
      <c r="H402" s="433">
        <v>7861.2839999999997</v>
      </c>
      <c r="I402" s="433"/>
      <c r="J402" s="26"/>
      <c r="K402" s="632"/>
      <c r="L402" s="27"/>
      <c r="M402" s="27"/>
      <c r="N402" s="434"/>
      <c r="O402" s="434"/>
      <c r="P402" s="633"/>
      <c r="Q402" s="69"/>
      <c r="R402" s="69"/>
      <c r="S402" s="435"/>
      <c r="T402" s="435"/>
      <c r="U402" s="435"/>
      <c r="V402" s="436"/>
      <c r="W402" s="437"/>
      <c r="X402" s="33"/>
      <c r="Y402" s="544">
        <v>6.5</v>
      </c>
      <c r="Z402" s="469">
        <f t="shared" si="104"/>
        <v>51098.345999999998</v>
      </c>
      <c r="AA402" s="33"/>
      <c r="AB402" s="438"/>
      <c r="AC402" s="33"/>
    </row>
    <row r="403" spans="1:29" x14ac:dyDescent="0.3">
      <c r="A403" s="439">
        <v>43886.680555555555</v>
      </c>
      <c r="B403" s="439">
        <v>43889.666666666664</v>
      </c>
      <c r="C403" s="23"/>
      <c r="D403" s="23"/>
      <c r="E403" s="35" t="s">
        <v>590</v>
      </c>
      <c r="F403" s="36" t="s">
        <v>212</v>
      </c>
      <c r="G403" s="433"/>
      <c r="H403" s="433">
        <f>62233-H404</f>
        <v>53722.944000000003</v>
      </c>
      <c r="I403" s="433"/>
      <c r="J403" s="26">
        <v>62233</v>
      </c>
      <c r="K403" s="632">
        <f>H403+H404-J403</f>
        <v>0</v>
      </c>
      <c r="L403" s="27">
        <f>B403-A403</f>
        <v>2.9861111111094942</v>
      </c>
      <c r="M403" s="27">
        <f>'[171]BEAUTY LILY'!$F$115</f>
        <v>1.3281249999987874</v>
      </c>
      <c r="N403" s="434">
        <f>(H403+H404)/L403</f>
        <v>20840.818604662447</v>
      </c>
      <c r="O403" s="434">
        <f>(H403+H404)/M403</f>
        <v>46857.788235336899</v>
      </c>
      <c r="P403" s="633">
        <v>30000</v>
      </c>
      <c r="Q403" s="69">
        <f>(147303/10000)*8.7</f>
        <v>128.15360999999999</v>
      </c>
      <c r="R403" s="69">
        <f>(132037/10000)*8.7</f>
        <v>114.87218999999999</v>
      </c>
      <c r="S403" s="435">
        <f>Q403-R403</f>
        <v>13.281419999999997</v>
      </c>
      <c r="T403" s="435">
        <f>S403/8.7*10000/(H403+H404)</f>
        <v>0.24530393842495135</v>
      </c>
      <c r="U403" s="435">
        <f>S403/8.5*10000/(H403+H404)</f>
        <v>0.25107579579965611</v>
      </c>
      <c r="V403" s="436"/>
      <c r="W403" s="437"/>
      <c r="X403" s="33"/>
      <c r="Y403" s="544">
        <v>2.64</v>
      </c>
      <c r="Z403" s="469">
        <f t="shared" si="104"/>
        <v>141828.57216000001</v>
      </c>
      <c r="AA403" s="33"/>
      <c r="AB403" s="438"/>
      <c r="AC403" s="33"/>
    </row>
    <row r="404" spans="1:29" x14ac:dyDescent="0.3">
      <c r="A404" s="439"/>
      <c r="B404" s="439"/>
      <c r="C404" s="23"/>
      <c r="D404" s="23"/>
      <c r="E404" s="35" t="s">
        <v>591</v>
      </c>
      <c r="F404" s="36"/>
      <c r="G404" s="433"/>
      <c r="H404" s="433">
        <v>8510.0560000000005</v>
      </c>
      <c r="I404" s="433"/>
      <c r="J404" s="26"/>
      <c r="K404" s="632"/>
      <c r="L404" s="27"/>
      <c r="M404" s="27"/>
      <c r="N404" s="434"/>
      <c r="O404" s="434"/>
      <c r="P404" s="633"/>
      <c r="Q404" s="69"/>
      <c r="R404" s="69"/>
      <c r="S404" s="435"/>
      <c r="T404" s="435"/>
      <c r="U404" s="435"/>
      <c r="V404" s="436"/>
      <c r="W404" s="437"/>
      <c r="X404" s="33"/>
      <c r="Y404" s="544">
        <v>6.5</v>
      </c>
      <c r="Z404" s="469">
        <f t="shared" si="104"/>
        <v>55315.364000000001</v>
      </c>
      <c r="AA404" s="33"/>
      <c r="AB404" s="438"/>
      <c r="AC404" s="33"/>
    </row>
    <row r="405" spans="1:29" x14ac:dyDescent="0.3">
      <c r="A405" s="439"/>
      <c r="B405" s="439"/>
      <c r="C405" s="23"/>
      <c r="D405" s="23"/>
      <c r="E405" s="39" t="s">
        <v>29</v>
      </c>
      <c r="F405" s="16"/>
      <c r="G405" s="457"/>
      <c r="H405" s="457">
        <f>375000-SUM(H392:H404)</f>
        <v>32025</v>
      </c>
      <c r="I405" s="433"/>
      <c r="J405" s="26"/>
      <c r="K405" s="27"/>
      <c r="L405" s="27"/>
      <c r="M405" s="434"/>
      <c r="N405" s="434"/>
      <c r="O405" s="434"/>
      <c r="P405" s="69"/>
      <c r="Q405" s="69"/>
      <c r="R405" s="69"/>
      <c r="S405" s="435"/>
      <c r="T405" s="435"/>
      <c r="U405" s="435"/>
      <c r="V405" s="436"/>
      <c r="W405" s="437"/>
      <c r="X405" s="33"/>
      <c r="Y405" s="620">
        <v>2.64</v>
      </c>
      <c r="Z405" s="503">
        <f t="shared" si="104"/>
        <v>84546</v>
      </c>
      <c r="AA405" s="33"/>
      <c r="AB405" s="438"/>
      <c r="AC405" s="33"/>
    </row>
    <row r="406" spans="1:29" x14ac:dyDescent="0.3">
      <c r="A406" s="20"/>
      <c r="B406" s="20"/>
      <c r="C406" s="20">
        <v>1000000001</v>
      </c>
      <c r="D406" s="20"/>
      <c r="E406" s="21" t="s">
        <v>37</v>
      </c>
      <c r="F406" s="21"/>
      <c r="G406" s="431">
        <f>SUM(G391:G405)</f>
        <v>0</v>
      </c>
      <c r="H406" s="431">
        <f>SUM(H392:H404)</f>
        <v>342975</v>
      </c>
      <c r="I406" s="431"/>
      <c r="J406" s="431"/>
      <c r="K406" s="431"/>
      <c r="L406" s="431"/>
      <c r="M406" s="431"/>
      <c r="N406" s="431"/>
      <c r="O406" s="431"/>
      <c r="P406" s="431"/>
      <c r="Q406" s="431"/>
      <c r="R406" s="440"/>
      <c r="S406" s="441">
        <f>SUM(S391:S405)</f>
        <v>78.125999999999948</v>
      </c>
      <c r="T406" s="440"/>
      <c r="U406" s="440"/>
      <c r="V406" s="442"/>
      <c r="W406" s="22"/>
      <c r="X406" s="22"/>
      <c r="Y406" s="432"/>
      <c r="Z406" s="432">
        <f>SUM(Z392:Z405)</f>
        <v>1198113.2124000001</v>
      </c>
      <c r="AA406" s="432"/>
      <c r="AB406" s="432"/>
      <c r="AC406" s="432"/>
    </row>
    <row r="407" spans="1:29" x14ac:dyDescent="0.3">
      <c r="A407" s="146"/>
      <c r="B407" s="146"/>
      <c r="C407" s="23"/>
      <c r="D407" s="14"/>
      <c r="E407" s="35"/>
      <c r="F407" s="25"/>
      <c r="G407" s="433"/>
      <c r="H407" s="433"/>
      <c r="I407" s="433"/>
      <c r="J407" s="26"/>
      <c r="K407" s="27"/>
      <c r="L407" s="27"/>
      <c r="M407" s="434"/>
      <c r="N407" s="434"/>
      <c r="O407" s="434"/>
      <c r="P407" s="69"/>
      <c r="Q407" s="69"/>
      <c r="R407" s="69"/>
      <c r="S407" s="435"/>
      <c r="T407" s="435"/>
      <c r="U407" s="435"/>
      <c r="V407" s="436"/>
      <c r="W407" s="437"/>
      <c r="X407" s="33"/>
      <c r="Y407" s="33"/>
      <c r="Z407" s="33"/>
      <c r="AA407" s="33"/>
      <c r="AB407" s="438"/>
      <c r="AC407" s="33"/>
    </row>
    <row r="408" spans="1:29" x14ac:dyDescent="0.3">
      <c r="A408" s="439">
        <v>43889.875</v>
      </c>
      <c r="B408" s="439">
        <v>43891.645833333336</v>
      </c>
      <c r="C408" s="23"/>
      <c r="D408" s="14"/>
      <c r="E408" s="35" t="s">
        <v>592</v>
      </c>
      <c r="F408" s="25" t="s">
        <v>212</v>
      </c>
      <c r="G408" s="433"/>
      <c r="H408" s="433">
        <f>55000-H409-H410</f>
        <v>40299.116000000002</v>
      </c>
      <c r="I408" s="433"/>
      <c r="J408" s="26">
        <v>55000</v>
      </c>
      <c r="K408" s="632">
        <f>H408+H409+H410-J408</f>
        <v>0</v>
      </c>
      <c r="L408" s="27">
        <f>B408-A408</f>
        <v>1.7708333333357587</v>
      </c>
      <c r="M408" s="27">
        <f>'[172]DUBAI GALACTIC'!$F$84</f>
        <v>1.1840277777543331</v>
      </c>
      <c r="N408" s="434">
        <f>(H408+H409+H410)/L408</f>
        <v>31058.823529369227</v>
      </c>
      <c r="O408" s="434">
        <f>(H408+H409+H410)/M408</f>
        <v>46451.612904145586</v>
      </c>
      <c r="P408" s="633">
        <v>30000</v>
      </c>
      <c r="Q408" s="69">
        <f>(131673/10000)*8.7</f>
        <v>114.55550999999998</v>
      </c>
      <c r="R408" s="69">
        <f>(121353/10000)*8.7</f>
        <v>105.57711</v>
      </c>
      <c r="S408" s="435">
        <f>Q408-R408</f>
        <v>8.9783999999999793</v>
      </c>
      <c r="T408" s="435">
        <f>S408/8.7*10000/(H408+H409+H410)</f>
        <v>0.18763636363636324</v>
      </c>
      <c r="U408" s="435">
        <f>S408/8.5*10000/(H408+H409+H410)</f>
        <v>0.19205133689839529</v>
      </c>
      <c r="V408" s="436"/>
      <c r="W408" s="32"/>
      <c r="X408" s="33"/>
      <c r="Y408" s="544">
        <v>2.64</v>
      </c>
      <c r="Z408" s="469">
        <f t="shared" ref="Z408:Z423" si="105">H408*Y408</f>
        <v>106389.66624000001</v>
      </c>
      <c r="AA408" s="33"/>
      <c r="AB408" s="438"/>
      <c r="AC408" s="33"/>
    </row>
    <row r="409" spans="1:29" x14ac:dyDescent="0.3">
      <c r="A409" s="146"/>
      <c r="B409" s="146"/>
      <c r="C409" s="23"/>
      <c r="D409" s="14"/>
      <c r="E409" s="35" t="s">
        <v>593</v>
      </c>
      <c r="F409" s="36"/>
      <c r="G409" s="433"/>
      <c r="H409" s="433">
        <v>7494.9470000000001</v>
      </c>
      <c r="I409" s="433"/>
      <c r="J409" s="26"/>
      <c r="K409" s="27"/>
      <c r="L409" s="27"/>
      <c r="M409" s="434"/>
      <c r="N409" s="434"/>
      <c r="O409" s="434"/>
      <c r="P409" s="69"/>
      <c r="Q409" s="69"/>
      <c r="R409" s="69"/>
      <c r="S409" s="435"/>
      <c r="T409" s="435"/>
      <c r="U409" s="435"/>
      <c r="V409" s="31"/>
      <c r="W409" s="32"/>
      <c r="X409" s="33"/>
      <c r="Y409" s="544">
        <v>6.5</v>
      </c>
      <c r="Z409" s="469">
        <f t="shared" si="105"/>
        <v>48717.155500000001</v>
      </c>
      <c r="AA409" s="33"/>
      <c r="AB409" s="438"/>
      <c r="AC409" s="33"/>
    </row>
    <row r="410" spans="1:29" x14ac:dyDescent="0.3">
      <c r="A410" s="146"/>
      <c r="B410" s="439"/>
      <c r="C410" s="23"/>
      <c r="D410" s="23"/>
      <c r="E410" s="35" t="s">
        <v>593</v>
      </c>
      <c r="F410" s="25"/>
      <c r="G410" s="433"/>
      <c r="H410" s="433">
        <v>7205.9369999999999</v>
      </c>
      <c r="I410" s="433"/>
      <c r="J410" s="26"/>
      <c r="K410" s="27"/>
      <c r="L410" s="27"/>
      <c r="M410" s="434"/>
      <c r="N410" s="434"/>
      <c r="O410" s="434"/>
      <c r="P410" s="69"/>
      <c r="Q410" s="69"/>
      <c r="R410" s="69"/>
      <c r="S410" s="435"/>
      <c r="T410" s="435"/>
      <c r="U410" s="69"/>
      <c r="V410" s="436"/>
      <c r="W410" s="437"/>
      <c r="X410" s="33"/>
      <c r="Y410" s="544">
        <v>6.5</v>
      </c>
      <c r="Z410" s="469">
        <f t="shared" si="105"/>
        <v>46838.590499999998</v>
      </c>
      <c r="AA410" s="33"/>
      <c r="AB410" s="438"/>
      <c r="AC410" s="33"/>
    </row>
    <row r="411" spans="1:29" x14ac:dyDescent="0.3">
      <c r="A411" s="146">
        <v>43893.8125</v>
      </c>
      <c r="B411" s="439">
        <v>43895.076388888891</v>
      </c>
      <c r="C411" s="23"/>
      <c r="D411" s="23"/>
      <c r="E411" s="35" t="s">
        <v>594</v>
      </c>
      <c r="F411" s="25" t="s">
        <v>212</v>
      </c>
      <c r="G411" s="433"/>
      <c r="H411" s="433">
        <v>36041</v>
      </c>
      <c r="I411" s="433"/>
      <c r="J411" s="26">
        <v>55000</v>
      </c>
      <c r="K411" s="632">
        <f>H411-J411</f>
        <v>-18959</v>
      </c>
      <c r="L411" s="27">
        <f t="shared" ref="L411:L416" si="106">B411-A411</f>
        <v>1.2638888888905058</v>
      </c>
      <c r="M411" s="27">
        <f>[172]CHARISMA!$F$64</f>
        <v>0.79861111111555749</v>
      </c>
      <c r="N411" s="434">
        <f>(H411)/L411</f>
        <v>28515.956043919563</v>
      </c>
      <c r="O411" s="434">
        <f>(H411)/M411</f>
        <v>45129.599999748738</v>
      </c>
      <c r="P411" s="633">
        <v>30000</v>
      </c>
      <c r="Q411" s="69">
        <f>(117343/10000)*8.7</f>
        <v>102.08840999999998</v>
      </c>
      <c r="R411" s="69">
        <f>(110403/10000)*8.7</f>
        <v>96.050609999999992</v>
      </c>
      <c r="S411" s="435">
        <f t="shared" ref="S411:S416" si="107">Q411-R411</f>
        <v>6.0377999999999901</v>
      </c>
      <c r="T411" s="435">
        <f>S411/8.7*10000/(H411)</f>
        <v>0.1925584750700588</v>
      </c>
      <c r="U411" s="435">
        <f>S411/8.5*10000/(H411)</f>
        <v>0.19708926271876606</v>
      </c>
      <c r="V411" s="436"/>
      <c r="W411" s="437"/>
      <c r="X411" s="33"/>
      <c r="Y411" s="544">
        <v>2.64</v>
      </c>
      <c r="Z411" s="469">
        <f t="shared" si="105"/>
        <v>95148.24</v>
      </c>
      <c r="AA411" s="33"/>
      <c r="AB411" s="438"/>
      <c r="AC411" s="33"/>
    </row>
    <row r="412" spans="1:29" x14ac:dyDescent="0.3">
      <c r="A412" s="439">
        <v>43896.451388888891</v>
      </c>
      <c r="B412" s="439">
        <v>43897.552083333336</v>
      </c>
      <c r="C412" s="23"/>
      <c r="D412" s="23"/>
      <c r="E412" s="35" t="s">
        <v>595</v>
      </c>
      <c r="F412" s="25" t="s">
        <v>212</v>
      </c>
      <c r="G412" s="433"/>
      <c r="H412" s="433">
        <v>28702</v>
      </c>
      <c r="I412" s="433"/>
      <c r="J412" s="26">
        <v>58888</v>
      </c>
      <c r="K412" s="632">
        <f>H412-J412</f>
        <v>-30186</v>
      </c>
      <c r="L412" s="27">
        <f t="shared" si="106"/>
        <v>1.1006944444452529</v>
      </c>
      <c r="M412" s="27">
        <f>'[172]OCEAN VENTURE'!$F$54</f>
        <v>0.67708333333090798</v>
      </c>
      <c r="N412" s="434">
        <f>(H412)/L412</f>
        <v>26076.264984207977</v>
      </c>
      <c r="O412" s="462">
        <f>(H412)/M412</f>
        <v>42390.646153998001</v>
      </c>
      <c r="P412" s="633">
        <v>30000</v>
      </c>
      <c r="Q412" s="69">
        <f>(107875/10000)*8.7</f>
        <v>93.851249999999993</v>
      </c>
      <c r="R412" s="69">
        <f>(101442/10000)*8.7</f>
        <v>88.254539999999992</v>
      </c>
      <c r="S412" s="435">
        <f t="shared" si="107"/>
        <v>5.5967100000000016</v>
      </c>
      <c r="T412" s="435">
        <f>S412/8.7*10000/(H412)</f>
        <v>0.22413072259772845</v>
      </c>
      <c r="U412" s="435">
        <f>S412/8.5*10000/(H412)</f>
        <v>0.22940438665885149</v>
      </c>
      <c r="V412" s="436"/>
      <c r="W412" s="437"/>
      <c r="X412" s="33"/>
      <c r="Y412" s="544">
        <v>2.64</v>
      </c>
      <c r="Z412" s="469">
        <f t="shared" si="105"/>
        <v>75773.279999999999</v>
      </c>
      <c r="AA412" s="33"/>
      <c r="AB412" s="438"/>
      <c r="AC412" s="33"/>
    </row>
    <row r="413" spans="1:29" x14ac:dyDescent="0.3">
      <c r="A413" s="146">
        <v>43897.819444444445</v>
      </c>
      <c r="B413" s="439">
        <v>43899.354166666664</v>
      </c>
      <c r="C413" s="23"/>
      <c r="D413" s="23"/>
      <c r="E413" s="35" t="s">
        <v>596</v>
      </c>
      <c r="F413" s="25" t="s">
        <v>212</v>
      </c>
      <c r="G413" s="433"/>
      <c r="H413" s="433">
        <v>41440</v>
      </c>
      <c r="I413" s="433"/>
      <c r="J413" s="26">
        <v>57100</v>
      </c>
      <c r="K413" s="632">
        <f>H413-J413</f>
        <v>-15660</v>
      </c>
      <c r="L413" s="27">
        <f t="shared" si="106"/>
        <v>1.5347222222189885</v>
      </c>
      <c r="M413" s="27">
        <f>[172]LIETTA!$F$71</f>
        <v>1.0173611111082816</v>
      </c>
      <c r="N413" s="434">
        <f>(H413)/L413</f>
        <v>27001.628959332913</v>
      </c>
      <c r="O413" s="462">
        <f>(H413)/M413</f>
        <v>40732.832764618404</v>
      </c>
      <c r="P413" s="633">
        <v>30000</v>
      </c>
      <c r="Q413" s="69">
        <f>(100838/10000)*8.7</f>
        <v>87.72905999999999</v>
      </c>
      <c r="R413" s="69">
        <f>(92292/10000)*8.7</f>
        <v>80.294039999999995</v>
      </c>
      <c r="S413" s="435">
        <f t="shared" si="107"/>
        <v>7.4350199999999944</v>
      </c>
      <c r="T413" s="435">
        <f>S413/8.7*10000/(H413)</f>
        <v>0.20622586872586859</v>
      </c>
      <c r="U413" s="435">
        <f>S413/8.5*10000/(H413)</f>
        <v>0.21107824210765372</v>
      </c>
      <c r="V413" s="436"/>
      <c r="W413" s="437"/>
      <c r="X413" s="33"/>
      <c r="Y413" s="544">
        <v>2.64</v>
      </c>
      <c r="Z413" s="469">
        <f t="shared" si="105"/>
        <v>109401.60000000001</v>
      </c>
      <c r="AA413" s="33"/>
      <c r="AB413" s="438"/>
      <c r="AC413" s="33"/>
    </row>
    <row r="414" spans="1:29" x14ac:dyDescent="0.3">
      <c r="A414" s="146">
        <v>43899.6875</v>
      </c>
      <c r="B414" s="439">
        <v>43901.0625</v>
      </c>
      <c r="C414" s="23"/>
      <c r="D414" s="23"/>
      <c r="E414" s="35" t="s">
        <v>597</v>
      </c>
      <c r="F414" s="25" t="s">
        <v>328</v>
      </c>
      <c r="G414" s="433"/>
      <c r="H414" s="433">
        <v>40554</v>
      </c>
      <c r="I414" s="433"/>
      <c r="J414" s="26">
        <v>66600</v>
      </c>
      <c r="K414" s="632">
        <f>H414-J414</f>
        <v>-26046</v>
      </c>
      <c r="L414" s="27">
        <f t="shared" si="106"/>
        <v>1.375</v>
      </c>
      <c r="M414" s="27">
        <f>'[172]HONG MERIT'!$F$69</f>
        <v>0.9756944444585921</v>
      </c>
      <c r="N414" s="434">
        <f>(H414)/L414</f>
        <v>29493.81818181818</v>
      </c>
      <c r="O414" s="462">
        <f>(H414)/M414</f>
        <v>41564.24199227988</v>
      </c>
      <c r="P414" s="633">
        <v>30000</v>
      </c>
      <c r="Q414" s="69">
        <f>(91515/10000)*8.7</f>
        <v>79.618049999999997</v>
      </c>
      <c r="R414" s="69">
        <f>(83445/10000)*8.7</f>
        <v>72.597149999999999</v>
      </c>
      <c r="S414" s="435">
        <f t="shared" si="107"/>
        <v>7.0208999999999975</v>
      </c>
      <c r="T414" s="435">
        <f>S414/8.7*10000/(H414)</f>
        <v>0.19899393401390733</v>
      </c>
      <c r="U414" s="435">
        <f>S414/8.5*10000/(H414)</f>
        <v>0.20367614422599922</v>
      </c>
      <c r="V414" s="436"/>
      <c r="W414" s="437"/>
      <c r="X414" s="33"/>
      <c r="Y414" s="544">
        <v>2.64</v>
      </c>
      <c r="Z414" s="469">
        <f t="shared" si="105"/>
        <v>107062.56000000001</v>
      </c>
      <c r="AA414" s="33"/>
      <c r="AB414" s="438"/>
      <c r="AC414" s="33"/>
    </row>
    <row r="415" spans="1:29" x14ac:dyDescent="0.3">
      <c r="A415" s="146">
        <v>43903.451388888891</v>
      </c>
      <c r="B415" s="439">
        <v>43905.125</v>
      </c>
      <c r="C415" s="23"/>
      <c r="D415" s="23"/>
      <c r="E415" s="35" t="s">
        <v>598</v>
      </c>
      <c r="F415" s="25" t="s">
        <v>212</v>
      </c>
      <c r="G415" s="433"/>
      <c r="H415" s="433">
        <v>45102</v>
      </c>
      <c r="I415" s="433"/>
      <c r="J415" s="26">
        <v>45100</v>
      </c>
      <c r="K415" s="632">
        <f>H415-J415</f>
        <v>2</v>
      </c>
      <c r="L415" s="27">
        <f t="shared" si="106"/>
        <v>1.6736111111094942</v>
      </c>
      <c r="M415" s="27">
        <f>'[172]DENSA DOLPHIN'!$F$74</f>
        <v>0.90104166666302865</v>
      </c>
      <c r="N415" s="434">
        <f>(H415)/L415</f>
        <v>26948.912863096575</v>
      </c>
      <c r="O415" s="434">
        <f>(H415)/M415</f>
        <v>50055.398844132738</v>
      </c>
      <c r="P415" s="633">
        <v>30000</v>
      </c>
      <c r="Q415" s="69">
        <f>(78533/10000)*8.7</f>
        <v>68.323709999999991</v>
      </c>
      <c r="R415" s="69">
        <f>(69095/10000)*8.7</f>
        <v>60.112650000000002</v>
      </c>
      <c r="S415" s="435">
        <f t="shared" si="107"/>
        <v>8.2110599999999891</v>
      </c>
      <c r="T415" s="435">
        <f>S415/8.7*10000/(H415)</f>
        <v>0.20925901290408383</v>
      </c>
      <c r="U415" s="435">
        <f>S415/8.5*10000/(H415)</f>
        <v>0.21418275438417989</v>
      </c>
      <c r="V415" s="436"/>
      <c r="W415" s="437"/>
      <c r="X415" s="33"/>
      <c r="Y415" s="544">
        <v>2.64</v>
      </c>
      <c r="Z415" s="469">
        <f t="shared" si="105"/>
        <v>119069.28</v>
      </c>
      <c r="AA415" s="33"/>
      <c r="AB415" s="438"/>
      <c r="AC415" s="33"/>
    </row>
    <row r="416" spans="1:29" x14ac:dyDescent="0.3">
      <c r="A416" s="146">
        <v>43906.951388888891</v>
      </c>
      <c r="B416" s="439">
        <v>43909.4375</v>
      </c>
      <c r="C416" s="23"/>
      <c r="D416" s="23"/>
      <c r="E416" s="35" t="s">
        <v>121</v>
      </c>
      <c r="F416" s="25" t="s">
        <v>91</v>
      </c>
      <c r="G416" s="433"/>
      <c r="H416" s="433">
        <f>74209-H417</f>
        <v>67001.983000000007</v>
      </c>
      <c r="I416" s="433"/>
      <c r="J416" s="26">
        <v>165600</v>
      </c>
      <c r="K416" s="632">
        <f>H416+H417-J416</f>
        <v>-91391</v>
      </c>
      <c r="L416" s="27">
        <f t="shared" si="106"/>
        <v>2.4861111111094942</v>
      </c>
      <c r="M416" s="27">
        <f>[172]URJA!$F$100</f>
        <v>1.6423611111155576</v>
      </c>
      <c r="N416" s="434">
        <f>(H416+H417)/L416</f>
        <v>29849.430167617178</v>
      </c>
      <c r="O416" s="434">
        <f>(H416+H417)/M416</f>
        <v>45184.33826626245</v>
      </c>
      <c r="P416" s="633">
        <v>30000</v>
      </c>
      <c r="Q416" s="69">
        <f>(65289/10000)*8.7</f>
        <v>56.801429999999996</v>
      </c>
      <c r="R416" s="69">
        <f>(50812/10000)*8.7</f>
        <v>44.206439999999994</v>
      </c>
      <c r="S416" s="435">
        <f t="shared" si="107"/>
        <v>12.594990000000003</v>
      </c>
      <c r="T416" s="435">
        <f>S416/8.7*10000/(H416+H417)</f>
        <v>0.19508415421310088</v>
      </c>
      <c r="U416" s="435">
        <f>S416/8.5*10000/(H416+H417)</f>
        <v>0.19967436960635032</v>
      </c>
      <c r="V416" s="436"/>
      <c r="W416" s="437"/>
      <c r="X416" s="33"/>
      <c r="Y416" s="544">
        <v>2.64</v>
      </c>
      <c r="Z416" s="469">
        <f t="shared" si="105"/>
        <v>176885.23512000003</v>
      </c>
      <c r="AA416" s="33"/>
      <c r="AB416" s="438"/>
      <c r="AC416" s="33"/>
    </row>
    <row r="417" spans="1:29" x14ac:dyDescent="0.3">
      <c r="A417" s="146"/>
      <c r="B417" s="439"/>
      <c r="C417" s="23"/>
      <c r="D417" s="23"/>
      <c r="E417" s="35" t="s">
        <v>599</v>
      </c>
      <c r="F417" s="25"/>
      <c r="G417" s="433"/>
      <c r="H417" s="433">
        <v>7207.0169999999998</v>
      </c>
      <c r="I417" s="433"/>
      <c r="J417" s="26"/>
      <c r="K417" s="632"/>
      <c r="L417" s="27"/>
      <c r="M417" s="27"/>
      <c r="N417" s="434"/>
      <c r="O417" s="462"/>
      <c r="P417" s="633"/>
      <c r="Q417" s="69"/>
      <c r="R417" s="69"/>
      <c r="S417" s="435"/>
      <c r="T417" s="435"/>
      <c r="U417" s="435"/>
      <c r="V417" s="436"/>
      <c r="W417" s="437"/>
      <c r="X417" s="33"/>
      <c r="Y417" s="544">
        <v>6.5</v>
      </c>
      <c r="Z417" s="469">
        <f t="shared" si="105"/>
        <v>46845.610499999995</v>
      </c>
      <c r="AA417" s="33"/>
      <c r="AB417" s="438"/>
      <c r="AC417" s="33"/>
    </row>
    <row r="418" spans="1:29" x14ac:dyDescent="0.3">
      <c r="A418" s="146">
        <v>43910.736111111109</v>
      </c>
      <c r="B418" s="439">
        <v>43912.354166666664</v>
      </c>
      <c r="C418" s="23"/>
      <c r="D418" s="23"/>
      <c r="E418" s="35" t="s">
        <v>600</v>
      </c>
      <c r="F418" s="25" t="s">
        <v>328</v>
      </c>
      <c r="G418" s="433"/>
      <c r="H418" s="433">
        <v>41146</v>
      </c>
      <c r="I418" s="433"/>
      <c r="J418" s="26">
        <v>72300</v>
      </c>
      <c r="K418" s="632">
        <f>H418-J418</f>
        <v>-31154</v>
      </c>
      <c r="L418" s="27">
        <f>B418-A418</f>
        <v>1.6180555555547471</v>
      </c>
      <c r="M418" s="27">
        <f>'[172]YU LIN HAI'!$F$83</f>
        <v>0.96180555554262048</v>
      </c>
      <c r="N418" s="434">
        <f>(H418)/L418</f>
        <v>25429.287553660775</v>
      </c>
      <c r="O418" s="462">
        <f>(H418)/M418</f>
        <v>42779.956679275696</v>
      </c>
      <c r="P418" s="633">
        <v>30000</v>
      </c>
      <c r="Q418" s="69">
        <f>(165724/10000)*8.7</f>
        <v>144.17987999999997</v>
      </c>
      <c r="R418" s="69">
        <f>(157175/10000)*8.7</f>
        <v>136.74224999999998</v>
      </c>
      <c r="S418" s="435">
        <f>Q418-R418</f>
        <v>7.4376299999999844</v>
      </c>
      <c r="T418" s="435">
        <f>S418/8.7*10000/(H418)</f>
        <v>0.20777232294755221</v>
      </c>
      <c r="U418" s="435">
        <f>S418/8.5*10000/(H418)</f>
        <v>0.2126610834874946</v>
      </c>
      <c r="V418" s="436"/>
      <c r="W418" s="437"/>
      <c r="X418" s="33"/>
      <c r="Y418" s="544">
        <v>2.64</v>
      </c>
      <c r="Z418" s="469">
        <f t="shared" si="105"/>
        <v>108625.44</v>
      </c>
      <c r="AA418" s="33"/>
      <c r="AB418" s="438"/>
      <c r="AC418" s="33"/>
    </row>
    <row r="419" spans="1:29" x14ac:dyDescent="0.3">
      <c r="A419" s="439">
        <v>43912.638888888891</v>
      </c>
      <c r="B419" s="439">
        <v>43913.541666666664</v>
      </c>
      <c r="C419" s="23"/>
      <c r="D419" s="23"/>
      <c r="E419" s="35" t="s">
        <v>601</v>
      </c>
      <c r="F419" s="25" t="s">
        <v>328</v>
      </c>
      <c r="G419" s="433"/>
      <c r="H419" s="433">
        <f>27804-H420</f>
        <v>12806</v>
      </c>
      <c r="I419" s="433"/>
      <c r="J419" s="26">
        <v>65000</v>
      </c>
      <c r="K419" s="632">
        <f>H419+H420-J419</f>
        <v>-37196</v>
      </c>
      <c r="L419" s="27">
        <f>B419-A419</f>
        <v>0.90277777777373558</v>
      </c>
      <c r="M419" s="27">
        <f>'[172]CHANG SHENG'!$F$55</f>
        <v>0.67013888888929307</v>
      </c>
      <c r="N419" s="434">
        <f>(H419+H420)/L419</f>
        <v>30798.276923214824</v>
      </c>
      <c r="O419" s="462">
        <f>(H419+H420)/M419</f>
        <v>41489.906735726268</v>
      </c>
      <c r="P419" s="633">
        <v>30000</v>
      </c>
      <c r="Q419" s="69">
        <f>(156424/10000)*8.7</f>
        <v>136.08887999999999</v>
      </c>
      <c r="R419" s="69">
        <f>(150904/10000)*8.7</f>
        <v>131.28647999999998</v>
      </c>
      <c r="S419" s="435">
        <f>Q419-R419</f>
        <v>4.8024000000000058</v>
      </c>
      <c r="T419" s="435">
        <f>S419/8.7*10000/(H419+H420)</f>
        <v>0.19853258523953415</v>
      </c>
      <c r="U419" s="435">
        <f>S419/8.5*10000/(H419+H420)</f>
        <v>0.20320394018634672</v>
      </c>
      <c r="V419" s="436"/>
      <c r="W419" s="437"/>
      <c r="X419" s="33"/>
      <c r="Y419" s="544">
        <v>2.64</v>
      </c>
      <c r="Z419" s="469">
        <f t="shared" si="105"/>
        <v>33807.840000000004</v>
      </c>
      <c r="AA419" s="33"/>
      <c r="AB419" s="438"/>
      <c r="AC419" s="33"/>
    </row>
    <row r="420" spans="1:29" x14ac:dyDescent="0.3">
      <c r="A420" s="439"/>
      <c r="B420" s="439"/>
      <c r="C420" s="23"/>
      <c r="D420" s="23"/>
      <c r="E420" s="35" t="s">
        <v>602</v>
      </c>
      <c r="F420" s="25"/>
      <c r="G420" s="433"/>
      <c r="H420" s="433">
        <v>14998</v>
      </c>
      <c r="I420" s="433"/>
      <c r="J420" s="26"/>
      <c r="K420" s="632"/>
      <c r="L420" s="27"/>
      <c r="M420" s="27"/>
      <c r="N420" s="434"/>
      <c r="O420" s="462"/>
      <c r="P420" s="633"/>
      <c r="Q420" s="69"/>
      <c r="R420" s="69"/>
      <c r="S420" s="435"/>
      <c r="T420" s="435"/>
      <c r="U420" s="435"/>
      <c r="V420" s="436"/>
      <c r="W420" s="437"/>
      <c r="X420" s="33"/>
      <c r="Y420" s="544">
        <v>2.64</v>
      </c>
      <c r="Z420" s="469">
        <f t="shared" si="105"/>
        <v>39594.720000000001</v>
      </c>
      <c r="AA420" s="33"/>
      <c r="AB420" s="438"/>
      <c r="AC420" s="33"/>
    </row>
    <row r="421" spans="1:29" x14ac:dyDescent="0.3">
      <c r="A421" s="439">
        <v>43914.993055555555</v>
      </c>
      <c r="B421" s="439">
        <v>43915.868055555555</v>
      </c>
      <c r="C421" s="23"/>
      <c r="D421" s="23"/>
      <c r="E421" s="35" t="s">
        <v>331</v>
      </c>
      <c r="F421" s="25" t="s">
        <v>328</v>
      </c>
      <c r="G421" s="433"/>
      <c r="H421" s="433">
        <v>30350</v>
      </c>
      <c r="I421" s="433"/>
      <c r="J421" s="26">
        <v>76970</v>
      </c>
      <c r="K421" s="632">
        <f>H421-J421</f>
        <v>-46620</v>
      </c>
      <c r="L421" s="27">
        <f>B421-A421</f>
        <v>0.875</v>
      </c>
      <c r="M421" s="27">
        <f>'[172]NENG YUAN'!$F$46</f>
        <v>0.66145833333939663</v>
      </c>
      <c r="N421" s="434">
        <f>(H421)/L421</f>
        <v>34685.714285714283</v>
      </c>
      <c r="O421" s="434">
        <f>(H421)/M421</f>
        <v>45883.464566508541</v>
      </c>
      <c r="P421" s="633">
        <v>30000</v>
      </c>
      <c r="Q421" s="69">
        <f>(148049/10000)*8.7</f>
        <v>128.80262999999999</v>
      </c>
      <c r="R421" s="69">
        <f>(142549/10000)*8.7</f>
        <v>124.01762999999998</v>
      </c>
      <c r="S421" s="435">
        <f>Q421-R421</f>
        <v>4.7850000000000108</v>
      </c>
      <c r="T421" s="435">
        <f>S421/8.7*10000/(H421)</f>
        <v>0.18121911037891311</v>
      </c>
      <c r="U421" s="435">
        <f>S421/8.5*10000/(H421)</f>
        <v>0.18548308944665221</v>
      </c>
      <c r="V421" s="436"/>
      <c r="W421" s="437"/>
      <c r="X421" s="33"/>
      <c r="Y421" s="544">
        <v>2.64</v>
      </c>
      <c r="Z421" s="469">
        <f t="shared" si="105"/>
        <v>80124</v>
      </c>
      <c r="AA421" s="33"/>
      <c r="AB421" s="438"/>
      <c r="AC421" s="33"/>
    </row>
    <row r="422" spans="1:29" x14ac:dyDescent="0.3">
      <c r="A422" s="439">
        <v>43916.798611111109</v>
      </c>
      <c r="B422" s="439">
        <v>43917.895833333336</v>
      </c>
      <c r="C422" s="23"/>
      <c r="D422" s="23"/>
      <c r="E422" s="35" t="s">
        <v>324</v>
      </c>
      <c r="F422" s="25" t="s">
        <v>32</v>
      </c>
      <c r="G422" s="433"/>
      <c r="H422" s="433">
        <v>28430</v>
      </c>
      <c r="I422" s="433"/>
      <c r="J422" s="26">
        <v>66000</v>
      </c>
      <c r="K422" s="632">
        <f>H422-J422</f>
        <v>-37570</v>
      </c>
      <c r="L422" s="27">
        <f>B422-A422</f>
        <v>1.0972222222262644</v>
      </c>
      <c r="M422" s="27">
        <f>'[172]SHI DAI 8'!$F$60</f>
        <v>0.67013888887474116</v>
      </c>
      <c r="N422" s="434">
        <f>(H422)/L422</f>
        <v>25910.886075853912</v>
      </c>
      <c r="O422" s="462">
        <f>(H422)/M422</f>
        <v>42424.041451672842</v>
      </c>
      <c r="P422" s="633">
        <v>30000</v>
      </c>
      <c r="Q422" s="69">
        <f>(140670/10000)*8.7</f>
        <v>122.38289999999999</v>
      </c>
      <c r="R422" s="69">
        <f>(134910/10000)*8.7</f>
        <v>117.37169999999999</v>
      </c>
      <c r="S422" s="435">
        <f>Q422-R422</f>
        <v>5.0112000000000023</v>
      </c>
      <c r="T422" s="435">
        <f>S422/8.7*10000/(H422)</f>
        <v>0.2026028842771721</v>
      </c>
      <c r="U422" s="435">
        <f>S422/8.5*10000/(H422)</f>
        <v>0.20737001096604671</v>
      </c>
      <c r="V422" s="436"/>
      <c r="W422" s="437"/>
      <c r="X422" s="33"/>
      <c r="Y422" s="544">
        <v>2.64</v>
      </c>
      <c r="Z422" s="469">
        <f t="shared" si="105"/>
        <v>75055.199999999997</v>
      </c>
      <c r="AA422" s="33"/>
      <c r="AB422" s="438"/>
      <c r="AC422" s="33"/>
    </row>
    <row r="423" spans="1:29" x14ac:dyDescent="0.3">
      <c r="A423" s="439">
        <v>43920.048611111109</v>
      </c>
      <c r="B423" s="439">
        <v>43920.868055555555</v>
      </c>
      <c r="C423" s="23"/>
      <c r="D423" s="23"/>
      <c r="E423" s="35" t="s">
        <v>385</v>
      </c>
      <c r="F423" s="25" t="s">
        <v>32</v>
      </c>
      <c r="G423" s="433"/>
      <c r="H423" s="433">
        <v>29710</v>
      </c>
      <c r="I423" s="433"/>
      <c r="J423" s="26">
        <v>71000</v>
      </c>
      <c r="K423" s="632">
        <f>H423-J423</f>
        <v>-41290</v>
      </c>
      <c r="L423" s="27">
        <f>B423-A423</f>
        <v>0.81944444444525288</v>
      </c>
      <c r="M423" s="27">
        <f>'[172]ASIAN MAJESTY'!$F$50</f>
        <v>0.6562500000169772</v>
      </c>
      <c r="N423" s="434">
        <f>(H423)/L423</f>
        <v>36256.271186404905</v>
      </c>
      <c r="O423" s="434">
        <f>(H423)/M423</f>
        <v>45272.380951209758</v>
      </c>
      <c r="P423" s="633">
        <v>30000</v>
      </c>
      <c r="Q423" s="69">
        <f>(131080/10000)*8.7</f>
        <v>114.03959999999999</v>
      </c>
      <c r="R423" s="69">
        <f>(126207/10000)*8.7</f>
        <v>109.80008999999998</v>
      </c>
      <c r="S423" s="435">
        <f>Q423-R423</f>
        <v>4.2395100000000099</v>
      </c>
      <c r="T423" s="435">
        <f>S423/8.7*10000/(H423)</f>
        <v>0.16401884887243393</v>
      </c>
      <c r="U423" s="435">
        <f>S423/8.5*10000/(H423)</f>
        <v>0.16787811590472645</v>
      </c>
      <c r="V423" s="436"/>
      <c r="W423" s="437"/>
      <c r="X423" s="33"/>
      <c r="Y423" s="544">
        <v>2.64</v>
      </c>
      <c r="Z423" s="469">
        <f t="shared" si="105"/>
        <v>78434.400000000009</v>
      </c>
      <c r="AA423" s="33"/>
      <c r="AB423" s="438"/>
      <c r="AC423" s="33"/>
    </row>
    <row r="424" spans="1:29" x14ac:dyDescent="0.3">
      <c r="A424" s="439"/>
      <c r="B424" s="439"/>
      <c r="C424" s="23"/>
      <c r="D424" s="23"/>
      <c r="E424" s="35"/>
      <c r="F424" s="25"/>
      <c r="G424" s="433"/>
      <c r="H424" s="433"/>
      <c r="I424" s="433"/>
      <c r="J424" s="26"/>
      <c r="K424" s="27"/>
      <c r="L424" s="27"/>
      <c r="M424" s="434"/>
      <c r="N424" s="434"/>
      <c r="O424" s="434"/>
      <c r="P424" s="69"/>
      <c r="Q424" s="69"/>
      <c r="R424" s="69"/>
      <c r="S424" s="435"/>
      <c r="T424" s="435"/>
      <c r="U424" s="435"/>
      <c r="V424" s="436"/>
      <c r="W424" s="437"/>
      <c r="X424" s="33"/>
      <c r="Y424" s="33"/>
      <c r="Z424" s="33"/>
      <c r="AA424" s="33"/>
      <c r="AB424" s="438"/>
      <c r="AC424" s="33"/>
    </row>
    <row r="425" spans="1:29" x14ac:dyDescent="0.3">
      <c r="A425" s="20"/>
      <c r="B425" s="20"/>
      <c r="C425" s="20">
        <v>1000000001</v>
      </c>
      <c r="D425" s="20"/>
      <c r="E425" s="21" t="s">
        <v>42</v>
      </c>
      <c r="F425" s="21"/>
      <c r="G425" s="431">
        <f>SUM(G407:G424)</f>
        <v>0</v>
      </c>
      <c r="H425" s="431">
        <f>SUM(H408:H423)</f>
        <v>478488</v>
      </c>
      <c r="I425" s="431"/>
      <c r="J425" s="431"/>
      <c r="K425" s="431"/>
      <c r="L425" s="431"/>
      <c r="M425" s="431"/>
      <c r="N425" s="431"/>
      <c r="O425" s="431"/>
      <c r="P425" s="431"/>
      <c r="Q425" s="431"/>
      <c r="R425" s="440"/>
      <c r="S425" s="441">
        <f>SUM(S407:S424)</f>
        <v>82.150619999999975</v>
      </c>
      <c r="T425" s="440"/>
      <c r="U425" s="440"/>
      <c r="V425" s="442"/>
      <c r="W425" s="22"/>
      <c r="X425" s="22"/>
      <c r="Y425" s="432"/>
      <c r="Z425" s="432">
        <f>SUM(Z407:Z424)</f>
        <v>1347772.8178599998</v>
      </c>
      <c r="AA425" s="432"/>
      <c r="AB425" s="432"/>
      <c r="AC425" s="432"/>
    </row>
    <row r="426" spans="1:29" x14ac:dyDescent="0.3">
      <c r="A426" s="146"/>
      <c r="B426" s="146"/>
      <c r="C426" s="23"/>
      <c r="D426" s="14"/>
      <c r="E426" s="35"/>
      <c r="F426" s="25"/>
      <c r="G426" s="433"/>
      <c r="H426" s="433"/>
      <c r="I426" s="433"/>
      <c r="J426" s="26"/>
      <c r="K426" s="27"/>
      <c r="L426" s="27"/>
      <c r="M426" s="434"/>
      <c r="N426" s="434"/>
      <c r="O426" s="434"/>
      <c r="P426" s="69"/>
      <c r="Q426" s="69"/>
      <c r="R426" s="69"/>
      <c r="S426" s="435"/>
      <c r="T426" s="435"/>
      <c r="U426" s="435"/>
      <c r="V426" s="436"/>
      <c r="W426" s="437"/>
      <c r="X426" s="33"/>
      <c r="Y426" s="33"/>
      <c r="Z426" s="33"/>
      <c r="AA426" s="33"/>
      <c r="AB426" s="438"/>
      <c r="AC426" s="33"/>
    </row>
    <row r="427" spans="1:29" x14ac:dyDescent="0.3">
      <c r="A427" s="439">
        <v>43921.871527777781</v>
      </c>
      <c r="B427" s="439">
        <v>43922.965277777781</v>
      </c>
      <c r="C427" s="23"/>
      <c r="D427" s="14"/>
      <c r="E427" s="35" t="s">
        <v>603</v>
      </c>
      <c r="F427" s="36" t="s">
        <v>328</v>
      </c>
      <c r="G427" s="433"/>
      <c r="H427" s="433">
        <v>37915</v>
      </c>
      <c r="I427" s="433"/>
      <c r="J427" s="26">
        <v>77000</v>
      </c>
      <c r="K427" s="632">
        <f>H427-J427</f>
        <v>-39085</v>
      </c>
      <c r="L427" s="27">
        <f>B427-A427</f>
        <v>1.09375</v>
      </c>
      <c r="M427" s="27">
        <f>'[173]POS LOGISTICS 2'!$F$62</f>
        <v>0.77604166668121854</v>
      </c>
      <c r="N427" s="434">
        <f>(H427)/L427</f>
        <v>34665.142857142855</v>
      </c>
      <c r="O427" s="434">
        <f>(H427)/M427</f>
        <v>48856.912750761716</v>
      </c>
      <c r="P427" s="633">
        <v>30000</v>
      </c>
      <c r="Q427" s="69">
        <f>(124208/10000)*8.7</f>
        <v>108.06095999999999</v>
      </c>
      <c r="R427" s="69">
        <f>(117488/10000)*8.7</f>
        <v>102.21455999999999</v>
      </c>
      <c r="S427" s="435">
        <f>Q427-R427</f>
        <v>5.8464000000000027</v>
      </c>
      <c r="T427" s="435">
        <f>S427/8.7*10000/(H427)</f>
        <v>0.17723855993670062</v>
      </c>
      <c r="U427" s="435">
        <f>S427/8.5*10000/(H427)</f>
        <v>0.18140887899403474</v>
      </c>
      <c r="V427" s="436"/>
      <c r="W427" s="32"/>
      <c r="X427" s="33"/>
      <c r="Y427" s="544">
        <v>2.64</v>
      </c>
      <c r="Z427" s="469">
        <f t="shared" ref="Z427:Z446" si="108">H427*Y427</f>
        <v>100095.6</v>
      </c>
      <c r="AA427" s="33"/>
      <c r="AB427" s="438"/>
      <c r="AC427" s="33"/>
    </row>
    <row r="428" spans="1:29" x14ac:dyDescent="0.3">
      <c r="A428" s="439">
        <v>43924.9375</v>
      </c>
      <c r="B428" s="439">
        <v>43926.347222222219</v>
      </c>
      <c r="C428" s="23"/>
      <c r="D428" s="14"/>
      <c r="E428" s="35" t="s">
        <v>206</v>
      </c>
      <c r="F428" s="36" t="s">
        <v>328</v>
      </c>
      <c r="G428" s="433"/>
      <c r="H428" s="433">
        <v>46766</v>
      </c>
      <c r="I428" s="433"/>
      <c r="J428" s="26">
        <v>63000</v>
      </c>
      <c r="K428" s="632">
        <f>H428-J428</f>
        <v>-16234</v>
      </c>
      <c r="L428" s="27">
        <f>B428-A428</f>
        <v>1.4097222222189885</v>
      </c>
      <c r="M428" s="27">
        <f>'[173]BEST TRADER'!$F$80</f>
        <v>0.9774305555389825</v>
      </c>
      <c r="N428" s="434">
        <f>(H428)/L428</f>
        <v>33173.91133012536</v>
      </c>
      <c r="O428" s="434">
        <f>(H428)/M428</f>
        <v>47845.854352498653</v>
      </c>
      <c r="P428" s="633">
        <v>30000</v>
      </c>
      <c r="Q428" s="69">
        <f>(113763/10000)*8.7</f>
        <v>98.97381</v>
      </c>
      <c r="R428" s="69">
        <f>(105277/10000)*8.7</f>
        <v>91.590989999999991</v>
      </c>
      <c r="S428" s="435">
        <f>Q428-R428</f>
        <v>7.3828200000000095</v>
      </c>
      <c r="T428" s="435">
        <f>S428/8.7*10000/(H428)</f>
        <v>0.18145661377924155</v>
      </c>
      <c r="U428" s="435">
        <f>S428/8.5*10000/(H428)</f>
        <v>0.18572618116228254</v>
      </c>
      <c r="V428" s="31"/>
      <c r="W428" s="32"/>
      <c r="X428" s="33"/>
      <c r="Y428" s="544">
        <v>2.64</v>
      </c>
      <c r="Z428" s="469">
        <f t="shared" si="108"/>
        <v>123462.24</v>
      </c>
      <c r="AA428" s="33"/>
      <c r="AB428" s="438"/>
      <c r="AC428" s="33"/>
    </row>
    <row r="429" spans="1:29" x14ac:dyDescent="0.3">
      <c r="A429" s="146">
        <v>43927.84375</v>
      </c>
      <c r="B429" s="439">
        <v>43929.086805555555</v>
      </c>
      <c r="C429" s="23"/>
      <c r="D429" s="23"/>
      <c r="E429" s="35" t="s">
        <v>109</v>
      </c>
      <c r="F429" s="25" t="s">
        <v>328</v>
      </c>
      <c r="G429" s="433"/>
      <c r="H429" s="433">
        <v>45564</v>
      </c>
      <c r="I429" s="433"/>
      <c r="J429" s="26">
        <v>67400</v>
      </c>
      <c r="K429" s="632">
        <f>H429-J429</f>
        <v>-21836</v>
      </c>
      <c r="L429" s="27">
        <f>B429-A429</f>
        <v>1.2430555555547471</v>
      </c>
      <c r="M429" s="27">
        <f>'[173]YUE DIAN 81'!$F$70</f>
        <v>0.94097222222505172</v>
      </c>
      <c r="N429" s="434">
        <f>(H429)/L429</f>
        <v>36654.837988850653</v>
      </c>
      <c r="O429" s="434">
        <f>(H429)/M429</f>
        <v>48422.258302437418</v>
      </c>
      <c r="P429" s="633">
        <v>30000</v>
      </c>
      <c r="Q429" s="69">
        <f>(102461/10000)*8.7</f>
        <v>89.141069999999999</v>
      </c>
      <c r="R429" s="69">
        <f>(94948/10000)*8.7</f>
        <v>82.604759999999985</v>
      </c>
      <c r="S429" s="435">
        <f>Q429-R429</f>
        <v>6.5363100000000145</v>
      </c>
      <c r="T429" s="435">
        <f>S429/8.7*10000/(H429)</f>
        <v>0.16488894741462595</v>
      </c>
      <c r="U429" s="435">
        <f>S429/8.5*10000/(H429)</f>
        <v>0.16876868735379361</v>
      </c>
      <c r="V429" s="436"/>
      <c r="W429" s="437"/>
      <c r="X429" s="33"/>
      <c r="Y429" s="544">
        <v>2.64</v>
      </c>
      <c r="Z429" s="469">
        <f t="shared" si="108"/>
        <v>120288.96000000001</v>
      </c>
      <c r="AA429" s="33"/>
      <c r="AB429" s="438"/>
      <c r="AC429" s="33"/>
    </row>
    <row r="430" spans="1:29" x14ac:dyDescent="0.3">
      <c r="A430" s="146">
        <v>43929.541666666664</v>
      </c>
      <c r="B430" s="439">
        <v>43930.333333333336</v>
      </c>
      <c r="C430" s="23"/>
      <c r="D430" s="23"/>
      <c r="E430" s="35" t="s">
        <v>225</v>
      </c>
      <c r="F430" s="25" t="s">
        <v>328</v>
      </c>
      <c r="G430" s="433"/>
      <c r="H430" s="433">
        <v>25244</v>
      </c>
      <c r="I430" s="433"/>
      <c r="J430" s="26">
        <v>66000</v>
      </c>
      <c r="K430" s="632">
        <f>H430-J430</f>
        <v>-40756</v>
      </c>
      <c r="L430" s="27">
        <f>B430-A430</f>
        <v>0.79166666667151731</v>
      </c>
      <c r="M430" s="27">
        <f>'[173]YI HUI'!$F$48</f>
        <v>0.61979166667758057</v>
      </c>
      <c r="N430" s="434">
        <f>(H430)/L430</f>
        <v>31887.157894541466</v>
      </c>
      <c r="O430" s="462">
        <f>(H430)/M430</f>
        <v>40729.815125333211</v>
      </c>
      <c r="P430" s="633">
        <v>30000</v>
      </c>
      <c r="Q430" s="69">
        <f>(93978/10000)*8.7</f>
        <v>81.760859999999994</v>
      </c>
      <c r="R430" s="69">
        <f>(89083/10000)*8.7</f>
        <v>77.502210000000005</v>
      </c>
      <c r="S430" s="435">
        <f>Q430-R430</f>
        <v>4.2586499999999887</v>
      </c>
      <c r="T430" s="435">
        <f>S430/8.7*10000/(H430)</f>
        <v>0.19390746315956217</v>
      </c>
      <c r="U430" s="435">
        <f>S430/8.5*10000/(H430)</f>
        <v>0.19846999170449303</v>
      </c>
      <c r="V430" s="436"/>
      <c r="W430" s="437"/>
      <c r="X430" s="33"/>
      <c r="Y430" s="544">
        <v>2.64</v>
      </c>
      <c r="Z430" s="469">
        <f t="shared" si="108"/>
        <v>66644.160000000003</v>
      </c>
      <c r="AA430" s="33"/>
      <c r="AB430" s="438"/>
      <c r="AC430" s="33"/>
    </row>
    <row r="431" spans="1:29" x14ac:dyDescent="0.3">
      <c r="A431" s="439">
        <v>43933.854166666664</v>
      </c>
      <c r="B431" s="439">
        <v>43934.854166666664</v>
      </c>
      <c r="C431" s="23"/>
      <c r="D431" s="23"/>
      <c r="E431" s="35" t="s">
        <v>41</v>
      </c>
      <c r="F431" s="36" t="s">
        <v>32</v>
      </c>
      <c r="G431" s="433">
        <v>21023</v>
      </c>
      <c r="H431" s="433">
        <f>35047-H432</f>
        <v>30276.364000000001</v>
      </c>
      <c r="I431" s="433"/>
      <c r="J431" s="433">
        <v>86650</v>
      </c>
      <c r="K431" s="632">
        <f>H431+H432-J431</f>
        <v>-51603</v>
      </c>
      <c r="L431" s="27">
        <f>B431-A431</f>
        <v>1</v>
      </c>
      <c r="M431" s="27">
        <f>'[173]TAIPOWER PROSPERITY II'!$F$57</f>
        <v>0.71701388888929307</v>
      </c>
      <c r="N431" s="434">
        <f>(H431+H432)/L431</f>
        <v>35047</v>
      </c>
      <c r="O431" s="434">
        <f>(H431+H432)/M431</f>
        <v>48879.108958810219</v>
      </c>
      <c r="P431" s="633">
        <v>30000</v>
      </c>
      <c r="Q431" s="69">
        <f>(82437/10000)*8.7</f>
        <v>71.720190000000002</v>
      </c>
      <c r="R431" s="69">
        <f>(76151/10000)*8.7</f>
        <v>66.251369999999994</v>
      </c>
      <c r="S431" s="435">
        <f>Q431-R431</f>
        <v>5.468820000000008</v>
      </c>
      <c r="T431" s="435">
        <f>S431/8.7*10000/(H431+H432)</f>
        <v>0.17935914628926897</v>
      </c>
      <c r="U431" s="435">
        <f>S431/8.5*10000/(H431+H432)</f>
        <v>0.18357936149607529</v>
      </c>
      <c r="V431" s="436"/>
      <c r="W431" s="437"/>
      <c r="X431" s="33"/>
      <c r="Y431" s="544">
        <v>2.64</v>
      </c>
      <c r="Z431" s="469">
        <f t="shared" si="108"/>
        <v>79929.600960000011</v>
      </c>
      <c r="AA431" s="33"/>
      <c r="AB431" s="438"/>
      <c r="AC431" s="33"/>
    </row>
    <row r="432" spans="1:29" x14ac:dyDescent="0.3">
      <c r="A432" s="146"/>
      <c r="B432" s="439"/>
      <c r="C432" s="23"/>
      <c r="D432" s="23"/>
      <c r="E432" s="35" t="s">
        <v>371</v>
      </c>
      <c r="F432" s="25"/>
      <c r="G432" s="433"/>
      <c r="H432" s="433">
        <v>4770.6360000000004</v>
      </c>
      <c r="I432" s="433"/>
      <c r="J432" s="26"/>
      <c r="K432" s="632"/>
      <c r="L432" s="27"/>
      <c r="M432" s="27"/>
      <c r="N432" s="434"/>
      <c r="O432" s="462"/>
      <c r="P432" s="633"/>
      <c r="Q432" s="69"/>
      <c r="R432" s="69"/>
      <c r="S432" s="435"/>
      <c r="T432" s="435"/>
      <c r="U432" s="435"/>
      <c r="V432" s="436"/>
      <c r="W432" s="437"/>
      <c r="X432" s="33"/>
      <c r="Y432" s="544">
        <v>6.5</v>
      </c>
      <c r="Z432" s="469">
        <f t="shared" si="108"/>
        <v>31009.134000000002</v>
      </c>
      <c r="AA432" s="33"/>
      <c r="AB432" s="438"/>
      <c r="AC432" s="33"/>
    </row>
    <row r="433" spans="1:29" x14ac:dyDescent="0.3">
      <c r="A433" s="439">
        <v>43935.78125</v>
      </c>
      <c r="B433" s="439">
        <v>43936.381944444445</v>
      </c>
      <c r="C433" s="23"/>
      <c r="D433" s="23"/>
      <c r="E433" s="35" t="s">
        <v>604</v>
      </c>
      <c r="F433" s="25" t="s">
        <v>328</v>
      </c>
      <c r="G433" s="433"/>
      <c r="H433" s="433">
        <f>22218-H434</f>
        <v>14741.807000000001</v>
      </c>
      <c r="I433" s="433"/>
      <c r="J433" s="26">
        <v>79900</v>
      </c>
      <c r="K433" s="632">
        <f>H433+H434-J433</f>
        <v>-57682</v>
      </c>
      <c r="L433" s="27">
        <f>B433-A433</f>
        <v>0.60069444444525288</v>
      </c>
      <c r="M433" s="27">
        <f>'[173]OCEAN SAGA'!$F$44</f>
        <v>0.48090277779192547</v>
      </c>
      <c r="N433" s="434">
        <f>(H433+H434)/L433</f>
        <v>36987.190751395305</v>
      </c>
      <c r="O433" s="434">
        <f>(H433+H434)/M433</f>
        <v>46200.606496835768</v>
      </c>
      <c r="P433" s="633">
        <v>30000</v>
      </c>
      <c r="Q433" s="69">
        <f>(74245/10000)*8.7</f>
        <v>64.593149999999994</v>
      </c>
      <c r="R433" s="69">
        <f>(70179/10000)*8.7</f>
        <v>61.055729999999997</v>
      </c>
      <c r="S433" s="435">
        <f>Q433-R433</f>
        <v>3.5374199999999973</v>
      </c>
      <c r="T433" s="435">
        <f>S433/8.7*10000/(H433+H434)</f>
        <v>0.1830047709064721</v>
      </c>
      <c r="U433" s="435">
        <f>S433/8.5*10000/(H433+H434)</f>
        <v>0.18731076551603612</v>
      </c>
      <c r="V433" s="436"/>
      <c r="W433" s="437"/>
      <c r="X433" s="33"/>
      <c r="Y433" s="544">
        <v>2.64</v>
      </c>
      <c r="Z433" s="469">
        <f t="shared" si="108"/>
        <v>38918.370480000005</v>
      </c>
      <c r="AA433" s="33"/>
      <c r="AB433" s="438"/>
      <c r="AC433" s="33"/>
    </row>
    <row r="434" spans="1:29" x14ac:dyDescent="0.3">
      <c r="A434" s="146"/>
      <c r="B434" s="439"/>
      <c r="C434" s="23"/>
      <c r="D434" s="23"/>
      <c r="E434" s="35" t="s">
        <v>605</v>
      </c>
      <c r="F434" s="25"/>
      <c r="G434" s="433"/>
      <c r="H434" s="433">
        <v>7476.1930000000002</v>
      </c>
      <c r="I434" s="433"/>
      <c r="J434" s="26"/>
      <c r="K434" s="632"/>
      <c r="L434" s="27"/>
      <c r="M434" s="27"/>
      <c r="N434" s="434"/>
      <c r="O434" s="462"/>
      <c r="P434" s="633"/>
      <c r="Q434" s="69"/>
      <c r="R434" s="69"/>
      <c r="S434" s="435"/>
      <c r="T434" s="435"/>
      <c r="U434" s="435"/>
      <c r="V434" s="436"/>
      <c r="W434" s="437"/>
      <c r="X434" s="33"/>
      <c r="Y434" s="544">
        <v>6.5</v>
      </c>
      <c r="Z434" s="469">
        <f t="shared" si="108"/>
        <v>48595.254500000003</v>
      </c>
      <c r="AA434" s="33"/>
      <c r="AB434" s="438"/>
      <c r="AC434" s="33"/>
    </row>
    <row r="435" spans="1:29" x14ac:dyDescent="0.3">
      <c r="A435" s="439">
        <v>43936.645833333336</v>
      </c>
      <c r="B435" s="439">
        <v>43937.6875</v>
      </c>
      <c r="C435" s="23"/>
      <c r="D435" s="23"/>
      <c r="E435" s="35" t="s">
        <v>606</v>
      </c>
      <c r="F435" s="25" t="s">
        <v>328</v>
      </c>
      <c r="G435" s="433"/>
      <c r="H435" s="433">
        <v>30582</v>
      </c>
      <c r="I435" s="433"/>
      <c r="J435" s="26">
        <v>61250</v>
      </c>
      <c r="K435" s="632">
        <f>H435-J435</f>
        <v>-30668</v>
      </c>
      <c r="L435" s="27">
        <f>B435-A435</f>
        <v>1.0416666666642413</v>
      </c>
      <c r="M435" s="27">
        <f>'[173]FALCON TRIDENT'!$F$62</f>
        <v>0.66319444445495412</v>
      </c>
      <c r="N435" s="434">
        <f>(H435)/L435</f>
        <v>29358.720000068355</v>
      </c>
      <c r="O435" s="434">
        <f>(H435)/M435</f>
        <v>46113.172774138351</v>
      </c>
      <c r="P435" s="633">
        <v>30000</v>
      </c>
      <c r="Q435" s="69">
        <f>(69621/10000)*8.7</f>
        <v>60.570270000000001</v>
      </c>
      <c r="R435" s="69">
        <f>(63189/10000)*8.7</f>
        <v>54.974429999999998</v>
      </c>
      <c r="S435" s="435">
        <f>Q435-R435</f>
        <v>5.5958400000000026</v>
      </c>
      <c r="T435" s="435">
        <f>S435/8.7*10000/(H435)</f>
        <v>0.21031979595840702</v>
      </c>
      <c r="U435" s="435">
        <f>S435/8.5*10000/(H435)</f>
        <v>0.21526849703978129</v>
      </c>
      <c r="V435" s="436"/>
      <c r="W435" s="437"/>
      <c r="X435" s="33"/>
      <c r="Y435" s="544">
        <v>2.64</v>
      </c>
      <c r="Z435" s="469">
        <f t="shared" si="108"/>
        <v>80736.48000000001</v>
      </c>
      <c r="AA435" s="33"/>
      <c r="AB435" s="438"/>
      <c r="AC435" s="33"/>
    </row>
    <row r="436" spans="1:29" x14ac:dyDescent="0.3">
      <c r="A436" s="439">
        <v>43937.923611111109</v>
      </c>
      <c r="B436" s="439">
        <v>43938.875</v>
      </c>
      <c r="C436" s="23"/>
      <c r="D436" s="23"/>
      <c r="E436" s="35" t="s">
        <v>607</v>
      </c>
      <c r="F436" s="25" t="s">
        <v>328</v>
      </c>
      <c r="G436" s="433"/>
      <c r="H436" s="433">
        <f>33576-H437</f>
        <v>25566</v>
      </c>
      <c r="I436" s="433"/>
      <c r="J436" s="26">
        <v>70700</v>
      </c>
      <c r="K436" s="632">
        <f>H436+H437-J436</f>
        <v>-37124</v>
      </c>
      <c r="L436" s="27">
        <f>B436-A436</f>
        <v>0.95138888889050577</v>
      </c>
      <c r="M436" s="27">
        <f>[173]ELDORA!$F$59</f>
        <v>0.69097222221413779</v>
      </c>
      <c r="N436" s="434">
        <f>(H436+H437)/L436</f>
        <v>35291.562043735641</v>
      </c>
      <c r="O436" s="434">
        <f>(H436+H437)/M436</f>
        <v>48592.402010618789</v>
      </c>
      <c r="P436" s="633">
        <v>30000</v>
      </c>
      <c r="Q436" s="69">
        <f>(62651/10000)*8.7</f>
        <v>54.506369999999997</v>
      </c>
      <c r="R436" s="69">
        <f>(57068/10000)*8.7</f>
        <v>49.649160000000002</v>
      </c>
      <c r="S436" s="435">
        <f>Q436-R436</f>
        <v>4.8572099999999949</v>
      </c>
      <c r="T436" s="435">
        <f>S436/8.7*10000/(H436+H437)</f>
        <v>0.16627948534667603</v>
      </c>
      <c r="U436" s="435">
        <f>S436/8.5*10000/(H436+H437)</f>
        <v>0.17019194382542133</v>
      </c>
      <c r="V436" s="436"/>
      <c r="W436" s="437"/>
      <c r="X436" s="33"/>
      <c r="Y436" s="544">
        <v>2.64</v>
      </c>
      <c r="Z436" s="469">
        <f t="shared" si="108"/>
        <v>67494.240000000005</v>
      </c>
      <c r="AA436" s="33"/>
      <c r="AB436" s="438"/>
      <c r="AC436" s="33"/>
    </row>
    <row r="437" spans="1:29" x14ac:dyDescent="0.3">
      <c r="A437" s="146"/>
      <c r="B437" s="439"/>
      <c r="C437" s="23"/>
      <c r="D437" s="23"/>
      <c r="E437" s="35" t="s">
        <v>608</v>
      </c>
      <c r="F437" s="25"/>
      <c r="G437" s="433"/>
      <c r="H437" s="433">
        <v>8010</v>
      </c>
      <c r="I437" s="433"/>
      <c r="J437" s="26"/>
      <c r="K437" s="632"/>
      <c r="L437" s="27"/>
      <c r="M437" s="27"/>
      <c r="N437" s="434"/>
      <c r="O437" s="462"/>
      <c r="P437" s="633"/>
      <c r="Q437" s="69"/>
      <c r="R437" s="69"/>
      <c r="S437" s="435"/>
      <c r="T437" s="435"/>
      <c r="U437" s="435"/>
      <c r="V437" s="436"/>
      <c r="W437" s="437"/>
      <c r="X437" s="33"/>
      <c r="Y437" s="544">
        <v>6.5</v>
      </c>
      <c r="Z437" s="469">
        <f t="shared" si="108"/>
        <v>52065</v>
      </c>
      <c r="AA437" s="33"/>
      <c r="AB437" s="438"/>
      <c r="AC437" s="33"/>
    </row>
    <row r="438" spans="1:29" x14ac:dyDescent="0.3">
      <c r="A438" s="146">
        <v>43939.947916666664</v>
      </c>
      <c r="B438" s="146">
        <v>43940.798611111109</v>
      </c>
      <c r="C438" s="23"/>
      <c r="D438" s="23"/>
      <c r="E438" s="35" t="s">
        <v>609</v>
      </c>
      <c r="F438" s="25" t="s">
        <v>328</v>
      </c>
      <c r="G438" s="433"/>
      <c r="H438" s="433">
        <v>22544</v>
      </c>
      <c r="I438" s="433"/>
      <c r="J438" s="26">
        <v>77000</v>
      </c>
      <c r="K438" s="632">
        <f>H438-J438</f>
        <v>-54456</v>
      </c>
      <c r="L438" s="27">
        <f>B438-A438</f>
        <v>0.85069444444525288</v>
      </c>
      <c r="M438" s="27">
        <f>'[173]ZHEN BANG'!$F$49</f>
        <v>0.48784722221898846</v>
      </c>
      <c r="N438" s="434">
        <f>(H438)/L438</f>
        <v>26500.70204079114</v>
      </c>
      <c r="O438" s="434">
        <f>(H438)/M438</f>
        <v>46211.18861240596</v>
      </c>
      <c r="P438" s="633">
        <v>30000</v>
      </c>
      <c r="Q438" s="69">
        <f>(172721/10000)*8.7</f>
        <v>150.26726999999997</v>
      </c>
      <c r="R438" s="69">
        <f>(168109/10000)*8.7</f>
        <v>146.25483</v>
      </c>
      <c r="S438" s="435">
        <f>Q438-R438</f>
        <v>4.0124399999999696</v>
      </c>
      <c r="T438" s="435">
        <f>S438/8.7*10000/(H438)</f>
        <v>0.20457771469126887</v>
      </c>
      <c r="U438" s="435">
        <f>S438/8.5*10000/(H438)</f>
        <v>0.20939130797812222</v>
      </c>
      <c r="V438" s="436"/>
      <c r="W438" s="437"/>
      <c r="X438" s="33"/>
      <c r="Y438" s="544">
        <v>2.64</v>
      </c>
      <c r="Z438" s="469">
        <f t="shared" si="108"/>
        <v>59516.160000000003</v>
      </c>
      <c r="AA438" s="33"/>
      <c r="AB438" s="438"/>
      <c r="AC438" s="33"/>
    </row>
    <row r="439" spans="1:29" x14ac:dyDescent="0.3">
      <c r="A439" s="146">
        <v>43940.979166666664</v>
      </c>
      <c r="B439" s="439">
        <v>43941.972222222219</v>
      </c>
      <c r="C439" s="23"/>
      <c r="D439" s="23"/>
      <c r="E439" s="35" t="s">
        <v>236</v>
      </c>
      <c r="F439" s="25" t="s">
        <v>328</v>
      </c>
      <c r="G439" s="433"/>
      <c r="H439" s="433">
        <f>31454-H440</f>
        <v>23346</v>
      </c>
      <c r="I439" s="433"/>
      <c r="J439" s="26">
        <v>71000</v>
      </c>
      <c r="K439" s="632">
        <f>H439+H440-J439</f>
        <v>-39546</v>
      </c>
      <c r="L439" s="27">
        <f>B439-A439</f>
        <v>0.99305555555474712</v>
      </c>
      <c r="M439" s="27">
        <f>'[173]YUE DIAN 8'!$F$62</f>
        <v>0.65798611112647143</v>
      </c>
      <c r="N439" s="434">
        <f>(H439+H440)/L439</f>
        <v>31673.958041983828</v>
      </c>
      <c r="O439" s="434">
        <f>(H439+H440)/M439</f>
        <v>47803.440632129437</v>
      </c>
      <c r="P439" s="633">
        <v>30000</v>
      </c>
      <c r="Q439" s="69">
        <f>(167570/10000)*8.7</f>
        <v>145.7859</v>
      </c>
      <c r="R439" s="69">
        <f>(161628/10000)*8.7</f>
        <v>140.61635999999999</v>
      </c>
      <c r="S439" s="435">
        <f>Q439-R439</f>
        <v>5.169540000000012</v>
      </c>
      <c r="T439" s="435">
        <f>S439/8.7*10000/(H439+H440)</f>
        <v>0.18891079036052691</v>
      </c>
      <c r="U439" s="435">
        <f>S439/8.5*10000/(H439+H440)</f>
        <v>0.19335575013371581</v>
      </c>
      <c r="V439" s="436"/>
      <c r="W439" s="437"/>
      <c r="X439" s="33"/>
      <c r="Y439" s="544">
        <v>2.64</v>
      </c>
      <c r="Z439" s="469">
        <f t="shared" si="108"/>
        <v>61633.440000000002</v>
      </c>
      <c r="AA439" s="33"/>
      <c r="AB439" s="438"/>
      <c r="AC439" s="33"/>
    </row>
    <row r="440" spans="1:29" x14ac:dyDescent="0.3">
      <c r="A440" s="146"/>
      <c r="B440" s="439"/>
      <c r="C440" s="23"/>
      <c r="D440" s="23"/>
      <c r="E440" s="35" t="s">
        <v>235</v>
      </c>
      <c r="F440" s="25"/>
      <c r="G440" s="433"/>
      <c r="H440" s="433">
        <v>8108</v>
      </c>
      <c r="I440" s="433"/>
      <c r="J440" s="26"/>
      <c r="K440" s="632"/>
      <c r="L440" s="27"/>
      <c r="M440" s="27"/>
      <c r="N440" s="434"/>
      <c r="O440" s="462"/>
      <c r="P440" s="633"/>
      <c r="Q440" s="69"/>
      <c r="R440" s="69"/>
      <c r="S440" s="435"/>
      <c r="T440" s="435"/>
      <c r="U440" s="435"/>
      <c r="V440" s="436"/>
      <c r="W440" s="437"/>
      <c r="X440" s="33"/>
      <c r="Y440" s="544">
        <v>6.5</v>
      </c>
      <c r="Z440" s="469">
        <f t="shared" si="108"/>
        <v>52702</v>
      </c>
      <c r="AA440" s="33"/>
      <c r="AB440" s="438"/>
      <c r="AC440" s="33"/>
    </row>
    <row r="441" spans="1:29" x14ac:dyDescent="0.3">
      <c r="A441" s="439">
        <v>43943.71875</v>
      </c>
      <c r="B441" s="439">
        <v>43945.9375</v>
      </c>
      <c r="C441" s="23"/>
      <c r="D441" s="23"/>
      <c r="E441" s="35" t="s">
        <v>610</v>
      </c>
      <c r="F441" s="25" t="s">
        <v>212</v>
      </c>
      <c r="G441" s="433"/>
      <c r="H441" s="433">
        <f>57000-H442</f>
        <v>44090</v>
      </c>
      <c r="I441" s="433"/>
      <c r="J441" s="26">
        <v>57000</v>
      </c>
      <c r="K441" s="632">
        <f>H441+H442-J441</f>
        <v>0</v>
      </c>
      <c r="L441" s="27">
        <f>B441-A441</f>
        <v>2.21875</v>
      </c>
      <c r="M441" s="27">
        <f>'[173]OCEAN MASTER'!$F$102</f>
        <v>1.175347222203224</v>
      </c>
      <c r="N441" s="434">
        <f>(H441+H442)/L441</f>
        <v>25690.140845070422</v>
      </c>
      <c r="O441" s="434">
        <f>(H441+H442)/M441</f>
        <v>48496.307238597779</v>
      </c>
      <c r="P441" s="633">
        <v>30000</v>
      </c>
      <c r="Q441" s="69">
        <f>(158362/10000)*8.7</f>
        <v>137.77493999999999</v>
      </c>
      <c r="R441" s="69">
        <f>(146059/10000)*8.7</f>
        <v>127.07132999999999</v>
      </c>
      <c r="S441" s="435">
        <f>Q441-R441</f>
        <v>10.703609999999998</v>
      </c>
      <c r="T441" s="435">
        <f>S441/8.7*10000/(H441+H442)</f>
        <v>0.21584210526315784</v>
      </c>
      <c r="U441" s="435">
        <f>S441/8.5*10000/(H441+H442)</f>
        <v>0.22092074303405571</v>
      </c>
      <c r="V441" s="436"/>
      <c r="W441" s="437"/>
      <c r="X441" s="33"/>
      <c r="Y441" s="544">
        <v>2.64</v>
      </c>
      <c r="Z441" s="469">
        <f t="shared" si="108"/>
        <v>116397.6</v>
      </c>
      <c r="AA441" s="33"/>
      <c r="AB441" s="438"/>
      <c r="AC441" s="33"/>
    </row>
    <row r="442" spans="1:29" x14ac:dyDescent="0.3">
      <c r="A442" s="439"/>
      <c r="B442" s="439"/>
      <c r="C442" s="23"/>
      <c r="D442" s="23"/>
      <c r="E442" s="35" t="s">
        <v>610</v>
      </c>
      <c r="F442" s="25"/>
      <c r="G442" s="433"/>
      <c r="H442" s="433">
        <v>12910</v>
      </c>
      <c r="I442" s="433"/>
      <c r="J442" s="26"/>
      <c r="K442" s="632"/>
      <c r="L442" s="27"/>
      <c r="M442" s="27"/>
      <c r="N442" s="434"/>
      <c r="O442" s="434"/>
      <c r="P442" s="633"/>
      <c r="Q442" s="69"/>
      <c r="R442" s="69"/>
      <c r="S442" s="435"/>
      <c r="T442" s="435"/>
      <c r="U442" s="435"/>
      <c r="V442" s="436"/>
      <c r="W442" s="437"/>
      <c r="X442" s="33"/>
      <c r="Y442" s="544">
        <v>2.64</v>
      </c>
      <c r="Z442" s="469">
        <f t="shared" si="108"/>
        <v>34082.400000000001</v>
      </c>
      <c r="AA442" s="33"/>
      <c r="AB442" s="438"/>
      <c r="AC442" s="33"/>
    </row>
    <row r="443" spans="1:29" x14ac:dyDescent="0.3">
      <c r="A443" s="439">
        <v>43946.8125</v>
      </c>
      <c r="B443" s="439">
        <v>43948.368055555555</v>
      </c>
      <c r="C443" s="23"/>
      <c r="D443" s="23"/>
      <c r="E443" s="35" t="s">
        <v>611</v>
      </c>
      <c r="F443" s="25" t="s">
        <v>212</v>
      </c>
      <c r="G443" s="433"/>
      <c r="H443" s="433">
        <v>32800</v>
      </c>
      <c r="I443" s="433"/>
      <c r="J443" s="26">
        <v>32800</v>
      </c>
      <c r="K443" s="632">
        <f>H443-J443</f>
        <v>0</v>
      </c>
      <c r="L443" s="27">
        <f>B443-A443</f>
        <v>1.5555555555547471</v>
      </c>
      <c r="M443" s="27">
        <f>'[173]XIN XIANG HAI'!$F$62</f>
        <v>0.71527777778343682</v>
      </c>
      <c r="N443" s="434">
        <f>(H443)/L443</f>
        <v>21085.714285725244</v>
      </c>
      <c r="O443" s="434">
        <f>(H443)/M443</f>
        <v>45856.310679248847</v>
      </c>
      <c r="P443" s="633">
        <v>30000</v>
      </c>
      <c r="Q443" s="69">
        <f>(144279/10000)*8.7</f>
        <v>125.52272999999998</v>
      </c>
      <c r="R443" s="69">
        <f>(136385/10000)*8.7</f>
        <v>118.65495</v>
      </c>
      <c r="S443" s="435">
        <f>Q443-R443</f>
        <v>6.867779999999982</v>
      </c>
      <c r="T443" s="435">
        <f>S443/8.7*10000/(H443)</f>
        <v>0.24067073170731645</v>
      </c>
      <c r="U443" s="435">
        <f>S443/8.5*10000/(H443)</f>
        <v>0.24633357245337095</v>
      </c>
      <c r="V443" s="436"/>
      <c r="W443" s="437"/>
      <c r="X443" s="33"/>
      <c r="Y443" s="544">
        <v>2.64</v>
      </c>
      <c r="Z443" s="469">
        <f t="shared" si="108"/>
        <v>86592</v>
      </c>
      <c r="AA443" s="33"/>
      <c r="AB443" s="438"/>
      <c r="AC443" s="33"/>
    </row>
    <row r="444" spans="1:29" x14ac:dyDescent="0.3">
      <c r="A444" s="439">
        <v>43948.569444444445</v>
      </c>
      <c r="B444" s="439">
        <v>43949.8125</v>
      </c>
      <c r="C444" s="23"/>
      <c r="D444" s="23"/>
      <c r="E444" s="35" t="s">
        <v>612</v>
      </c>
      <c r="F444" s="25" t="s">
        <v>212</v>
      </c>
      <c r="G444" s="433"/>
      <c r="H444" s="433">
        <f>33866-H445</f>
        <v>26737</v>
      </c>
      <c r="I444" s="433"/>
      <c r="J444" s="26">
        <v>59900</v>
      </c>
      <c r="K444" s="632">
        <f>H444+H445-J444</f>
        <v>-26034</v>
      </c>
      <c r="L444" s="27">
        <f>B444-A444</f>
        <v>1.2430555555547471</v>
      </c>
      <c r="M444" s="27">
        <f>'[173]AFRICAN TURACO'!$F$69</f>
        <v>0.69444444446223008</v>
      </c>
      <c r="N444" s="434">
        <f>(H444+H445)/L444</f>
        <v>27244.156424598725</v>
      </c>
      <c r="O444" s="434">
        <f>(H444+H445)/M444</f>
        <v>48767.03999875101</v>
      </c>
      <c r="P444" s="633">
        <v>30000</v>
      </c>
      <c r="Q444" s="69">
        <f>(135780/10000)*8.7</f>
        <v>118.12859999999999</v>
      </c>
      <c r="R444" s="69">
        <f>(128727/10000)*8.7</f>
        <v>111.99248999999999</v>
      </c>
      <c r="S444" s="435">
        <f>Q444-R444</f>
        <v>6.1361100000000022</v>
      </c>
      <c r="T444" s="435">
        <f>S444/8.7*10000/(H444+H445)</f>
        <v>0.20826197366089891</v>
      </c>
      <c r="U444" s="435">
        <f>S444/8.5*10000/(H444+H445)</f>
        <v>0.21316225539409653</v>
      </c>
      <c r="V444" s="436"/>
      <c r="W444" s="437"/>
      <c r="X444" s="33"/>
      <c r="Y444" s="544">
        <v>2.64</v>
      </c>
      <c r="Z444" s="469">
        <f t="shared" si="108"/>
        <v>70585.680000000008</v>
      </c>
      <c r="AA444" s="33"/>
      <c r="AB444" s="438"/>
      <c r="AC444" s="33"/>
    </row>
    <row r="445" spans="1:29" x14ac:dyDescent="0.3">
      <c r="A445" s="439"/>
      <c r="B445" s="439"/>
      <c r="C445" s="23"/>
      <c r="D445" s="23"/>
      <c r="E445" s="35" t="s">
        <v>613</v>
      </c>
      <c r="F445" s="25"/>
      <c r="G445" s="433"/>
      <c r="H445" s="433">
        <v>7129</v>
      </c>
      <c r="I445" s="433"/>
      <c r="J445" s="26"/>
      <c r="K445" s="632"/>
      <c r="L445" s="27"/>
      <c r="M445" s="27"/>
      <c r="N445" s="434"/>
      <c r="O445" s="462"/>
      <c r="P445" s="633"/>
      <c r="Q445" s="69"/>
      <c r="R445" s="69"/>
      <c r="S445" s="435"/>
      <c r="T445" s="435"/>
      <c r="U445" s="435"/>
      <c r="V445" s="436"/>
      <c r="W445" s="437"/>
      <c r="X445" s="33"/>
      <c r="Y445" s="544">
        <v>6.5</v>
      </c>
      <c r="Z445" s="469">
        <f t="shared" si="108"/>
        <v>46338.5</v>
      </c>
      <c r="AA445" s="33"/>
      <c r="AB445" s="438"/>
      <c r="AC445" s="33"/>
    </row>
    <row r="446" spans="1:29" x14ac:dyDescent="0.3">
      <c r="A446" s="439">
        <v>43950.694444444445</v>
      </c>
      <c r="B446" s="439">
        <v>43951.645833333336</v>
      </c>
      <c r="C446" s="23"/>
      <c r="D446" s="23"/>
      <c r="E446" s="35" t="s">
        <v>614</v>
      </c>
      <c r="F446" s="25" t="s">
        <v>212</v>
      </c>
      <c r="G446" s="433"/>
      <c r="H446" s="433">
        <v>28072</v>
      </c>
      <c r="I446" s="433"/>
      <c r="J446" s="26">
        <v>58400</v>
      </c>
      <c r="K446" s="632">
        <f>H446-J446</f>
        <v>-30328</v>
      </c>
      <c r="L446" s="27">
        <f>B446-A446</f>
        <v>0.95138888889050577</v>
      </c>
      <c r="M446" s="27">
        <f>'[174]INDIGO HERITAGE'!$F$57</f>
        <v>0.61631944444404019</v>
      </c>
      <c r="N446" s="434">
        <f>(H446)/L446</f>
        <v>29506.335766373213</v>
      </c>
      <c r="O446" s="434">
        <f>(H446)/M446</f>
        <v>45547.808450734105</v>
      </c>
      <c r="P446" s="633">
        <v>30000</v>
      </c>
      <c r="Q446" s="69">
        <f>(126827/10000)*8.7</f>
        <v>110.33949</v>
      </c>
      <c r="R446" s="69">
        <f>(121067/10000)*8.7</f>
        <v>105.32829</v>
      </c>
      <c r="S446" s="435">
        <f>Q446-R446</f>
        <v>5.0112000000000023</v>
      </c>
      <c r="T446" s="435">
        <f>S446/8.7*10000/(H446)</f>
        <v>0.20518666286691375</v>
      </c>
      <c r="U446" s="435">
        <f>S446/8.5*10000/(H446)</f>
        <v>0.21001458434613524</v>
      </c>
      <c r="V446" s="436"/>
      <c r="W446" s="437"/>
      <c r="X446" s="33"/>
      <c r="Y446" s="544">
        <v>2.64</v>
      </c>
      <c r="Z446" s="469">
        <f t="shared" si="108"/>
        <v>74110.080000000002</v>
      </c>
      <c r="AA446" s="33"/>
      <c r="AB446" s="438"/>
      <c r="AC446" s="33"/>
    </row>
    <row r="447" spans="1:29" x14ac:dyDescent="0.3">
      <c r="A447" s="146"/>
      <c r="B447" s="439"/>
      <c r="C447" s="23"/>
      <c r="D447" s="23"/>
      <c r="E447" s="35"/>
      <c r="F447" s="25"/>
      <c r="G447" s="433"/>
      <c r="H447" s="433"/>
      <c r="I447" s="433"/>
      <c r="J447" s="26"/>
      <c r="K447" s="632"/>
      <c r="L447" s="27"/>
      <c r="M447" s="27"/>
      <c r="N447" s="434"/>
      <c r="O447" s="462"/>
      <c r="P447" s="633"/>
      <c r="Q447" s="69"/>
      <c r="R447" s="69"/>
      <c r="S447" s="435"/>
      <c r="T447" s="435"/>
      <c r="U447" s="435"/>
      <c r="V447" s="436"/>
      <c r="W447" s="437"/>
      <c r="X447" s="33"/>
      <c r="Y447" s="33"/>
      <c r="Z447" s="33"/>
      <c r="AA447" s="33"/>
      <c r="AB447" s="438"/>
      <c r="AC447" s="33"/>
    </row>
    <row r="448" spans="1:29" x14ac:dyDescent="0.3">
      <c r="A448" s="20"/>
      <c r="B448" s="20"/>
      <c r="C448" s="20">
        <v>1000000001</v>
      </c>
      <c r="D448" s="20"/>
      <c r="E448" s="21" t="s">
        <v>43</v>
      </c>
      <c r="F448" s="21"/>
      <c r="G448" s="431">
        <f>SUM(G426:G446)</f>
        <v>21023</v>
      </c>
      <c r="H448" s="431">
        <f>SUM(H426:H446)</f>
        <v>482648</v>
      </c>
      <c r="I448" s="431"/>
      <c r="J448" s="431"/>
      <c r="K448" s="431"/>
      <c r="L448" s="431"/>
      <c r="M448" s="431"/>
      <c r="N448" s="431"/>
      <c r="O448" s="431"/>
      <c r="P448" s="431"/>
      <c r="Q448" s="431"/>
      <c r="R448" s="440">
        <f>SUM(R426:R446)</f>
        <v>1335.7614599999999</v>
      </c>
      <c r="S448" s="441">
        <f>R448/8.7*10000/G448</f>
        <v>73.032297959377829</v>
      </c>
      <c r="T448" s="440"/>
      <c r="U448" s="440"/>
      <c r="V448" s="442"/>
      <c r="W448" s="22"/>
      <c r="X448" s="22"/>
      <c r="Y448" s="432"/>
      <c r="Z448" s="432">
        <f>SUM(Z427:Z446)</f>
        <v>1411196.8999400001</v>
      </c>
      <c r="AA448" s="432"/>
      <c r="AB448" s="432"/>
      <c r="AC448" s="432"/>
    </row>
    <row r="449" spans="1:29" x14ac:dyDescent="0.3">
      <c r="A449" s="146"/>
      <c r="B449" s="146"/>
      <c r="C449" s="23"/>
      <c r="D449" s="14"/>
      <c r="E449" s="35"/>
      <c r="F449" s="25"/>
      <c r="G449" s="433"/>
      <c r="H449" s="433"/>
      <c r="I449" s="433"/>
      <c r="J449" s="26"/>
      <c r="K449" s="27"/>
      <c r="L449" s="27"/>
      <c r="M449" s="434"/>
      <c r="N449" s="434"/>
      <c r="O449" s="434"/>
      <c r="P449" s="69"/>
      <c r="Q449" s="69"/>
      <c r="R449" s="69"/>
      <c r="S449" s="435"/>
      <c r="T449" s="435"/>
      <c r="U449" s="435"/>
      <c r="V449" s="436"/>
      <c r="W449" s="437"/>
      <c r="X449" s="33"/>
      <c r="Y449" s="33"/>
      <c r="Z449" s="33"/>
      <c r="AA449" s="33"/>
      <c r="AB449" s="438"/>
      <c r="AC449" s="33"/>
    </row>
    <row r="450" spans="1:29" x14ac:dyDescent="0.3">
      <c r="A450" s="439">
        <v>43963.041666666664</v>
      </c>
      <c r="B450" s="439">
        <v>43965.041666666664</v>
      </c>
      <c r="C450" s="23"/>
      <c r="D450" s="14"/>
      <c r="E450" s="35" t="s">
        <v>239</v>
      </c>
      <c r="F450" s="25" t="s">
        <v>212</v>
      </c>
      <c r="G450" s="433"/>
      <c r="H450" s="433">
        <v>50005</v>
      </c>
      <c r="I450" s="433"/>
      <c r="J450" s="26">
        <v>50000</v>
      </c>
      <c r="K450" s="632">
        <f>H450-J450</f>
        <v>5</v>
      </c>
      <c r="L450" s="27">
        <f>B450-A450</f>
        <v>2</v>
      </c>
      <c r="M450" s="27">
        <f>[175]NAMEERA!$F$130</f>
        <v>1.02083333330908</v>
      </c>
      <c r="N450" s="434">
        <f>(H450)/L450</f>
        <v>25002.5</v>
      </c>
      <c r="O450" s="434">
        <f>(H450)/M450</f>
        <v>48984.489797082162</v>
      </c>
      <c r="P450" s="633">
        <v>30000</v>
      </c>
      <c r="Q450" s="69">
        <f>(102933/10000)*8.7</f>
        <v>89.55171</v>
      </c>
      <c r="R450" s="69">
        <f>(91674/10000)*8.7</f>
        <v>79.756379999999993</v>
      </c>
      <c r="S450" s="435">
        <f>Q450-R450</f>
        <v>9.795330000000007</v>
      </c>
      <c r="T450" s="435">
        <f>S450/8.7*10000/(H450)</f>
        <v>0.225157484251575</v>
      </c>
      <c r="U450" s="435">
        <f>S450/8.5*10000/(H450)</f>
        <v>0.2304553074104356</v>
      </c>
      <c r="V450" s="436"/>
      <c r="W450" s="437"/>
      <c r="X450" s="33"/>
      <c r="Y450" s="544">
        <v>2.64</v>
      </c>
      <c r="Z450" s="469">
        <f t="shared" ref="Z450:Z465" si="109">H450*Y450</f>
        <v>132013.20000000001</v>
      </c>
      <c r="AA450" s="33"/>
      <c r="AB450" s="438"/>
      <c r="AC450" s="33"/>
    </row>
    <row r="451" spans="1:29" x14ac:dyDescent="0.3">
      <c r="A451" s="146">
        <v>43969.246527777781</v>
      </c>
      <c r="B451" s="146">
        <v>43969.708333333336</v>
      </c>
      <c r="C451" s="23"/>
      <c r="D451" s="14"/>
      <c r="E451" s="35" t="s">
        <v>615</v>
      </c>
      <c r="F451" s="25" t="s">
        <v>212</v>
      </c>
      <c r="G451" s="433"/>
      <c r="H451" s="433">
        <v>15475</v>
      </c>
      <c r="I451" s="433"/>
      <c r="J451" s="26">
        <v>48400</v>
      </c>
      <c r="K451" s="632">
        <f>H451-J451</f>
        <v>-32925</v>
      </c>
      <c r="L451" s="27">
        <f>B451-A451</f>
        <v>0.46180555555474712</v>
      </c>
      <c r="M451" s="27">
        <f>'[175]VICJOUR ACE'!$F$40</f>
        <v>0.34722222222626442</v>
      </c>
      <c r="N451" s="434">
        <f>(H451)/L451</f>
        <v>33509.774436148888</v>
      </c>
      <c r="O451" s="434">
        <f>(H451)/M451</f>
        <v>44567.999999481159</v>
      </c>
      <c r="P451" s="633">
        <v>30000</v>
      </c>
      <c r="Q451" s="69">
        <f>(305728/10000)*8.7</f>
        <v>265.98336</v>
      </c>
      <c r="R451" s="69">
        <f>(302865/10000)*8.7</f>
        <v>263.49254999999999</v>
      </c>
      <c r="S451" s="435">
        <f>Q451-R451</f>
        <v>2.4908100000000104</v>
      </c>
      <c r="T451" s="435">
        <f>S451/8.7*10000/(H451)</f>
        <v>0.18500807754442727</v>
      </c>
      <c r="U451" s="435">
        <f>S451/8.5*10000/(H451)</f>
        <v>0.1893612087807667</v>
      </c>
      <c r="V451" s="436"/>
      <c r="W451" s="437"/>
      <c r="X451" s="33"/>
      <c r="Y451" s="544">
        <v>2.64</v>
      </c>
      <c r="Z451" s="469">
        <f t="shared" si="109"/>
        <v>40854</v>
      </c>
      <c r="AA451" s="33"/>
      <c r="AB451" s="438"/>
      <c r="AC451" s="33"/>
    </row>
    <row r="452" spans="1:29" x14ac:dyDescent="0.3">
      <c r="A452" s="146">
        <v>43970.951388888891</v>
      </c>
      <c r="B452" s="146">
        <v>43971.895833333336</v>
      </c>
      <c r="C452" s="23"/>
      <c r="D452" s="14"/>
      <c r="E452" s="35" t="s">
        <v>133</v>
      </c>
      <c r="F452" s="25" t="s">
        <v>328</v>
      </c>
      <c r="G452" s="433"/>
      <c r="H452" s="433">
        <f>26508-H453</f>
        <v>18395</v>
      </c>
      <c r="I452" s="433"/>
      <c r="J452" s="26">
        <v>59900</v>
      </c>
      <c r="K452" s="632">
        <f>H452+H453-J452</f>
        <v>-33392</v>
      </c>
      <c r="L452" s="27">
        <f>B452-A452</f>
        <v>0.94444444444525288</v>
      </c>
      <c r="M452" s="27">
        <f>'[175]YUE DIAN 82'!$F$52</f>
        <v>0.59548611110828154</v>
      </c>
      <c r="N452" s="434">
        <f>(H452+H453)/L452</f>
        <v>28067.294117623034</v>
      </c>
      <c r="O452" s="434">
        <f>(H452+H453)/M452</f>
        <v>44514.892128491403</v>
      </c>
      <c r="P452" s="633">
        <v>30000</v>
      </c>
      <c r="Q452" s="69">
        <f>(300738/10000)*8.7</f>
        <v>261.64205999999996</v>
      </c>
      <c r="R452" s="69">
        <f>(295762/10000)*8.7</f>
        <v>257.31293999999997</v>
      </c>
      <c r="S452" s="435">
        <f>Q452-R452</f>
        <v>4.329119999999989</v>
      </c>
      <c r="T452" s="435">
        <f>S452/8.7*10000/(H452+H453)</f>
        <v>0.18771691564810575</v>
      </c>
      <c r="U452" s="435">
        <f>S452/8.5*10000/(H452+H453)</f>
        <v>0.19213378425159061</v>
      </c>
      <c r="V452" s="436"/>
      <c r="W452" s="437"/>
      <c r="X452" s="33"/>
      <c r="Y452" s="544">
        <v>2.64</v>
      </c>
      <c r="Z452" s="469">
        <f t="shared" si="109"/>
        <v>48562.8</v>
      </c>
      <c r="AA452" s="33"/>
      <c r="AB452" s="438"/>
      <c r="AC452" s="33"/>
    </row>
    <row r="453" spans="1:29" x14ac:dyDescent="0.3">
      <c r="A453" s="146"/>
      <c r="B453" s="146"/>
      <c r="C453" s="23"/>
      <c r="D453" s="14"/>
      <c r="E453" s="35" t="s">
        <v>616</v>
      </c>
      <c r="F453" s="25"/>
      <c r="G453" s="433"/>
      <c r="H453" s="433">
        <v>8113</v>
      </c>
      <c r="I453" s="433"/>
      <c r="J453" s="26"/>
      <c r="K453" s="632"/>
      <c r="L453" s="27"/>
      <c r="M453" s="27"/>
      <c r="N453" s="434"/>
      <c r="O453" s="434"/>
      <c r="P453" s="633"/>
      <c r="Q453" s="69"/>
      <c r="R453" s="69"/>
      <c r="S453" s="435"/>
      <c r="T453" s="435"/>
      <c r="U453" s="435"/>
      <c r="V453" s="436"/>
      <c r="W453" s="437"/>
      <c r="X453" s="33"/>
      <c r="Y453" s="544">
        <v>6.5</v>
      </c>
      <c r="Z453" s="469">
        <f t="shared" si="109"/>
        <v>52734.5</v>
      </c>
      <c r="AA453" s="33"/>
      <c r="AB453" s="438"/>
      <c r="AC453" s="33"/>
    </row>
    <row r="454" spans="1:29" x14ac:dyDescent="0.3">
      <c r="A454" s="146">
        <v>43972.097222222219</v>
      </c>
      <c r="B454" s="146">
        <v>43972.708333333336</v>
      </c>
      <c r="C454" s="23"/>
      <c r="D454" s="14"/>
      <c r="E454" s="35" t="s">
        <v>617</v>
      </c>
      <c r="F454" s="25" t="s">
        <v>212</v>
      </c>
      <c r="G454" s="433"/>
      <c r="H454" s="634">
        <f>20833-H455</f>
        <v>12928</v>
      </c>
      <c r="I454" s="433"/>
      <c r="J454" s="26">
        <v>59370</v>
      </c>
      <c r="K454" s="632">
        <f>H454+H455-J454</f>
        <v>-38537</v>
      </c>
      <c r="L454" s="27">
        <f>B454-A454</f>
        <v>0.61111111111677019</v>
      </c>
      <c r="M454" s="27">
        <f>'[175]KMARIN OSLO'!$F$43</f>
        <v>0.47395833332727005</v>
      </c>
      <c r="N454" s="434">
        <f>(H454+H455)/L454</f>
        <v>34090.36363604795</v>
      </c>
      <c r="O454" s="434">
        <f>(H454+H455)/M454</f>
        <v>43955.340659902977</v>
      </c>
      <c r="P454" s="633">
        <v>30000</v>
      </c>
      <c r="Q454" s="69">
        <f>(295324/10000)*8.7</f>
        <v>256.93187999999998</v>
      </c>
      <c r="R454" s="69">
        <f>(291764/10000)*8.7</f>
        <v>253.83467999999999</v>
      </c>
      <c r="S454" s="435">
        <f>Q454-R454</f>
        <v>3.0971999999999866</v>
      </c>
      <c r="T454" s="435">
        <f>S454/8.7*10000/(H454+H455)</f>
        <v>0.17088273412374527</v>
      </c>
      <c r="U454" s="435">
        <f>S454/8.5*10000/(H454+H455)</f>
        <v>0.17490350433842161</v>
      </c>
      <c r="V454" s="436"/>
      <c r="W454" s="437"/>
      <c r="X454" s="33"/>
      <c r="Y454" s="544">
        <v>2.64</v>
      </c>
      <c r="Z454" s="469">
        <f t="shared" si="109"/>
        <v>34129.919999999998</v>
      </c>
      <c r="AA454" s="33"/>
      <c r="AB454" s="438"/>
      <c r="AC454" s="33"/>
    </row>
    <row r="455" spans="1:29" x14ac:dyDescent="0.3">
      <c r="A455" s="146"/>
      <c r="B455" s="146"/>
      <c r="C455" s="23"/>
      <c r="D455" s="14"/>
      <c r="E455" s="35" t="s">
        <v>618</v>
      </c>
      <c r="F455" s="25"/>
      <c r="G455" s="433"/>
      <c r="H455" s="634">
        <v>7905</v>
      </c>
      <c r="I455" s="433"/>
      <c r="J455" s="26"/>
      <c r="K455" s="27"/>
      <c r="L455" s="27"/>
      <c r="M455" s="434"/>
      <c r="N455" s="434"/>
      <c r="O455" s="434"/>
      <c r="P455" s="69"/>
      <c r="Q455" s="69"/>
      <c r="R455" s="69"/>
      <c r="S455" s="435"/>
      <c r="T455" s="435"/>
      <c r="U455" s="435"/>
      <c r="V455" s="436"/>
      <c r="W455" s="437"/>
      <c r="X455" s="33"/>
      <c r="Y455" s="544">
        <v>6.5</v>
      </c>
      <c r="Z455" s="469">
        <f t="shared" si="109"/>
        <v>51382.5</v>
      </c>
      <c r="AA455" s="33"/>
      <c r="AB455" s="438"/>
      <c r="AC455" s="33"/>
    </row>
    <row r="456" spans="1:29" x14ac:dyDescent="0.3">
      <c r="A456" s="146">
        <v>43972.916666666664</v>
      </c>
      <c r="B456" s="146">
        <v>43974.493055555555</v>
      </c>
      <c r="C456" s="23"/>
      <c r="D456" s="14"/>
      <c r="E456" s="35" t="s">
        <v>619</v>
      </c>
      <c r="F456" s="25" t="s">
        <v>328</v>
      </c>
      <c r="G456" s="433"/>
      <c r="H456" s="433">
        <f>36706-H457</f>
        <v>29086</v>
      </c>
      <c r="I456" s="433"/>
      <c r="J456" s="26">
        <v>74676</v>
      </c>
      <c r="K456" s="632">
        <f>H456+H457-J456</f>
        <v>-37970</v>
      </c>
      <c r="L456" s="27">
        <f>B456-A456</f>
        <v>1.5763888888905058</v>
      </c>
      <c r="M456" s="27">
        <f>[175]MARINICKI!$F$82</f>
        <v>0.77256944446586806</v>
      </c>
      <c r="N456" s="434">
        <f>(H456+H457)/L456</f>
        <v>23284.863436099466</v>
      </c>
      <c r="O456" s="434">
        <f>(H456+H457)/M456</f>
        <v>47511.586515536423</v>
      </c>
      <c r="P456" s="633">
        <v>30000</v>
      </c>
      <c r="Q456" s="69">
        <f>(291232/10000)*8.7</f>
        <v>253.37183999999999</v>
      </c>
      <c r="R456" s="69">
        <f>(282291/10000)*8.7</f>
        <v>245.59316999999996</v>
      </c>
      <c r="S456" s="435">
        <f>Q456-R456</f>
        <v>7.7786700000000337</v>
      </c>
      <c r="T456" s="435">
        <f>S456/8.7*10000/(H456+H457)</f>
        <v>0.2435841551789909</v>
      </c>
      <c r="U456" s="435">
        <f>S456/8.5*10000/(H456+H457)</f>
        <v>0.24931554706555537</v>
      </c>
      <c r="V456" s="436"/>
      <c r="W456" s="437"/>
      <c r="X456" s="33"/>
      <c r="Y456" s="544">
        <v>2.64</v>
      </c>
      <c r="Z456" s="469">
        <f t="shared" si="109"/>
        <v>76787.040000000008</v>
      </c>
      <c r="AA456" s="33"/>
      <c r="AB456" s="438"/>
      <c r="AC456" s="33"/>
    </row>
    <row r="457" spans="1:29" x14ac:dyDescent="0.3">
      <c r="A457" s="146"/>
      <c r="B457" s="146"/>
      <c r="C457" s="23"/>
      <c r="D457" s="14"/>
      <c r="E457" s="35" t="s">
        <v>620</v>
      </c>
      <c r="F457" s="25"/>
      <c r="G457" s="433"/>
      <c r="H457" s="433">
        <v>7620</v>
      </c>
      <c r="I457" s="433"/>
      <c r="J457" s="26"/>
      <c r="K457" s="27"/>
      <c r="L457" s="27"/>
      <c r="M457" s="434"/>
      <c r="N457" s="434"/>
      <c r="O457" s="434"/>
      <c r="P457" s="69"/>
      <c r="Q457" s="69"/>
      <c r="R457" s="69"/>
      <c r="S457" s="435"/>
      <c r="T457" s="435"/>
      <c r="U457" s="435"/>
      <c r="V457" s="436"/>
      <c r="W457" s="437"/>
      <c r="X457" s="33"/>
      <c r="Y457" s="544">
        <v>6.5</v>
      </c>
      <c r="Z457" s="469">
        <f t="shared" si="109"/>
        <v>49530</v>
      </c>
      <c r="AA457" s="33"/>
      <c r="AB457" s="438"/>
      <c r="AC457" s="33"/>
    </row>
    <row r="458" spans="1:29" x14ac:dyDescent="0.3">
      <c r="A458" s="146">
        <v>43976.802083333336</v>
      </c>
      <c r="B458" s="146">
        <v>43977.583333333336</v>
      </c>
      <c r="C458" s="23"/>
      <c r="D458" s="14"/>
      <c r="E458" s="35" t="s">
        <v>621</v>
      </c>
      <c r="F458" s="25" t="s">
        <v>328</v>
      </c>
      <c r="G458" s="433">
        <v>43340</v>
      </c>
      <c r="H458" s="433">
        <v>13900</v>
      </c>
      <c r="I458" s="433"/>
      <c r="J458" s="26">
        <v>88000</v>
      </c>
      <c r="K458" s="632">
        <f>H458-J458</f>
        <v>-74100</v>
      </c>
      <c r="L458" s="27">
        <f>B458-A458</f>
        <v>0.78125</v>
      </c>
      <c r="M458" s="27">
        <f>'[175]FLAG TOM'!$F$30</f>
        <v>0.72048611110949423</v>
      </c>
      <c r="N458" s="434">
        <f>(H458)/L458</f>
        <v>17792</v>
      </c>
      <c r="O458" s="462">
        <f>(H458)/M458</f>
        <v>19292.530120525222</v>
      </c>
      <c r="P458" s="633">
        <v>30000</v>
      </c>
      <c r="Q458" s="69">
        <f>(278586/10000)*8.7</f>
        <v>242.36981999999998</v>
      </c>
      <c r="R458" s="69">
        <f>(274026/10000)*8.7</f>
        <v>238.40261999999998</v>
      </c>
      <c r="S458" s="435">
        <f>Q458-R458</f>
        <v>3.9671999999999912</v>
      </c>
      <c r="T458" s="435">
        <f>S458/8.7*10000/(H458)</f>
        <v>0.32805755395683384</v>
      </c>
      <c r="U458" s="435">
        <f>S458/8.5*10000/(H458)</f>
        <v>0.33577655522640637</v>
      </c>
      <c r="V458" s="436"/>
      <c r="W458" s="437"/>
      <c r="X458" s="33"/>
      <c r="Y458" s="544">
        <v>2.64</v>
      </c>
      <c r="Z458" s="469">
        <f t="shared" si="109"/>
        <v>36696</v>
      </c>
      <c r="AA458" s="33"/>
      <c r="AB458" s="438"/>
      <c r="AC458" s="33"/>
    </row>
    <row r="459" spans="1:29" x14ac:dyDescent="0.3">
      <c r="A459" s="146">
        <v>43977.784722222219</v>
      </c>
      <c r="B459" s="146">
        <v>43978.743055555555</v>
      </c>
      <c r="C459" s="23"/>
      <c r="D459" s="14"/>
      <c r="E459" s="35" t="s">
        <v>123</v>
      </c>
      <c r="F459" s="25" t="s">
        <v>328</v>
      </c>
      <c r="G459" s="433"/>
      <c r="H459" s="433">
        <f>28289-H460-H461</f>
        <v>16038.522999999997</v>
      </c>
      <c r="I459" s="433"/>
      <c r="J459" s="26">
        <v>63498</v>
      </c>
      <c r="K459" s="632">
        <f>H459+H460+H461-J459</f>
        <v>-35209</v>
      </c>
      <c r="L459" s="27">
        <f>B459-A459</f>
        <v>0.95833333333575865</v>
      </c>
      <c r="M459" s="27">
        <f>'[175]EVOIKOS THEO'!$F$55</f>
        <v>0.60069444445131615</v>
      </c>
      <c r="N459" s="434">
        <f>(H459+H460+H461)/L459</f>
        <v>29518.956521664426</v>
      </c>
      <c r="O459" s="434">
        <f>(H459+H460+H461)/M459</f>
        <v>47093.82658905664</v>
      </c>
      <c r="P459" s="633">
        <v>30000</v>
      </c>
      <c r="Q459" s="69">
        <f>(273254/10000)*8.7</f>
        <v>237.73097999999996</v>
      </c>
      <c r="R459" s="69">
        <f>(268081/10000)*8.7</f>
        <v>233.23046999999997</v>
      </c>
      <c r="S459" s="435">
        <f>Q459-R459</f>
        <v>4.5005099999999914</v>
      </c>
      <c r="T459" s="435">
        <f>S459/8.7*10000/(H459+H460+H461)</f>
        <v>0.18286259676906186</v>
      </c>
      <c r="U459" s="435">
        <f>S459/8.5*10000/(H459+H460+H461)</f>
        <v>0.18716524610480445</v>
      </c>
      <c r="V459" s="436"/>
      <c r="W459" s="437"/>
      <c r="X459" s="33"/>
      <c r="Y459" s="544">
        <v>2.64</v>
      </c>
      <c r="Z459" s="469">
        <f t="shared" si="109"/>
        <v>42341.700719999993</v>
      </c>
      <c r="AA459" s="33"/>
      <c r="AB459" s="438"/>
      <c r="AC459" s="33"/>
    </row>
    <row r="460" spans="1:29" x14ac:dyDescent="0.3">
      <c r="A460" s="146"/>
      <c r="B460" s="146"/>
      <c r="C460" s="23"/>
      <c r="D460" s="14"/>
      <c r="E460" s="35" t="s">
        <v>622</v>
      </c>
      <c r="F460" s="25"/>
      <c r="G460" s="433"/>
      <c r="H460" s="433">
        <v>5019.4350000000004</v>
      </c>
      <c r="I460" s="433"/>
      <c r="J460" s="26"/>
      <c r="K460" s="27"/>
      <c r="L460" s="27"/>
      <c r="M460" s="434"/>
      <c r="N460" s="434"/>
      <c r="O460" s="434"/>
      <c r="P460" s="69"/>
      <c r="Q460" s="69"/>
      <c r="R460" s="69"/>
      <c r="S460" s="435"/>
      <c r="T460" s="435"/>
      <c r="U460" s="435"/>
      <c r="V460" s="436"/>
      <c r="W460" s="437"/>
      <c r="X460" s="33"/>
      <c r="Y460" s="544">
        <v>6.5</v>
      </c>
      <c r="Z460" s="469">
        <f t="shared" si="109"/>
        <v>32626.327500000003</v>
      </c>
      <c r="AA460" s="33"/>
      <c r="AB460" s="438"/>
      <c r="AC460" s="33"/>
    </row>
    <row r="461" spans="1:29" x14ac:dyDescent="0.3">
      <c r="A461" s="146"/>
      <c r="B461" s="146"/>
      <c r="C461" s="23"/>
      <c r="D461" s="14"/>
      <c r="E461" s="35" t="s">
        <v>622</v>
      </c>
      <c r="F461" s="25"/>
      <c r="G461" s="433"/>
      <c r="H461" s="433">
        <v>7231.0420000000004</v>
      </c>
      <c r="I461" s="433"/>
      <c r="J461" s="26"/>
      <c r="K461" s="27"/>
      <c r="L461" s="27"/>
      <c r="M461" s="434"/>
      <c r="N461" s="434"/>
      <c r="O461" s="434"/>
      <c r="P461" s="69"/>
      <c r="Q461" s="69"/>
      <c r="R461" s="69"/>
      <c r="S461" s="435"/>
      <c r="T461" s="435"/>
      <c r="U461" s="435">
        <f>S461/8.5*10000/(H431)</f>
        <v>0</v>
      </c>
      <c r="V461" s="436"/>
      <c r="W461" s="32"/>
      <c r="X461" s="33"/>
      <c r="Y461" s="544">
        <v>6.5</v>
      </c>
      <c r="Z461" s="469">
        <f t="shared" si="109"/>
        <v>47001.773000000001</v>
      </c>
      <c r="AA461" s="33"/>
      <c r="AB461" s="438"/>
      <c r="AC461" s="33"/>
    </row>
    <row r="462" spans="1:29" x14ac:dyDescent="0.3">
      <c r="A462" s="146">
        <v>43978.930555555555</v>
      </c>
      <c r="B462" s="146">
        <v>43980.256944444445</v>
      </c>
      <c r="C462" s="23"/>
      <c r="D462" s="14"/>
      <c r="E462" s="35" t="s">
        <v>623</v>
      </c>
      <c r="F462" s="25" t="s">
        <v>328</v>
      </c>
      <c r="G462" s="433"/>
      <c r="H462" s="433">
        <v>20621</v>
      </c>
      <c r="I462" s="433"/>
      <c r="J462" s="26">
        <v>83500</v>
      </c>
      <c r="K462" s="632">
        <f>H462-J462</f>
        <v>-62879</v>
      </c>
      <c r="L462" s="27">
        <f>B462-A462</f>
        <v>1.3263888888905058</v>
      </c>
      <c r="M462" s="27">
        <f>'[175]CEMTEX LEADER'!$F$44</f>
        <v>0.45833333333818399</v>
      </c>
      <c r="N462" s="434">
        <f>(H462)/L462</f>
        <v>15546.722513070054</v>
      </c>
      <c r="O462" s="434">
        <f>(H462)/M462</f>
        <v>44991.272726796575</v>
      </c>
      <c r="P462" s="633">
        <v>30000</v>
      </c>
      <c r="Q462" s="69">
        <f>(267589/10000)*8.7</f>
        <v>232.80242999999999</v>
      </c>
      <c r="R462" s="69">
        <f>(261955/10000)*8.7</f>
        <v>227.90084999999996</v>
      </c>
      <c r="S462" s="435">
        <f>Q462-R462</f>
        <v>4.901580000000024</v>
      </c>
      <c r="T462" s="435">
        <f>S462/8.7*10000/(H462)</f>
        <v>0.2732166238300775</v>
      </c>
      <c r="U462" s="435">
        <f>S462/8.5*10000/(H462)</f>
        <v>0.27964525027313808</v>
      </c>
      <c r="V462" s="31"/>
      <c r="W462" s="32"/>
      <c r="X462" s="33"/>
      <c r="Y462" s="544">
        <v>2.64</v>
      </c>
      <c r="Z462" s="469">
        <f t="shared" si="109"/>
        <v>54439.44</v>
      </c>
      <c r="AA462" s="33"/>
      <c r="AB462" s="438"/>
      <c r="AC462" s="33"/>
    </row>
    <row r="463" spans="1:29" x14ac:dyDescent="0.3">
      <c r="A463" s="146">
        <v>43980.458333333336</v>
      </c>
      <c r="B463" s="146">
        <v>43981.180555555555</v>
      </c>
      <c r="C463" s="23"/>
      <c r="D463" s="23"/>
      <c r="E463" s="35" t="s">
        <v>624</v>
      </c>
      <c r="F463" s="25" t="s">
        <v>328</v>
      </c>
      <c r="G463" s="433"/>
      <c r="H463" s="433">
        <f>23730-H464</f>
        <v>16279.05</v>
      </c>
      <c r="I463" s="433"/>
      <c r="J463" s="26">
        <v>76950</v>
      </c>
      <c r="K463" s="632">
        <f>H463+H464-J463</f>
        <v>-53220</v>
      </c>
      <c r="L463" s="27">
        <f>B463-A463</f>
        <v>0.72222222221898846</v>
      </c>
      <c r="M463" s="27">
        <f>'[175]LM SELENE'!$F$44</f>
        <v>0.51562499999514932</v>
      </c>
      <c r="N463" s="434">
        <f>(H463+H464)/L463</f>
        <v>32856.923077070191</v>
      </c>
      <c r="O463" s="434">
        <f>(H463+H464)/M463</f>
        <v>46021.818182251125</v>
      </c>
      <c r="P463" s="633">
        <v>30000</v>
      </c>
      <c r="Q463" s="69">
        <f>(261496/10000)*8.7</f>
        <v>227.50151999999997</v>
      </c>
      <c r="R463" s="69">
        <f>(257303/10000)*8.7</f>
        <v>223.85360999999997</v>
      </c>
      <c r="S463" s="435">
        <f>Q463-R463</f>
        <v>3.647909999999996</v>
      </c>
      <c r="T463" s="435">
        <f>S463/8.7*10000/(H463+H464)</f>
        <v>0.17669616519174022</v>
      </c>
      <c r="U463" s="435">
        <f>S463/8.5*10000/(H463+H464)</f>
        <v>0.1808537220197812</v>
      </c>
      <c r="V463" s="436"/>
      <c r="W463" s="437"/>
      <c r="X463" s="33"/>
      <c r="Y463" s="544">
        <v>2.64</v>
      </c>
      <c r="Z463" s="469">
        <f t="shared" si="109"/>
        <v>42976.692000000003</v>
      </c>
      <c r="AA463" s="33"/>
      <c r="AB463" s="438"/>
      <c r="AC463" s="33"/>
    </row>
    <row r="464" spans="1:29" x14ac:dyDescent="0.3">
      <c r="A464" s="439"/>
      <c r="B464" s="439"/>
      <c r="C464" s="23"/>
      <c r="D464" s="23"/>
      <c r="E464" s="35" t="s">
        <v>625</v>
      </c>
      <c r="F464" s="25"/>
      <c r="G464" s="433"/>
      <c r="H464" s="433">
        <v>7450.95</v>
      </c>
      <c r="I464" s="433"/>
      <c r="J464" s="26"/>
      <c r="K464" s="27"/>
      <c r="L464" s="27"/>
      <c r="M464" s="434"/>
      <c r="N464" s="434"/>
      <c r="O464" s="434"/>
      <c r="P464" s="69"/>
      <c r="Q464" s="69"/>
      <c r="R464" s="69"/>
      <c r="S464" s="435"/>
      <c r="T464" s="435"/>
      <c r="U464" s="435"/>
      <c r="V464" s="436"/>
      <c r="W464" s="437"/>
      <c r="X464" s="33"/>
      <c r="Y464" s="544">
        <v>6.5</v>
      </c>
      <c r="Z464" s="469">
        <f t="shared" si="109"/>
        <v>48431.174999999996</v>
      </c>
      <c r="AA464" s="33"/>
      <c r="AB464" s="438"/>
      <c r="AC464" s="33"/>
    </row>
    <row r="465" spans="1:29" x14ac:dyDescent="0.3">
      <c r="A465" s="439"/>
      <c r="B465" s="439"/>
      <c r="C465" s="23"/>
      <c r="D465" s="23"/>
      <c r="E465" s="39" t="s">
        <v>29</v>
      </c>
      <c r="F465" s="16"/>
      <c r="G465" s="457"/>
      <c r="H465" s="457">
        <f>375000-SUM(H450:H464)</f>
        <v>138933.00000000003</v>
      </c>
      <c r="I465" s="433"/>
      <c r="J465" s="26"/>
      <c r="K465" s="27"/>
      <c r="L465" s="27"/>
      <c r="M465" s="434"/>
      <c r="N465" s="434"/>
      <c r="O465" s="434"/>
      <c r="P465" s="69"/>
      <c r="Q465" s="69"/>
      <c r="R465" s="69"/>
      <c r="S465" s="435"/>
      <c r="T465" s="435"/>
      <c r="U465" s="435"/>
      <c r="V465" s="436"/>
      <c r="W465" s="437"/>
      <c r="X465" s="33"/>
      <c r="Y465" s="620">
        <v>2.64</v>
      </c>
      <c r="Z465" s="503">
        <f t="shared" si="109"/>
        <v>366783.12000000011</v>
      </c>
      <c r="AA465" s="33"/>
      <c r="AB465" s="438"/>
      <c r="AC465" s="33"/>
    </row>
    <row r="466" spans="1:29" x14ac:dyDescent="0.3">
      <c r="A466" s="20"/>
      <c r="B466" s="20"/>
      <c r="C466" s="20">
        <v>1000000001</v>
      </c>
      <c r="D466" s="20"/>
      <c r="E466" s="21" t="s">
        <v>52</v>
      </c>
      <c r="F466" s="21"/>
      <c r="G466" s="431">
        <f>SUM(G449:G465)</f>
        <v>43340</v>
      </c>
      <c r="H466" s="431">
        <f>SUM(H450:H464)</f>
        <v>236066.99999999997</v>
      </c>
      <c r="I466" s="431"/>
      <c r="J466" s="431"/>
      <c r="K466" s="431"/>
      <c r="L466" s="431"/>
      <c r="M466" s="431"/>
      <c r="N466" s="431"/>
      <c r="O466" s="431"/>
      <c r="P466" s="431"/>
      <c r="Q466" s="431"/>
      <c r="R466" s="440">
        <f>SUM(R449:R465)</f>
        <v>2023.3772699999997</v>
      </c>
      <c r="S466" s="441">
        <f>R466/8.7*10000/G466</f>
        <v>53.662228887863407</v>
      </c>
      <c r="T466" s="440"/>
      <c r="U466" s="440"/>
      <c r="V466" s="442"/>
      <c r="W466" s="22"/>
      <c r="X466" s="22"/>
      <c r="Y466" s="432"/>
      <c r="Z466" s="432">
        <f>SUM(Z450:Z465)</f>
        <v>1157290.1882200001</v>
      </c>
      <c r="AA466" s="432"/>
      <c r="AB466" s="432"/>
      <c r="AC466" s="432"/>
    </row>
    <row r="467" spans="1:29" x14ac:dyDescent="0.3">
      <c r="A467" s="146"/>
      <c r="B467" s="146"/>
      <c r="C467" s="23"/>
      <c r="D467" s="14"/>
      <c r="E467" s="35"/>
      <c r="F467" s="25"/>
      <c r="G467" s="433"/>
      <c r="H467" s="433"/>
      <c r="I467" s="433"/>
      <c r="J467" s="26"/>
      <c r="K467" s="27"/>
      <c r="L467" s="27"/>
      <c r="M467" s="434"/>
      <c r="N467" s="434"/>
      <c r="O467" s="434"/>
      <c r="P467" s="69"/>
      <c r="Q467" s="69"/>
      <c r="R467" s="69"/>
      <c r="S467" s="435"/>
      <c r="T467" s="435"/>
      <c r="U467" s="435"/>
      <c r="V467" s="436"/>
      <c r="W467" s="437"/>
      <c r="X467" s="33"/>
      <c r="Y467" s="33"/>
      <c r="Z467" s="33"/>
      <c r="AA467" s="33"/>
      <c r="AB467" s="438"/>
      <c r="AC467" s="33"/>
    </row>
    <row r="468" spans="1:29" x14ac:dyDescent="0.3">
      <c r="A468" s="146">
        <v>43982.6875</v>
      </c>
      <c r="B468" s="146">
        <v>43983.395833333336</v>
      </c>
      <c r="C468" s="23"/>
      <c r="D468" s="14"/>
      <c r="E468" s="35" t="s">
        <v>416</v>
      </c>
      <c r="F468" s="36" t="s">
        <v>328</v>
      </c>
      <c r="G468" s="433"/>
      <c r="H468" s="433">
        <f>26295-H469-H470</f>
        <v>15564.512000000002</v>
      </c>
      <c r="I468" s="433"/>
      <c r="J468" s="26">
        <v>62300</v>
      </c>
      <c r="K468" s="632">
        <f>H468+H469+H470-J468</f>
        <v>-36005</v>
      </c>
      <c r="L468" s="27">
        <f>B468-A468</f>
        <v>0.70833333333575865</v>
      </c>
      <c r="M468" s="27">
        <f>'[176]RONG YUAN'!$F$51</f>
        <v>0.55902777778343682</v>
      </c>
      <c r="N468" s="434">
        <f>(H468+H469+H470)/L468</f>
        <v>37122.352941049365</v>
      </c>
      <c r="O468" s="434">
        <f>(H468+H469+H470)/M468</f>
        <v>47037.018633064217</v>
      </c>
      <c r="P468" s="633">
        <v>30000</v>
      </c>
      <c r="Q468" s="69">
        <f>(254750/10000)*8.7</f>
        <v>221.63249999999999</v>
      </c>
      <c r="R468" s="69">
        <f>(250250/10000)*8.7</f>
        <v>217.71749999999997</v>
      </c>
      <c r="S468" s="435">
        <f>Q468-R468</f>
        <v>3.9150000000000205</v>
      </c>
      <c r="T468" s="435">
        <f>S468/8.7*10000/(H468+H469+H470)</f>
        <v>0.17113519680547723</v>
      </c>
      <c r="U468" s="435">
        <f>S468/8.5*10000/(H468+H469+H470)</f>
        <v>0.17516190731854731</v>
      </c>
      <c r="V468" s="436"/>
      <c r="W468" s="32"/>
      <c r="X468" s="33"/>
      <c r="Y468" s="544">
        <v>2.64</v>
      </c>
      <c r="Z468" s="469">
        <f t="shared" ref="Z468:Z501" si="110">H468*Y468</f>
        <v>41090.311680000006</v>
      </c>
      <c r="AA468" s="33"/>
      <c r="AB468" s="438"/>
      <c r="AC468" s="33"/>
    </row>
    <row r="469" spans="1:29" x14ac:dyDescent="0.3">
      <c r="A469" s="146"/>
      <c r="B469" s="146"/>
      <c r="C469" s="23"/>
      <c r="D469" s="14"/>
      <c r="E469" s="35" t="s">
        <v>496</v>
      </c>
      <c r="F469" s="36"/>
      <c r="G469" s="433"/>
      <c r="H469" s="433">
        <v>2693.3330000000001</v>
      </c>
      <c r="I469" s="433"/>
      <c r="J469" s="26"/>
      <c r="K469" s="27"/>
      <c r="L469" s="27"/>
      <c r="M469" s="434"/>
      <c r="N469" s="434"/>
      <c r="O469" s="434"/>
      <c r="P469" s="69"/>
      <c r="Q469" s="69"/>
      <c r="R469" s="69"/>
      <c r="S469" s="435"/>
      <c r="T469" s="435"/>
      <c r="U469" s="435"/>
      <c r="V469" s="436"/>
      <c r="W469" s="32"/>
      <c r="X469" s="33"/>
      <c r="Y469" s="544">
        <v>6.5</v>
      </c>
      <c r="Z469" s="469">
        <f t="shared" si="110"/>
        <v>17506.664499999999</v>
      </c>
      <c r="AA469" s="33"/>
      <c r="AB469" s="438"/>
      <c r="AC469" s="33"/>
    </row>
    <row r="470" spans="1:29" x14ac:dyDescent="0.3">
      <c r="A470" s="146"/>
      <c r="B470" s="146"/>
      <c r="C470" s="23"/>
      <c r="D470" s="14"/>
      <c r="E470" s="35" t="s">
        <v>496</v>
      </c>
      <c r="F470" s="36"/>
      <c r="G470" s="433"/>
      <c r="H470" s="433">
        <v>8037.1549999999997</v>
      </c>
      <c r="I470" s="433"/>
      <c r="J470" s="26"/>
      <c r="K470" s="27"/>
      <c r="L470" s="27"/>
      <c r="M470" s="434"/>
      <c r="N470" s="434"/>
      <c r="O470" s="434"/>
      <c r="P470" s="69"/>
      <c r="Q470" s="69"/>
      <c r="R470" s="69"/>
      <c r="S470" s="435"/>
      <c r="T470" s="435"/>
      <c r="U470" s="435"/>
      <c r="V470" s="436"/>
      <c r="W470" s="32"/>
      <c r="X470" s="33"/>
      <c r="Y470" s="544">
        <v>6.5</v>
      </c>
      <c r="Z470" s="469">
        <f t="shared" si="110"/>
        <v>52241.5075</v>
      </c>
      <c r="AA470" s="33"/>
      <c r="AB470" s="438"/>
      <c r="AC470" s="33"/>
    </row>
    <row r="471" spans="1:29" x14ac:dyDescent="0.3">
      <c r="A471" s="146">
        <v>43983.840277777781</v>
      </c>
      <c r="B471" s="146">
        <v>43985.916666666664</v>
      </c>
      <c r="C471" s="23"/>
      <c r="D471" s="14"/>
      <c r="E471" s="35" t="s">
        <v>626</v>
      </c>
      <c r="F471" s="36" t="s">
        <v>212</v>
      </c>
      <c r="G471" s="433"/>
      <c r="H471" s="433">
        <f>52500-H472-H473-H474-H475</f>
        <v>27708.971000000001</v>
      </c>
      <c r="I471" s="433"/>
      <c r="J471" s="26">
        <v>52500</v>
      </c>
      <c r="K471" s="632">
        <f>H471+H472+H473+H474+H475-J471</f>
        <v>0</v>
      </c>
      <c r="L471" s="27">
        <f>B471-A471</f>
        <v>2.0763888888832298</v>
      </c>
      <c r="M471" s="27">
        <f>'[176]MANALAGI SAMBA'!$F$103</f>
        <v>0.90798611111919558</v>
      </c>
      <c r="N471" s="434">
        <f>(H471+H472+H473+H474+H475)/L471</f>
        <v>25284.280936523759</v>
      </c>
      <c r="O471" s="434">
        <f>(H471+H472+H473+H474+H475)/M471</f>
        <v>57820.267685909661</v>
      </c>
      <c r="P471" s="633">
        <v>30000</v>
      </c>
      <c r="Q471" s="69">
        <f>(249220/10000)*8.7</f>
        <v>216.82139999999998</v>
      </c>
      <c r="R471" s="69">
        <f>(238039/10000)*8.7</f>
        <v>207.09392999999997</v>
      </c>
      <c r="S471" s="435">
        <f>Q471-R471</f>
        <v>9.7274700000000109</v>
      </c>
      <c r="T471" s="435">
        <f>S471/8.7*10000/(H471+H472+H473+H474+H475)</f>
        <v>0.21297142857142884</v>
      </c>
      <c r="U471" s="435">
        <f>S471/8.5*10000/(H471+H472+H473+H474+H475)</f>
        <v>0.21798252100840362</v>
      </c>
      <c r="V471" s="31"/>
      <c r="W471" s="32"/>
      <c r="X471" s="33"/>
      <c r="Y471" s="544">
        <v>2.64</v>
      </c>
      <c r="Z471" s="469">
        <f t="shared" si="110"/>
        <v>73151.683440000008</v>
      </c>
      <c r="AA471" s="33"/>
      <c r="AB471" s="438"/>
      <c r="AC471" s="33"/>
    </row>
    <row r="472" spans="1:29" x14ac:dyDescent="0.3">
      <c r="A472" s="146"/>
      <c r="B472" s="146"/>
      <c r="C472" s="23"/>
      <c r="D472" s="14"/>
      <c r="E472" s="35" t="s">
        <v>627</v>
      </c>
      <c r="F472" s="36"/>
      <c r="G472" s="433"/>
      <c r="H472" s="433">
        <v>7959.3729999999996</v>
      </c>
      <c r="I472" s="433"/>
      <c r="J472" s="26"/>
      <c r="K472" s="27"/>
      <c r="L472" s="27"/>
      <c r="M472" s="434"/>
      <c r="N472" s="434"/>
      <c r="O472" s="434"/>
      <c r="P472" s="69"/>
      <c r="Q472" s="69"/>
      <c r="R472" s="69"/>
      <c r="S472" s="435"/>
      <c r="T472" s="435"/>
      <c r="U472" s="435"/>
      <c r="V472" s="31"/>
      <c r="W472" s="32"/>
      <c r="X472" s="33"/>
      <c r="Y472" s="544">
        <v>6.5</v>
      </c>
      <c r="Z472" s="469">
        <f t="shared" si="110"/>
        <v>51735.924499999994</v>
      </c>
      <c r="AA472" s="33"/>
      <c r="AB472" s="438"/>
      <c r="AC472" s="33"/>
    </row>
    <row r="473" spans="1:29" x14ac:dyDescent="0.3">
      <c r="A473" s="146"/>
      <c r="B473" s="146"/>
      <c r="C473" s="23"/>
      <c r="D473" s="14"/>
      <c r="E473" s="35" t="s">
        <v>627</v>
      </c>
      <c r="F473" s="36"/>
      <c r="G473" s="433"/>
      <c r="H473" s="433">
        <v>8076.4620000000004</v>
      </c>
      <c r="I473" s="433"/>
      <c r="J473" s="26"/>
      <c r="K473" s="27"/>
      <c r="L473" s="27"/>
      <c r="M473" s="434"/>
      <c r="N473" s="434"/>
      <c r="O473" s="434"/>
      <c r="P473" s="69"/>
      <c r="Q473" s="69"/>
      <c r="R473" s="69"/>
      <c r="S473" s="435"/>
      <c r="T473" s="435"/>
      <c r="U473" s="435"/>
      <c r="V473" s="31"/>
      <c r="W473" s="32"/>
      <c r="X473" s="33"/>
      <c r="Y473" s="544">
        <v>6.5</v>
      </c>
      <c r="Z473" s="469">
        <f t="shared" si="110"/>
        <v>52497.003000000004</v>
      </c>
      <c r="AA473" s="33"/>
      <c r="AB473" s="438"/>
      <c r="AC473" s="33"/>
    </row>
    <row r="474" spans="1:29" x14ac:dyDescent="0.3">
      <c r="A474" s="146"/>
      <c r="B474" s="146"/>
      <c r="C474" s="23"/>
      <c r="D474" s="14"/>
      <c r="E474" s="35" t="s">
        <v>627</v>
      </c>
      <c r="F474" s="36"/>
      <c r="G474" s="433"/>
      <c r="H474" s="433">
        <v>7497.1940000000004</v>
      </c>
      <c r="I474" s="433"/>
      <c r="J474" s="26"/>
      <c r="K474" s="27"/>
      <c r="L474" s="27"/>
      <c r="M474" s="434"/>
      <c r="N474" s="434"/>
      <c r="O474" s="434"/>
      <c r="P474" s="69"/>
      <c r="Q474" s="69"/>
      <c r="R474" s="69"/>
      <c r="S474" s="435"/>
      <c r="T474" s="435"/>
      <c r="U474" s="435"/>
      <c r="V474" s="31"/>
      <c r="W474" s="32"/>
      <c r="X474" s="33"/>
      <c r="Y474" s="544">
        <v>6.5</v>
      </c>
      <c r="Z474" s="469">
        <f t="shared" si="110"/>
        <v>48731.761000000006</v>
      </c>
      <c r="AA474" s="33"/>
      <c r="AB474" s="438"/>
      <c r="AC474" s="33"/>
    </row>
    <row r="475" spans="1:29" x14ac:dyDescent="0.3">
      <c r="A475" s="146"/>
      <c r="B475" s="146"/>
      <c r="C475" s="23"/>
      <c r="D475" s="14"/>
      <c r="E475" s="35" t="s">
        <v>627</v>
      </c>
      <c r="F475" s="36"/>
      <c r="G475" s="433"/>
      <c r="H475" s="433">
        <v>1258</v>
      </c>
      <c r="I475" s="433"/>
      <c r="J475" s="26"/>
      <c r="K475" s="27"/>
      <c r="L475" s="27"/>
      <c r="M475" s="434"/>
      <c r="N475" s="434"/>
      <c r="O475" s="434"/>
      <c r="P475" s="69"/>
      <c r="Q475" s="69"/>
      <c r="R475" s="69"/>
      <c r="S475" s="435"/>
      <c r="T475" s="435"/>
      <c r="U475" s="435"/>
      <c r="V475" s="31"/>
      <c r="W475" s="32"/>
      <c r="X475" s="33"/>
      <c r="Y475" s="544">
        <v>6.5</v>
      </c>
      <c r="Z475" s="469">
        <f t="shared" si="110"/>
        <v>8177</v>
      </c>
      <c r="AA475" s="33"/>
      <c r="AB475" s="438"/>
      <c r="AC475" s="33"/>
    </row>
    <row r="476" spans="1:29" x14ac:dyDescent="0.3">
      <c r="A476" s="146">
        <v>43987.833333333336</v>
      </c>
      <c r="B476" s="146">
        <v>43989.138888888891</v>
      </c>
      <c r="C476" s="23"/>
      <c r="D476" s="14"/>
      <c r="E476" s="35" t="s">
        <v>628</v>
      </c>
      <c r="F476" s="36" t="s">
        <v>328</v>
      </c>
      <c r="G476" s="433"/>
      <c r="H476" s="433">
        <v>36970</v>
      </c>
      <c r="I476" s="433"/>
      <c r="J476" s="26">
        <v>67000</v>
      </c>
      <c r="K476" s="632">
        <f>H476-J476</f>
        <v>-30030</v>
      </c>
      <c r="L476" s="27">
        <f>B476-A476</f>
        <v>1.3055555555547471</v>
      </c>
      <c r="M476" s="27">
        <f>'[176]ANDHIKA KANISKHA'!$F$92</f>
        <v>0.75347222223960364</v>
      </c>
      <c r="N476" s="434">
        <f>(H476)/L476</f>
        <v>28317.446808528173</v>
      </c>
      <c r="O476" s="434">
        <f>(H476)/M476</f>
        <v>49066.175114075493</v>
      </c>
      <c r="P476" s="633">
        <v>30000</v>
      </c>
      <c r="Q476" s="69">
        <f>(234314/10000)*8.7</f>
        <v>203.85317999999998</v>
      </c>
      <c r="R476" s="69">
        <f>(227155/10000)*8.7</f>
        <v>197.62484999999998</v>
      </c>
      <c r="S476" s="435">
        <f>Q476-R476</f>
        <v>6.2283299999999997</v>
      </c>
      <c r="T476" s="435">
        <f>S476/8.7*10000/(H476)</f>
        <v>0.19364349472545306</v>
      </c>
      <c r="U476" s="435">
        <f>S476/8.5*10000/(H476)</f>
        <v>0.19819981224840488</v>
      </c>
      <c r="V476" s="31"/>
      <c r="W476" s="32"/>
      <c r="X476" s="33"/>
      <c r="Y476" s="544">
        <v>2.64</v>
      </c>
      <c r="Z476" s="469">
        <f t="shared" si="110"/>
        <v>97600.8</v>
      </c>
      <c r="AA476" s="33"/>
      <c r="AB476" s="438"/>
      <c r="AC476" s="33"/>
    </row>
    <row r="477" spans="1:29" x14ac:dyDescent="0.3">
      <c r="A477" s="146">
        <v>43989.333333333336</v>
      </c>
      <c r="B477" s="146">
        <v>43990.256944444445</v>
      </c>
      <c r="C477" s="23"/>
      <c r="D477" s="14"/>
      <c r="E477" s="35" t="s">
        <v>258</v>
      </c>
      <c r="F477" s="36" t="s">
        <v>328</v>
      </c>
      <c r="G477" s="433"/>
      <c r="H477" s="433">
        <v>30121</v>
      </c>
      <c r="I477" s="433"/>
      <c r="J477" s="26">
        <v>72805</v>
      </c>
      <c r="K477" s="632">
        <f>H477-J477</f>
        <v>-42684</v>
      </c>
      <c r="L477" s="27">
        <f>B477-A477</f>
        <v>0.92361111110949423</v>
      </c>
      <c r="M477" s="27">
        <f>'[176]ASIA GRAECA'!$F$55</f>
        <v>0.63888888890020701</v>
      </c>
      <c r="N477" s="434">
        <f>(H477)/L477</f>
        <v>32612.210526372881</v>
      </c>
      <c r="O477" s="434">
        <f>(H477)/M477</f>
        <v>47145.913042643057</v>
      </c>
      <c r="P477" s="633">
        <v>30000</v>
      </c>
      <c r="Q477" s="69">
        <f>(226763/10000)*8.7</f>
        <v>197.28380999999999</v>
      </c>
      <c r="R477" s="69">
        <f>(221310/10000)*8.7</f>
        <v>192.53969999999998</v>
      </c>
      <c r="S477" s="435">
        <f>Q477-R477</f>
        <v>4.7441100000000063</v>
      </c>
      <c r="T477" s="435">
        <f>S477/8.7*10000/(H477)</f>
        <v>0.18103648617243812</v>
      </c>
      <c r="U477" s="435">
        <f>S477/8.5*10000/(H477)</f>
        <v>0.18529616820002484</v>
      </c>
      <c r="V477" s="31"/>
      <c r="W477" s="32"/>
      <c r="X477" s="33"/>
      <c r="Y477" s="544">
        <v>2.64</v>
      </c>
      <c r="Z477" s="469">
        <f t="shared" si="110"/>
        <v>79519.44</v>
      </c>
      <c r="AA477" s="33"/>
      <c r="AB477" s="438"/>
      <c r="AC477" s="33"/>
    </row>
    <row r="478" spans="1:29" x14ac:dyDescent="0.3">
      <c r="A478" s="146">
        <v>43990.916666666664</v>
      </c>
      <c r="B478" s="146">
        <v>43991.590277777781</v>
      </c>
      <c r="C478" s="23"/>
      <c r="D478" s="14"/>
      <c r="E478" s="35" t="s">
        <v>629</v>
      </c>
      <c r="F478" s="36" t="s">
        <v>328</v>
      </c>
      <c r="G478" s="433"/>
      <c r="H478" s="433">
        <f>25842-H479-H480</f>
        <v>13790.338</v>
      </c>
      <c r="I478" s="433"/>
      <c r="J478" s="26">
        <v>71500</v>
      </c>
      <c r="K478" s="632">
        <f>H478+H479+H480-J478</f>
        <v>-45658</v>
      </c>
      <c r="L478" s="27">
        <f>B478-A478</f>
        <v>0.67361111111677019</v>
      </c>
      <c r="M478" s="27">
        <f>[176]FAYE!$F$46</f>
        <v>0.53298611110585625</v>
      </c>
      <c r="N478" s="434">
        <f>(H478+H479+H480)/L478</f>
        <v>38363.381442976672</v>
      </c>
      <c r="O478" s="434">
        <f>(H478+H479+H480)/M478</f>
        <v>48485.315961390079</v>
      </c>
      <c r="P478" s="633">
        <v>30000</v>
      </c>
      <c r="Q478" s="69">
        <f>(219988/10000)*8.7</f>
        <v>191.38955999999999</v>
      </c>
      <c r="R478" s="69">
        <f>(215368/10000)*8.7</f>
        <v>187.37015999999997</v>
      </c>
      <c r="S478" s="435">
        <f>Q478-R478</f>
        <v>4.0194000000000187</v>
      </c>
      <c r="T478" s="435">
        <f>S478/8.7*10000/(H478+H479+H480)</f>
        <v>0.17877873229626273</v>
      </c>
      <c r="U478" s="435">
        <f>S478/8.5*10000/(H478+H479+H480)</f>
        <v>0.18298529070323363</v>
      </c>
      <c r="V478" s="31"/>
      <c r="W478" s="32"/>
      <c r="X478" s="33"/>
      <c r="Y478" s="544">
        <v>2.64</v>
      </c>
      <c r="Z478" s="469">
        <f t="shared" si="110"/>
        <v>36406.492319999998</v>
      </c>
      <c r="AA478" s="33"/>
      <c r="AB478" s="438"/>
      <c r="AC478" s="33"/>
    </row>
    <row r="479" spans="1:29" x14ac:dyDescent="0.3">
      <c r="A479" s="146"/>
      <c r="B479" s="146"/>
      <c r="C479" s="23"/>
      <c r="D479" s="14"/>
      <c r="E479" s="35" t="s">
        <v>630</v>
      </c>
      <c r="F479" s="36"/>
      <c r="G479" s="433"/>
      <c r="H479" s="433">
        <v>8292.6620000000003</v>
      </c>
      <c r="I479" s="433"/>
      <c r="J479" s="26"/>
      <c r="K479" s="27"/>
      <c r="L479" s="27"/>
      <c r="M479" s="434"/>
      <c r="N479" s="434"/>
      <c r="O479" s="434"/>
      <c r="P479" s="69"/>
      <c r="Q479" s="69"/>
      <c r="R479" s="69"/>
      <c r="S479" s="435"/>
      <c r="T479" s="435"/>
      <c r="U479" s="435"/>
      <c r="V479" s="31"/>
      <c r="W479" s="32"/>
      <c r="X479" s="33"/>
      <c r="Y479" s="544">
        <v>6.5</v>
      </c>
      <c r="Z479" s="469">
        <f t="shared" si="110"/>
        <v>53902.303</v>
      </c>
      <c r="AA479" s="33"/>
      <c r="AB479" s="438"/>
      <c r="AC479" s="33"/>
    </row>
    <row r="480" spans="1:29" x14ac:dyDescent="0.3">
      <c r="A480" s="146"/>
      <c r="B480" s="146"/>
      <c r="C480" s="23"/>
      <c r="D480" s="14"/>
      <c r="E480" s="35" t="s">
        <v>630</v>
      </c>
      <c r="F480" s="36"/>
      <c r="G480" s="433"/>
      <c r="H480" s="433">
        <v>3759</v>
      </c>
      <c r="I480" s="433"/>
      <c r="J480" s="26"/>
      <c r="K480" s="27"/>
      <c r="L480" s="27"/>
      <c r="M480" s="434"/>
      <c r="N480" s="434"/>
      <c r="O480" s="434"/>
      <c r="P480" s="69"/>
      <c r="Q480" s="69"/>
      <c r="R480" s="69"/>
      <c r="S480" s="435"/>
      <c r="T480" s="435"/>
      <c r="U480" s="435"/>
      <c r="V480" s="31"/>
      <c r="W480" s="32"/>
      <c r="X480" s="33"/>
      <c r="Y480" s="544">
        <v>6.5</v>
      </c>
      <c r="Z480" s="469">
        <f t="shared" si="110"/>
        <v>24433.5</v>
      </c>
      <c r="AA480" s="33"/>
      <c r="AB480" s="438"/>
      <c r="AC480" s="33"/>
    </row>
    <row r="481" spans="1:29" x14ac:dyDescent="0.3">
      <c r="A481" s="146">
        <v>43992.847222222219</v>
      </c>
      <c r="B481" s="146">
        <v>43993.736111111109</v>
      </c>
      <c r="C481" s="23"/>
      <c r="D481" s="14"/>
      <c r="E481" s="35" t="s">
        <v>631</v>
      </c>
      <c r="F481" s="36" t="s">
        <v>32</v>
      </c>
      <c r="G481" s="433"/>
      <c r="H481" s="433">
        <f>32356-H482-H483</f>
        <v>21919.202000000001</v>
      </c>
      <c r="I481" s="433"/>
      <c r="J481" s="26">
        <v>78000</v>
      </c>
      <c r="K481" s="632">
        <f>H481+H482+H483-J481</f>
        <v>-45644</v>
      </c>
      <c r="L481" s="27">
        <f>B481-A481</f>
        <v>0.88888888889050577</v>
      </c>
      <c r="M481" s="27">
        <f>'[176]KONSTANTINOS II'!$F$60</f>
        <v>0.66493055556444836</v>
      </c>
      <c r="N481" s="434">
        <f>(H481+H482+H483)/L481</f>
        <v>36400.499999933789</v>
      </c>
      <c r="O481" s="434">
        <f>(H481+H482+H483)/M481</f>
        <v>48660.720625981063</v>
      </c>
      <c r="P481" s="633">
        <v>30000</v>
      </c>
      <c r="Q481" s="69">
        <f>(213541/10000)*8.7</f>
        <v>185.78066999999999</v>
      </c>
      <c r="R481" s="69">
        <f>(207862/10000)*8.7</f>
        <v>180.83993999999998</v>
      </c>
      <c r="S481" s="435">
        <f>Q481-R481</f>
        <v>4.9407300000000021</v>
      </c>
      <c r="T481" s="435">
        <f>S481/8.7*10000/(H481+H482+H483)</f>
        <v>0.1755161330201509</v>
      </c>
      <c r="U481" s="435">
        <f>S481/8.5*10000/(H481+H482+H483)</f>
        <v>0.17964592438533092</v>
      </c>
      <c r="V481" s="31"/>
      <c r="W481" s="32"/>
      <c r="X481" s="33"/>
      <c r="Y481" s="544">
        <v>2.64</v>
      </c>
      <c r="Z481" s="469">
        <f t="shared" si="110"/>
        <v>57866.693280000007</v>
      </c>
      <c r="AA481" s="33"/>
      <c r="AB481" s="438"/>
      <c r="AC481" s="33"/>
    </row>
    <row r="482" spans="1:29" x14ac:dyDescent="0.3">
      <c r="A482" s="146"/>
      <c r="B482" s="146"/>
      <c r="C482" s="23"/>
      <c r="D482" s="14"/>
      <c r="E482" s="35" t="s">
        <v>632</v>
      </c>
      <c r="F482" s="36"/>
      <c r="G482" s="433"/>
      <c r="H482" s="433">
        <v>2420.7449999999999</v>
      </c>
      <c r="I482" s="433"/>
      <c r="J482" s="26"/>
      <c r="K482" s="27"/>
      <c r="L482" s="27"/>
      <c r="M482" s="434"/>
      <c r="N482" s="434"/>
      <c r="O482" s="434"/>
      <c r="P482" s="69"/>
      <c r="Q482" s="69"/>
      <c r="R482" s="69"/>
      <c r="S482" s="435"/>
      <c r="T482" s="435"/>
      <c r="U482" s="435"/>
      <c r="V482" s="31"/>
      <c r="W482" s="32"/>
      <c r="X482" s="33"/>
      <c r="Y482" s="544">
        <v>6.5</v>
      </c>
      <c r="Z482" s="469">
        <f t="shared" si="110"/>
        <v>15734.842499999999</v>
      </c>
      <c r="AA482" s="33"/>
      <c r="AB482" s="438"/>
      <c r="AC482" s="33"/>
    </row>
    <row r="483" spans="1:29" x14ac:dyDescent="0.3">
      <c r="A483" s="146"/>
      <c r="B483" s="146"/>
      <c r="C483" s="23"/>
      <c r="D483" s="14"/>
      <c r="E483" s="35" t="s">
        <v>632</v>
      </c>
      <c r="F483" s="36"/>
      <c r="G483" s="433"/>
      <c r="H483" s="433">
        <v>8016.0529999999999</v>
      </c>
      <c r="I483" s="433"/>
      <c r="J483" s="26"/>
      <c r="K483" s="27"/>
      <c r="L483" s="27"/>
      <c r="M483" s="434"/>
      <c r="N483" s="434"/>
      <c r="O483" s="434"/>
      <c r="P483" s="69"/>
      <c r="Q483" s="69"/>
      <c r="R483" s="69"/>
      <c r="S483" s="435"/>
      <c r="T483" s="435"/>
      <c r="U483" s="435"/>
      <c r="V483" s="31"/>
      <c r="W483" s="32"/>
      <c r="X483" s="33"/>
      <c r="Y483" s="544">
        <v>6.5</v>
      </c>
      <c r="Z483" s="469">
        <f t="shared" si="110"/>
        <v>52104.344499999999</v>
      </c>
      <c r="AA483" s="33"/>
      <c r="AB483" s="438"/>
      <c r="AC483" s="33"/>
    </row>
    <row r="484" spans="1:29" x14ac:dyDescent="0.3">
      <c r="A484" s="146">
        <v>43997.395833333336</v>
      </c>
      <c r="B484" s="146">
        <v>43998.138888888891</v>
      </c>
      <c r="C484" s="23"/>
      <c r="D484" s="23"/>
      <c r="E484" s="35" t="s">
        <v>633</v>
      </c>
      <c r="F484" s="25" t="s">
        <v>212</v>
      </c>
      <c r="G484" s="433">
        <v>19000</v>
      </c>
      <c r="H484" s="433">
        <v>24378</v>
      </c>
      <c r="I484" s="26"/>
      <c r="J484" s="26">
        <v>54840</v>
      </c>
      <c r="K484" s="632">
        <f>H484-J484</f>
        <v>-30462</v>
      </c>
      <c r="L484" s="27">
        <f>B484-A484</f>
        <v>0.74305555555474712</v>
      </c>
      <c r="M484" s="27">
        <f>'[176]SHI DAI 2'!$F$53</f>
        <v>0.51215277777979884</v>
      </c>
      <c r="N484" s="434">
        <f>(H484)/L484</f>
        <v>32807.775700970276</v>
      </c>
      <c r="O484" s="434">
        <f>(H484)/M484</f>
        <v>47599.077965913857</v>
      </c>
      <c r="P484" s="633">
        <v>30000</v>
      </c>
      <c r="Q484" s="69">
        <f>(202636/10000)*8.7</f>
        <v>176.29331999999999</v>
      </c>
      <c r="R484" s="69">
        <f>(197836/10000)*8.7</f>
        <v>172.11731999999998</v>
      </c>
      <c r="S484" s="435">
        <f>Q484-R484</f>
        <v>4.1760000000000161</v>
      </c>
      <c r="T484" s="435">
        <f>S484/8.7*10000/(H484)</f>
        <v>0.19689884321929688</v>
      </c>
      <c r="U484" s="435">
        <f>S484/8.5*10000/(H484)</f>
        <v>0.20153175717739796</v>
      </c>
      <c r="V484" s="436"/>
      <c r="W484" s="437"/>
      <c r="X484" s="33"/>
      <c r="Y484" s="544">
        <v>2.64</v>
      </c>
      <c r="Z484" s="469">
        <f t="shared" si="110"/>
        <v>64357.920000000006</v>
      </c>
      <c r="AA484" s="33"/>
      <c r="AB484" s="438"/>
      <c r="AC484" s="33"/>
    </row>
    <row r="485" spans="1:29" x14ac:dyDescent="0.3">
      <c r="A485" s="439">
        <v>43998.743055555555</v>
      </c>
      <c r="B485" s="439">
        <v>44000.652777777781</v>
      </c>
      <c r="C485" s="23"/>
      <c r="D485" s="23"/>
      <c r="E485" s="35" t="s">
        <v>634</v>
      </c>
      <c r="F485" s="25" t="s">
        <v>212</v>
      </c>
      <c r="G485" s="433"/>
      <c r="H485" s="433">
        <f>56650-H486-H487-H488-H489</f>
        <v>42577.091999999997</v>
      </c>
      <c r="I485" s="433"/>
      <c r="J485" s="26">
        <v>56650</v>
      </c>
      <c r="K485" s="632">
        <f>H485+H486+H487+H488+H489-J485</f>
        <v>0</v>
      </c>
      <c r="L485" s="27">
        <f>B485-A485</f>
        <v>1.9097222222262644</v>
      </c>
      <c r="M485" s="27">
        <f>'[176]YUE DIAN 54'!$F$106</f>
        <v>1.114583333349098</v>
      </c>
      <c r="N485" s="434">
        <f>(H485+H486+H487+H488+H489)/L485</f>
        <v>29663.999999937212</v>
      </c>
      <c r="O485" s="434">
        <f>(H485+H486+H487+H488+H489)/M485</f>
        <v>50826.168223580178</v>
      </c>
      <c r="P485" s="633">
        <v>30000</v>
      </c>
      <c r="Q485" s="69">
        <f>(196514/10000)*8.7</f>
        <v>170.96717999999998</v>
      </c>
      <c r="R485" s="69">
        <f>(185144/10000)*8.7</f>
        <v>161.07527999999996</v>
      </c>
      <c r="S485" s="435">
        <f>Q485-R485</f>
        <v>9.891900000000021</v>
      </c>
      <c r="T485" s="435">
        <f>S485/8.7*10000/(H485+H486+H487+H488+H489)</f>
        <v>0.2007060900264788</v>
      </c>
      <c r="U485" s="435">
        <f>S485/8.5*10000/(H485+H486+H487+H488+H489)</f>
        <v>0.20542858626239596</v>
      </c>
      <c r="V485" s="436"/>
      <c r="W485" s="437"/>
      <c r="X485" s="33"/>
      <c r="Y485" s="544">
        <v>2.64</v>
      </c>
      <c r="Z485" s="469">
        <f t="shared" si="110"/>
        <v>112403.52288</v>
      </c>
      <c r="AA485" s="33"/>
      <c r="AB485" s="438"/>
      <c r="AC485" s="33"/>
    </row>
    <row r="486" spans="1:29" x14ac:dyDescent="0.3">
      <c r="A486" s="439"/>
      <c r="B486" s="439"/>
      <c r="C486" s="23"/>
      <c r="D486" s="23"/>
      <c r="E486" s="35" t="s">
        <v>635</v>
      </c>
      <c r="F486" s="25"/>
      <c r="G486" s="433"/>
      <c r="H486" s="433">
        <v>916.74599999999998</v>
      </c>
      <c r="I486" s="433"/>
      <c r="J486" s="433"/>
      <c r="K486" s="27"/>
      <c r="L486" s="27"/>
      <c r="M486" s="434"/>
      <c r="N486" s="434"/>
      <c r="O486" s="434"/>
      <c r="P486" s="69"/>
      <c r="Q486" s="69"/>
      <c r="R486" s="69"/>
      <c r="S486" s="435"/>
      <c r="T486" s="435"/>
      <c r="U486" s="435"/>
      <c r="V486" s="436"/>
      <c r="W486" s="437"/>
      <c r="X486" s="33"/>
      <c r="Y486" s="544">
        <v>6.5</v>
      </c>
      <c r="Z486" s="469">
        <f t="shared" si="110"/>
        <v>5958.8490000000002</v>
      </c>
      <c r="AA486" s="33"/>
      <c r="AB486" s="438"/>
      <c r="AC486" s="33"/>
    </row>
    <row r="487" spans="1:29" x14ac:dyDescent="0.3">
      <c r="A487" s="439"/>
      <c r="B487" s="439"/>
      <c r="C487" s="23"/>
      <c r="D487" s="23"/>
      <c r="E487" s="35" t="s">
        <v>635</v>
      </c>
      <c r="F487" s="25"/>
      <c r="G487" s="433"/>
      <c r="H487" s="433">
        <v>1680.4780000000001</v>
      </c>
      <c r="I487" s="433"/>
      <c r="J487" s="26"/>
      <c r="K487" s="27"/>
      <c r="L487" s="27"/>
      <c r="M487" s="434"/>
      <c r="N487" s="434"/>
      <c r="O487" s="434"/>
      <c r="P487" s="69"/>
      <c r="Q487" s="69"/>
      <c r="R487" s="69"/>
      <c r="S487" s="435"/>
      <c r="T487" s="435"/>
      <c r="U487" s="435"/>
      <c r="V487" s="436"/>
      <c r="W487" s="437"/>
      <c r="X487" s="33"/>
      <c r="Y487" s="544">
        <v>6.5</v>
      </c>
      <c r="Z487" s="469">
        <f t="shared" si="110"/>
        <v>10923.107</v>
      </c>
      <c r="AA487" s="33"/>
      <c r="AB487" s="438"/>
      <c r="AC487" s="33"/>
    </row>
    <row r="488" spans="1:29" x14ac:dyDescent="0.3">
      <c r="A488" s="439"/>
      <c r="B488" s="439"/>
      <c r="C488" s="23"/>
      <c r="D488" s="23"/>
      <c r="E488" s="35" t="s">
        <v>635</v>
      </c>
      <c r="F488" s="25"/>
      <c r="G488" s="433"/>
      <c r="H488" s="433">
        <v>4826.6840000000002</v>
      </c>
      <c r="I488" s="433"/>
      <c r="J488" s="26"/>
      <c r="K488" s="27"/>
      <c r="L488" s="27"/>
      <c r="M488" s="434"/>
      <c r="N488" s="434"/>
      <c r="O488" s="434"/>
      <c r="P488" s="69"/>
      <c r="Q488" s="69"/>
      <c r="R488" s="69"/>
      <c r="S488" s="435"/>
      <c r="T488" s="435"/>
      <c r="U488" s="435"/>
      <c r="V488" s="436"/>
      <c r="W488" s="437"/>
      <c r="X488" s="33"/>
      <c r="Y488" s="544">
        <v>6.5</v>
      </c>
      <c r="Z488" s="469">
        <f t="shared" si="110"/>
        <v>31373.446</v>
      </c>
      <c r="AA488" s="33"/>
      <c r="AB488" s="438"/>
      <c r="AC488" s="33"/>
    </row>
    <row r="489" spans="1:29" x14ac:dyDescent="0.3">
      <c r="A489" s="439"/>
      <c r="B489" s="439"/>
      <c r="C489" s="23"/>
      <c r="D489" s="23"/>
      <c r="E489" s="35" t="s">
        <v>635</v>
      </c>
      <c r="F489" s="25"/>
      <c r="G489" s="433"/>
      <c r="H489" s="433">
        <v>6649</v>
      </c>
      <c r="I489" s="433"/>
      <c r="J489" s="26"/>
      <c r="K489" s="27"/>
      <c r="L489" s="27"/>
      <c r="M489" s="434"/>
      <c r="N489" s="434"/>
      <c r="O489" s="434"/>
      <c r="P489" s="69"/>
      <c r="Q489" s="69"/>
      <c r="R489" s="69"/>
      <c r="S489" s="435"/>
      <c r="T489" s="435"/>
      <c r="U489" s="435"/>
      <c r="V489" s="436"/>
      <c r="W489" s="437"/>
      <c r="X489" s="33"/>
      <c r="Y489" s="544">
        <v>6.5</v>
      </c>
      <c r="Z489" s="469">
        <f t="shared" si="110"/>
        <v>43218.5</v>
      </c>
      <c r="AA489" s="33"/>
      <c r="AB489" s="438"/>
      <c r="AC489" s="33"/>
    </row>
    <row r="490" spans="1:29" x14ac:dyDescent="0.3">
      <c r="A490" s="439">
        <v>44000.958333333336</v>
      </c>
      <c r="B490" s="439">
        <v>44001.895833333336</v>
      </c>
      <c r="C490" s="23"/>
      <c r="D490" s="23"/>
      <c r="E490" s="35" t="s">
        <v>636</v>
      </c>
      <c r="F490" s="25" t="s">
        <v>328</v>
      </c>
      <c r="G490" s="433">
        <v>29654</v>
      </c>
      <c r="H490" s="433">
        <f>22842-H491-H492</f>
        <v>7563.1689999999999</v>
      </c>
      <c r="I490" s="433"/>
      <c r="J490" s="433">
        <v>63000</v>
      </c>
      <c r="K490" s="632">
        <f>H490+H491+H492-J490</f>
        <v>-40158</v>
      </c>
      <c r="L490" s="27">
        <f>B490-A490</f>
        <v>0.9375</v>
      </c>
      <c r="M490" s="27">
        <f>'[176]W RAPTOR'!$F$47</f>
        <v>0.4878472222214138</v>
      </c>
      <c r="N490" s="434">
        <f>(H490+H491+H492)/L490</f>
        <v>24364.799999999999</v>
      </c>
      <c r="O490" s="434">
        <f>(H490+H491+H492)/M490</f>
        <v>46822.035587266204</v>
      </c>
      <c r="P490" s="633">
        <v>30000</v>
      </c>
      <c r="Q490" s="69">
        <f>(184506/10000)*8.7</f>
        <v>160.52021999999999</v>
      </c>
      <c r="R490" s="69">
        <f>(179816/10000)*8.7</f>
        <v>156.43992</v>
      </c>
      <c r="S490" s="435">
        <f>Q490-R490</f>
        <v>4.080299999999994</v>
      </c>
      <c r="T490" s="435">
        <f>S490/8.7*10000/(H490+H491+H492)</f>
        <v>0.20532352683652894</v>
      </c>
      <c r="U490" s="435">
        <f>S490/8.5*10000/(H490+H491+H492)</f>
        <v>0.21015466864444721</v>
      </c>
      <c r="V490" s="436"/>
      <c r="W490" s="437"/>
      <c r="X490" s="33"/>
      <c r="Y490" s="544">
        <v>2.64</v>
      </c>
      <c r="Z490" s="469">
        <f t="shared" si="110"/>
        <v>19966.766159999999</v>
      </c>
      <c r="AA490" s="33"/>
      <c r="AB490" s="438"/>
      <c r="AC490" s="33"/>
    </row>
    <row r="491" spans="1:29" x14ac:dyDescent="0.3">
      <c r="A491" s="439"/>
      <c r="B491" s="439"/>
      <c r="C491" s="23"/>
      <c r="D491" s="23"/>
      <c r="E491" s="35" t="s">
        <v>637</v>
      </c>
      <c r="F491" s="25"/>
      <c r="G491" s="433"/>
      <c r="H491" s="433">
        <v>7449.2489999999998</v>
      </c>
      <c r="I491" s="433"/>
      <c r="J491" s="433"/>
      <c r="K491" s="27"/>
      <c r="L491" s="27"/>
      <c r="M491" s="434"/>
      <c r="N491" s="434"/>
      <c r="O491" s="434"/>
      <c r="P491" s="69"/>
      <c r="Q491" s="69"/>
      <c r="R491" s="69"/>
      <c r="S491" s="435"/>
      <c r="T491" s="435"/>
      <c r="U491" s="435"/>
      <c r="V491" s="436"/>
      <c r="W491" s="437"/>
      <c r="X491" s="33"/>
      <c r="Y491" s="544">
        <v>6.5</v>
      </c>
      <c r="Z491" s="469">
        <f t="shared" si="110"/>
        <v>48420.118499999997</v>
      </c>
      <c r="AA491" s="33"/>
      <c r="AB491" s="438"/>
      <c r="AC491" s="33"/>
    </row>
    <row r="492" spans="1:29" x14ac:dyDescent="0.3">
      <c r="A492" s="439"/>
      <c r="B492" s="439"/>
      <c r="C492" s="23"/>
      <c r="D492" s="23"/>
      <c r="E492" s="35" t="s">
        <v>637</v>
      </c>
      <c r="F492" s="25"/>
      <c r="G492" s="433"/>
      <c r="H492" s="433">
        <v>7829.5820000000003</v>
      </c>
      <c r="I492" s="433"/>
      <c r="J492" s="433"/>
      <c r="K492" s="27"/>
      <c r="L492" s="27"/>
      <c r="M492" s="434"/>
      <c r="N492" s="434"/>
      <c r="O492" s="434"/>
      <c r="P492" s="69"/>
      <c r="Q492" s="69"/>
      <c r="R492" s="69"/>
      <c r="S492" s="435"/>
      <c r="T492" s="435"/>
      <c r="U492" s="435"/>
      <c r="V492" s="436"/>
      <c r="W492" s="437"/>
      <c r="X492" s="33"/>
      <c r="Y492" s="544">
        <v>6.5</v>
      </c>
      <c r="Z492" s="469">
        <f t="shared" si="110"/>
        <v>50892.283000000003</v>
      </c>
      <c r="AA492" s="33"/>
      <c r="AB492" s="438"/>
      <c r="AC492" s="33"/>
    </row>
    <row r="493" spans="1:29" x14ac:dyDescent="0.3">
      <c r="A493" s="439">
        <v>44002.90625</v>
      </c>
      <c r="B493" s="439">
        <v>44003.708333333336</v>
      </c>
      <c r="C493" s="23"/>
      <c r="D493" s="23"/>
      <c r="E493" s="35" t="s">
        <v>638</v>
      </c>
      <c r="F493" s="25" t="s">
        <v>328</v>
      </c>
      <c r="G493" s="433">
        <v>30145</v>
      </c>
      <c r="H493" s="433">
        <v>14843</v>
      </c>
      <c r="I493" s="433"/>
      <c r="J493" s="433">
        <v>86900</v>
      </c>
      <c r="K493" s="632">
        <f>H493-J493</f>
        <v>-72057</v>
      </c>
      <c r="L493" s="27">
        <f>B493-A493</f>
        <v>0.80208333333575865</v>
      </c>
      <c r="M493" s="27">
        <f>'[176]DL ADONIS'!$F$36</f>
        <v>0.31597222222262644</v>
      </c>
      <c r="N493" s="434">
        <f>(H493)/L493</f>
        <v>18505.558441502486</v>
      </c>
      <c r="O493" s="434">
        <f>(H493)/M493</f>
        <v>46975.648351588257</v>
      </c>
      <c r="P493" s="633">
        <v>30000</v>
      </c>
      <c r="Q493" s="69">
        <f>(177986/10000)*8.7</f>
        <v>154.84781999999998</v>
      </c>
      <c r="R493" s="69">
        <f>(174656/10000)*8.7</f>
        <v>151.95071999999996</v>
      </c>
      <c r="S493" s="435">
        <f>Q493-R493</f>
        <v>2.8971000000000231</v>
      </c>
      <c r="T493" s="435">
        <f>S493/8.7*10000/(H493)</f>
        <v>0.22434817759213277</v>
      </c>
      <c r="U493" s="435">
        <f>S493/8.5*10000/(H493)</f>
        <v>0.22962695824135942</v>
      </c>
      <c r="V493" s="436"/>
      <c r="W493" s="437"/>
      <c r="X493" s="33"/>
      <c r="Y493" s="544">
        <v>2.64</v>
      </c>
      <c r="Z493" s="469">
        <f t="shared" si="110"/>
        <v>39185.520000000004</v>
      </c>
      <c r="AA493" s="33"/>
      <c r="AB493" s="438"/>
      <c r="AC493" s="33"/>
    </row>
    <row r="494" spans="1:29" x14ac:dyDescent="0.3">
      <c r="A494" s="439">
        <v>44004.958333333336</v>
      </c>
      <c r="B494" s="439">
        <v>44006.166666666664</v>
      </c>
      <c r="C494" s="23"/>
      <c r="D494" s="23"/>
      <c r="E494" s="35" t="s">
        <v>626</v>
      </c>
      <c r="F494" s="25" t="s">
        <v>212</v>
      </c>
      <c r="G494" s="433"/>
      <c r="H494" s="433">
        <f>35422-H495-H496</f>
        <v>19997.740999999998</v>
      </c>
      <c r="I494" s="433"/>
      <c r="J494" s="26">
        <v>51150</v>
      </c>
      <c r="K494" s="632">
        <f>H494+H495+H496-J494</f>
        <v>-15728</v>
      </c>
      <c r="L494" s="27">
        <f>B494-A494</f>
        <v>1.2083333333284827</v>
      </c>
      <c r="M494" s="27">
        <f>'[176]MANALAGI SAMBA (2)'!$F$79</f>
        <v>0.71701388887474116</v>
      </c>
      <c r="N494" s="434">
        <f>(H494+H495+H496)/L494</f>
        <v>29314.758620807334</v>
      </c>
      <c r="O494" s="434">
        <f>(H494+H495+H496)/M494</f>
        <v>49402.111381120056</v>
      </c>
      <c r="P494" s="633">
        <v>30000</v>
      </c>
      <c r="Q494" s="69">
        <f>(172656/10000)*8.7</f>
        <v>150.21071999999998</v>
      </c>
      <c r="R494" s="69">
        <f>(165325/10000)*8.7</f>
        <v>143.83274999999998</v>
      </c>
      <c r="S494" s="435">
        <f>Q494-R494</f>
        <v>6.3779700000000048</v>
      </c>
      <c r="T494" s="435">
        <f>S494/8.7*10000/(H494+H495+H496)</f>
        <v>0.2069617751679749</v>
      </c>
      <c r="U494" s="435">
        <f>S494/8.5*10000/(H494+H495+H496)</f>
        <v>0.21183146399545663</v>
      </c>
      <c r="V494" s="436"/>
      <c r="W494" s="437"/>
      <c r="X494" s="33"/>
      <c r="Y494" s="544">
        <v>2.64</v>
      </c>
      <c r="Z494" s="469">
        <f t="shared" si="110"/>
        <v>52794.036240000001</v>
      </c>
      <c r="AA494" s="33"/>
      <c r="AB494" s="438"/>
      <c r="AC494" s="33"/>
    </row>
    <row r="495" spans="1:29" x14ac:dyDescent="0.3">
      <c r="A495" s="439"/>
      <c r="B495" s="439"/>
      <c r="C495" s="23"/>
      <c r="D495" s="23"/>
      <c r="E495" s="35" t="s">
        <v>627</v>
      </c>
      <c r="F495" s="25"/>
      <c r="G495" s="433"/>
      <c r="H495" s="433">
        <v>7284.4189999999999</v>
      </c>
      <c r="I495" s="433"/>
      <c r="J495" s="26"/>
      <c r="K495" s="27"/>
      <c r="L495" s="27"/>
      <c r="M495" s="434"/>
      <c r="N495" s="434"/>
      <c r="O495" s="434"/>
      <c r="P495" s="69"/>
      <c r="Q495" s="69"/>
      <c r="R495" s="69"/>
      <c r="S495" s="435"/>
      <c r="T495" s="435"/>
      <c r="U495" s="435"/>
      <c r="V495" s="436"/>
      <c r="W495" s="437"/>
      <c r="X495" s="33"/>
      <c r="Y495" s="544">
        <v>6.5</v>
      </c>
      <c r="Z495" s="469">
        <f t="shared" si="110"/>
        <v>47348.7235</v>
      </c>
      <c r="AA495" s="33"/>
      <c r="AB495" s="438"/>
      <c r="AC495" s="33"/>
    </row>
    <row r="496" spans="1:29" x14ac:dyDescent="0.3">
      <c r="A496" s="439"/>
      <c r="B496" s="439"/>
      <c r="C496" s="23"/>
      <c r="D496" s="23"/>
      <c r="E496" s="35" t="s">
        <v>627</v>
      </c>
      <c r="F496" s="25"/>
      <c r="G496" s="433"/>
      <c r="H496" s="433">
        <v>8139.84</v>
      </c>
      <c r="I496" s="433"/>
      <c r="J496" s="26"/>
      <c r="K496" s="27"/>
      <c r="L496" s="27"/>
      <c r="M496" s="434"/>
      <c r="N496" s="434"/>
      <c r="O496" s="434"/>
      <c r="P496" s="69"/>
      <c r="Q496" s="69"/>
      <c r="R496" s="69"/>
      <c r="S496" s="435"/>
      <c r="T496" s="435"/>
      <c r="U496" s="435"/>
      <c r="V496" s="436"/>
      <c r="W496" s="437"/>
      <c r="X496" s="33"/>
      <c r="Y496" s="544">
        <v>6.5</v>
      </c>
      <c r="Z496" s="469">
        <f t="shared" si="110"/>
        <v>52908.959999999999</v>
      </c>
      <c r="AA496" s="33"/>
      <c r="AB496" s="438"/>
      <c r="AC496" s="33"/>
    </row>
    <row r="497" spans="1:29" x14ac:dyDescent="0.3">
      <c r="A497" s="439">
        <v>44006.819444444445</v>
      </c>
      <c r="B497" s="439">
        <v>44008.222222222219</v>
      </c>
      <c r="C497" s="23"/>
      <c r="D497" s="23"/>
      <c r="E497" s="35" t="s">
        <v>639</v>
      </c>
      <c r="F497" s="25" t="s">
        <v>212</v>
      </c>
      <c r="G497" s="433"/>
      <c r="H497" s="433">
        <f>29867-H499-H498</f>
        <v>16781.392</v>
      </c>
      <c r="I497" s="433"/>
      <c r="J497" s="26">
        <v>52635</v>
      </c>
      <c r="K497" s="632">
        <f>H497+H499+H498-J497</f>
        <v>-22768</v>
      </c>
      <c r="L497" s="27">
        <f>B497-A497</f>
        <v>1.4027777777737356</v>
      </c>
      <c r="M497" s="27">
        <f>'[176]JOSCO RUNZHOU'!$F$58</f>
        <v>0.91493055554262048</v>
      </c>
      <c r="N497" s="434">
        <f>(H497+H499+H498)/L497</f>
        <v>21291.326732734618</v>
      </c>
      <c r="O497" s="462">
        <f>(H497+H499+H498)/M497</f>
        <v>32644.007590594341</v>
      </c>
      <c r="P497" s="633">
        <v>30000</v>
      </c>
      <c r="Q497" s="69">
        <f>(164103/10000)*8.7</f>
        <v>142.76960999999997</v>
      </c>
      <c r="R497" s="69">
        <f>(156277/10000)*8.7</f>
        <v>135.96099000000001</v>
      </c>
      <c r="S497" s="435">
        <f>Q497-R497</f>
        <v>6.8086199999999621</v>
      </c>
      <c r="T497" s="435">
        <f>S497/8.7*10000/(H497+H499+H498)</f>
        <v>0.26202832557672207</v>
      </c>
      <c r="U497" s="435">
        <f>S497/8.5*10000/(H497+H499+H498)</f>
        <v>0.26819369794323311</v>
      </c>
      <c r="V497" s="436"/>
      <c r="W497" s="437"/>
      <c r="X497" s="33"/>
      <c r="Y497" s="544">
        <v>2.64</v>
      </c>
      <c r="Z497" s="469">
        <f t="shared" si="110"/>
        <v>44302.874880000003</v>
      </c>
      <c r="AA497" s="33"/>
      <c r="AB497" s="438"/>
      <c r="AC497" s="33"/>
    </row>
    <row r="498" spans="1:29" x14ac:dyDescent="0.3">
      <c r="A498" s="439"/>
      <c r="B498" s="439"/>
      <c r="C498" s="23"/>
      <c r="D498" s="23"/>
      <c r="E498" s="35" t="s">
        <v>639</v>
      </c>
      <c r="F498" s="25"/>
      <c r="G498" s="433"/>
      <c r="H498" s="433">
        <v>6781</v>
      </c>
      <c r="I498" s="433"/>
      <c r="J498" s="26"/>
      <c r="K498" s="632"/>
      <c r="L498" s="27"/>
      <c r="M498" s="27"/>
      <c r="N498" s="434"/>
      <c r="O498" s="462"/>
      <c r="P498" s="633"/>
      <c r="Q498" s="69"/>
      <c r="R498" s="69"/>
      <c r="S498" s="435"/>
      <c r="T498" s="435"/>
      <c r="U498" s="435"/>
      <c r="V498" s="436"/>
      <c r="W498" s="437"/>
      <c r="X498" s="33"/>
      <c r="Y498" s="544">
        <v>2.64</v>
      </c>
      <c r="Z498" s="469">
        <f t="shared" si="110"/>
        <v>17901.84</v>
      </c>
      <c r="AA498" s="33"/>
      <c r="AB498" s="438"/>
      <c r="AC498" s="33"/>
    </row>
    <row r="499" spans="1:29" x14ac:dyDescent="0.3">
      <c r="A499" s="439"/>
      <c r="B499" s="439"/>
      <c r="C499" s="23"/>
      <c r="D499" s="23"/>
      <c r="E499" s="35" t="s">
        <v>640</v>
      </c>
      <c r="F499" s="25"/>
      <c r="G499" s="433"/>
      <c r="H499" s="433">
        <v>6304.6080000000002</v>
      </c>
      <c r="I499" s="433"/>
      <c r="J499" s="26"/>
      <c r="K499" s="27"/>
      <c r="L499" s="27"/>
      <c r="M499" s="434"/>
      <c r="N499" s="434"/>
      <c r="O499" s="434"/>
      <c r="P499" s="69"/>
      <c r="Q499" s="69"/>
      <c r="R499" s="69"/>
      <c r="S499" s="435"/>
      <c r="T499" s="435"/>
      <c r="U499" s="435"/>
      <c r="V499" s="436"/>
      <c r="W499" s="437"/>
      <c r="X499" s="33"/>
      <c r="Y499" s="544">
        <v>6.5</v>
      </c>
      <c r="Z499" s="469">
        <f t="shared" si="110"/>
        <v>40979.952000000005</v>
      </c>
      <c r="AA499" s="33"/>
      <c r="AB499" s="438"/>
      <c r="AC499" s="33"/>
    </row>
    <row r="500" spans="1:29" x14ac:dyDescent="0.3">
      <c r="A500" s="439">
        <v>44010.736111111109</v>
      </c>
      <c r="B500" s="439">
        <v>44011.625</v>
      </c>
      <c r="C500" s="23"/>
      <c r="D500" s="23"/>
      <c r="E500" s="24" t="s">
        <v>641</v>
      </c>
      <c r="F500" s="25" t="s">
        <v>212</v>
      </c>
      <c r="G500" s="433"/>
      <c r="H500" s="433">
        <f>30704-H501</f>
        <v>23400.638999999999</v>
      </c>
      <c r="I500" s="433"/>
      <c r="J500" s="26">
        <v>55640</v>
      </c>
      <c r="K500" s="632">
        <f>H500+H501-J500</f>
        <v>-24936</v>
      </c>
      <c r="L500" s="27">
        <f>B500-A500</f>
        <v>0.88888888889050577</v>
      </c>
      <c r="M500" s="27">
        <f>'[176]ROADRUNNER BULKER'!$F$50</f>
        <v>0.70833333333454596</v>
      </c>
      <c r="N500" s="434">
        <f>(H500+H501)/L500</f>
        <v>34541.999999937165</v>
      </c>
      <c r="O500" s="462">
        <f>(H500+H501)/M500</f>
        <v>43346.823529337555</v>
      </c>
      <c r="P500" s="633">
        <v>30000</v>
      </c>
      <c r="Q500" s="69">
        <f>(153367/10000)*8.7</f>
        <v>133.42928999999998</v>
      </c>
      <c r="R500" s="69">
        <f>(147607/10000)*8.7</f>
        <v>128.41808999999998</v>
      </c>
      <c r="S500" s="435">
        <f>Q500-R500</f>
        <v>5.0112000000000023</v>
      </c>
      <c r="T500" s="435">
        <f>S500/8.7*10000/(H500+H501)</f>
        <v>0.18759770713913507</v>
      </c>
      <c r="U500" s="435">
        <f>S500/8.5*10000/(H500+H501)</f>
        <v>0.19201177083652646</v>
      </c>
      <c r="V500" s="436"/>
      <c r="W500" s="437"/>
      <c r="X500" s="33"/>
      <c r="Y500" s="544">
        <v>2.64</v>
      </c>
      <c r="Z500" s="469">
        <f t="shared" si="110"/>
        <v>61777.686959999999</v>
      </c>
      <c r="AA500" s="33"/>
      <c r="AB500" s="438"/>
      <c r="AC500" s="33"/>
    </row>
    <row r="501" spans="1:29" x14ac:dyDescent="0.3">
      <c r="A501" s="439"/>
      <c r="B501" s="439"/>
      <c r="C501" s="23"/>
      <c r="D501" s="23"/>
      <c r="E501" s="24" t="s">
        <v>642</v>
      </c>
      <c r="F501" s="25"/>
      <c r="G501" s="433"/>
      <c r="H501" s="433">
        <v>7303.3609999999999</v>
      </c>
      <c r="I501" s="433"/>
      <c r="J501" s="26"/>
      <c r="K501" s="27"/>
      <c r="L501" s="27"/>
      <c r="M501" s="434"/>
      <c r="N501" s="434"/>
      <c r="O501" s="434"/>
      <c r="P501" s="69"/>
      <c r="Q501" s="69"/>
      <c r="R501" s="69"/>
      <c r="S501" s="435"/>
      <c r="T501" s="435"/>
      <c r="U501" s="435"/>
      <c r="V501" s="436"/>
      <c r="W501" s="437"/>
      <c r="X501" s="33"/>
      <c r="Y501" s="544">
        <v>6.5</v>
      </c>
      <c r="Z501" s="469">
        <f t="shared" si="110"/>
        <v>47471.8465</v>
      </c>
      <c r="AA501" s="33"/>
      <c r="AB501" s="438"/>
      <c r="AC501" s="33"/>
    </row>
    <row r="502" spans="1:29" x14ac:dyDescent="0.3">
      <c r="A502" s="439"/>
      <c r="B502" s="439"/>
      <c r="C502" s="23"/>
      <c r="D502" s="23"/>
      <c r="E502" s="35"/>
      <c r="F502" s="25"/>
      <c r="G502" s="433"/>
      <c r="H502" s="433"/>
      <c r="I502" s="433"/>
      <c r="J502" s="26"/>
      <c r="K502" s="27"/>
      <c r="L502" s="27"/>
      <c r="M502" s="434"/>
      <c r="N502" s="434"/>
      <c r="O502" s="434"/>
      <c r="P502" s="69"/>
      <c r="Q502" s="69"/>
      <c r="R502" s="69"/>
      <c r="S502" s="435"/>
      <c r="T502" s="435"/>
      <c r="U502" s="435"/>
      <c r="V502" s="436"/>
      <c r="W502" s="437"/>
      <c r="X502" s="33"/>
      <c r="Y502" s="33"/>
      <c r="Z502" s="33"/>
      <c r="AA502" s="33"/>
      <c r="AB502" s="438"/>
      <c r="AC502" s="33"/>
    </row>
    <row r="503" spans="1:29" x14ac:dyDescent="0.3">
      <c r="A503" s="20"/>
      <c r="B503" s="20"/>
      <c r="C503" s="20">
        <v>1000000001</v>
      </c>
      <c r="D503" s="20"/>
      <c r="E503" s="21" t="s">
        <v>60</v>
      </c>
      <c r="F503" s="21"/>
      <c r="G503" s="431">
        <f>SUM(G467:G502)</f>
        <v>78799</v>
      </c>
      <c r="H503" s="431">
        <f>SUM(H467:H502)</f>
        <v>418790</v>
      </c>
      <c r="I503" s="431"/>
      <c r="J503" s="431"/>
      <c r="K503" s="431"/>
      <c r="L503" s="431"/>
      <c r="M503" s="431"/>
      <c r="N503" s="431"/>
      <c r="O503" s="431"/>
      <c r="P503" s="431"/>
      <c r="Q503" s="431"/>
      <c r="R503" s="440">
        <f>SUM(R467:R502)</f>
        <v>2232.9811500000001</v>
      </c>
      <c r="S503" s="441">
        <f>R503/8.7*10000/G503</f>
        <v>32.572050406731059</v>
      </c>
      <c r="T503" s="440"/>
      <c r="U503" s="440"/>
      <c r="V503" s="442"/>
      <c r="W503" s="22"/>
      <c r="X503" s="22"/>
      <c r="Y503" s="432"/>
      <c r="Z503" s="432">
        <f>SUM(Z468:Z502)</f>
        <v>1554886.2238400003</v>
      </c>
      <c r="AA503" s="432"/>
      <c r="AB503" s="432"/>
      <c r="AC503" s="432"/>
    </row>
    <row r="504" spans="1:29" x14ac:dyDescent="0.3">
      <c r="A504" s="146"/>
      <c r="B504" s="146"/>
      <c r="C504" s="23"/>
      <c r="D504" s="14"/>
      <c r="E504" s="35"/>
      <c r="F504" s="25"/>
      <c r="G504" s="433"/>
      <c r="H504" s="433"/>
      <c r="I504" s="433"/>
      <c r="J504" s="26"/>
      <c r="K504" s="27"/>
      <c r="L504" s="27"/>
      <c r="M504" s="434"/>
      <c r="N504" s="434"/>
      <c r="O504" s="434"/>
      <c r="P504" s="69"/>
      <c r="Q504" s="69"/>
      <c r="R504" s="69"/>
      <c r="S504" s="435"/>
      <c r="T504" s="435"/>
      <c r="U504" s="435"/>
      <c r="V504" s="436"/>
      <c r="W504" s="437"/>
      <c r="X504" s="33"/>
      <c r="Y504" s="33"/>
      <c r="Z504" s="33"/>
      <c r="AA504" s="33"/>
      <c r="AB504" s="438"/>
      <c r="AC504" s="33"/>
    </row>
    <row r="505" spans="1:29" x14ac:dyDescent="0.3">
      <c r="A505" s="439">
        <v>44012.645833333336</v>
      </c>
      <c r="B505" s="439">
        <v>44013.638888888891</v>
      </c>
      <c r="C505" s="23"/>
      <c r="D505" s="14"/>
      <c r="E505" s="35" t="s">
        <v>643</v>
      </c>
      <c r="F505" s="36" t="s">
        <v>328</v>
      </c>
      <c r="G505" s="433"/>
      <c r="H505" s="433">
        <f>32608-H506-H507</f>
        <v>16219.014999999998</v>
      </c>
      <c r="I505" s="433"/>
      <c r="J505" s="26">
        <v>77550</v>
      </c>
      <c r="K505" s="632">
        <f>H505+H506+H507-J505</f>
        <v>-44942</v>
      </c>
      <c r="L505" s="27">
        <f>B505-A505</f>
        <v>0.99305555555474712</v>
      </c>
      <c r="M505" s="27">
        <f>'[177]POS LOGISTICS 2'!$F$58</f>
        <v>0.63368055557172431</v>
      </c>
      <c r="N505" s="434">
        <f>(H505+H506+H507)/L505</f>
        <v>32836.027972054704</v>
      </c>
      <c r="O505" s="434">
        <f>(H505+H506+H507)/M505</f>
        <v>51458.104108276057</v>
      </c>
      <c r="P505" s="633">
        <v>30000</v>
      </c>
      <c r="Q505" s="69">
        <f>(145840/10000)*8.7</f>
        <v>126.88079999999998</v>
      </c>
      <c r="R505" s="69">
        <f>(139767/10000)*8.7</f>
        <v>121.59728999999999</v>
      </c>
      <c r="S505" s="435">
        <f>Q505-R505</f>
        <v>5.2835099999999926</v>
      </c>
      <c r="T505" s="435">
        <f>S505/8.7*10000/(H505+H506+H507)</f>
        <v>0.18624263984298306</v>
      </c>
      <c r="U505" s="435">
        <f>S505/8.5*10000/(H505+H506+H507)</f>
        <v>0.19062481960399444</v>
      </c>
      <c r="V505" s="436"/>
      <c r="W505" s="32"/>
      <c r="X505" s="33"/>
      <c r="Y505" s="544">
        <v>2.64</v>
      </c>
      <c r="Z505" s="469">
        <f t="shared" ref="Z505:Z528" si="111">H505*Y505</f>
        <v>42818.199599999993</v>
      </c>
      <c r="AA505" s="33"/>
      <c r="AB505" s="438"/>
      <c r="AC505" s="33"/>
    </row>
    <row r="506" spans="1:29" x14ac:dyDescent="0.3">
      <c r="A506" s="146"/>
      <c r="B506" s="146"/>
      <c r="C506" s="23"/>
      <c r="D506" s="14"/>
      <c r="E506" s="35" t="s">
        <v>644</v>
      </c>
      <c r="F506" s="36"/>
      <c r="G506" s="433"/>
      <c r="H506" s="433">
        <v>8526.0120000000006</v>
      </c>
      <c r="I506" s="433"/>
      <c r="J506" s="26"/>
      <c r="K506" s="27"/>
      <c r="L506" s="27"/>
      <c r="M506" s="434"/>
      <c r="N506" s="434"/>
      <c r="O506" s="434"/>
      <c r="P506" s="69"/>
      <c r="Q506" s="69"/>
      <c r="R506" s="69"/>
      <c r="S506" s="435"/>
      <c r="T506" s="435"/>
      <c r="U506" s="435"/>
      <c r="V506" s="436"/>
      <c r="W506" s="32"/>
      <c r="X506" s="33"/>
      <c r="Y506" s="544">
        <v>6.5</v>
      </c>
      <c r="Z506" s="469">
        <f t="shared" si="111"/>
        <v>55419.078000000001</v>
      </c>
      <c r="AA506" s="33"/>
      <c r="AB506" s="438"/>
      <c r="AC506" s="33"/>
    </row>
    <row r="507" spans="1:29" x14ac:dyDescent="0.3">
      <c r="A507" s="146"/>
      <c r="B507" s="146"/>
      <c r="C507" s="23"/>
      <c r="D507" s="14"/>
      <c r="E507" s="35" t="s">
        <v>644</v>
      </c>
      <c r="F507" s="36"/>
      <c r="G507" s="433"/>
      <c r="H507" s="433">
        <v>7862.973</v>
      </c>
      <c r="I507" s="433"/>
      <c r="J507" s="26"/>
      <c r="K507" s="27"/>
      <c r="L507" s="27"/>
      <c r="M507" s="434"/>
      <c r="N507" s="434"/>
      <c r="O507" s="434"/>
      <c r="P507" s="69"/>
      <c r="Q507" s="69"/>
      <c r="R507" s="69"/>
      <c r="S507" s="435"/>
      <c r="T507" s="435"/>
      <c r="U507" s="435"/>
      <c r="V507" s="436"/>
      <c r="W507" s="32"/>
      <c r="X507" s="33"/>
      <c r="Y507" s="544">
        <v>6.5</v>
      </c>
      <c r="Z507" s="469">
        <f t="shared" si="111"/>
        <v>51109.324500000002</v>
      </c>
      <c r="AA507" s="33"/>
      <c r="AB507" s="438"/>
      <c r="AC507" s="33"/>
    </row>
    <row r="508" spans="1:29" x14ac:dyDescent="0.3">
      <c r="A508" s="439">
        <v>44014.930555555555</v>
      </c>
      <c r="B508" s="439">
        <v>44016.958333333336</v>
      </c>
      <c r="C508" s="23"/>
      <c r="D508" s="14"/>
      <c r="E508" s="35" t="s">
        <v>645</v>
      </c>
      <c r="F508" s="25" t="s">
        <v>212</v>
      </c>
      <c r="G508" s="433"/>
      <c r="H508" s="433">
        <f>58073-H509-H510-H511-H512</f>
        <v>28907.011999999995</v>
      </c>
      <c r="I508" s="433"/>
      <c r="J508" s="26">
        <v>58070</v>
      </c>
      <c r="K508" s="632">
        <f>H508+H509+H510+H511+H512-J508</f>
        <v>3</v>
      </c>
      <c r="L508" s="27">
        <f>B508-A508</f>
        <v>2.0277777777810115</v>
      </c>
      <c r="M508" s="27">
        <f>[177]KOUSHUN!$F$98</f>
        <v>1.2743055555680864</v>
      </c>
      <c r="N508" s="434">
        <f>(H508+H509+H510+H511+H512)/L508</f>
        <v>28638.739725981726</v>
      </c>
      <c r="O508" s="434">
        <f>(H508+H509+H510+H511+H512)/M508</f>
        <v>45572.272479115898</v>
      </c>
      <c r="P508" s="633">
        <v>30000</v>
      </c>
      <c r="Q508" s="69">
        <f>(137523/10000)*8.7</f>
        <v>119.64500999999998</v>
      </c>
      <c r="R508" s="69">
        <f>(125284/10000)*8.7</f>
        <v>108.99707999999998</v>
      </c>
      <c r="S508" s="435">
        <f>Q508-R508</f>
        <v>10.647930000000002</v>
      </c>
      <c r="T508" s="435">
        <f>S508/8.7*10000/(H508+H509+H510+H511+H512)</f>
        <v>0.21075198457114327</v>
      </c>
      <c r="U508" s="435">
        <f>S508/8.5*10000/(H508+H509+H510+H511+H512)</f>
        <v>0.21571085479634661</v>
      </c>
      <c r="V508" s="436"/>
      <c r="W508" s="32"/>
      <c r="X508" s="33"/>
      <c r="Y508" s="544">
        <v>2.64</v>
      </c>
      <c r="Z508" s="469">
        <f t="shared" si="111"/>
        <v>76314.511679999996</v>
      </c>
      <c r="AA508" s="33"/>
      <c r="AB508" s="438"/>
      <c r="AC508" s="33"/>
    </row>
    <row r="509" spans="1:29" x14ac:dyDescent="0.3">
      <c r="A509" s="146"/>
      <c r="B509" s="146"/>
      <c r="C509" s="23"/>
      <c r="D509" s="14"/>
      <c r="E509" s="35" t="s">
        <v>646</v>
      </c>
      <c r="F509" s="36"/>
      <c r="G509" s="433"/>
      <c r="H509" s="433">
        <v>7255.9530000000004</v>
      </c>
      <c r="I509" s="433"/>
      <c r="J509" s="26"/>
      <c r="K509" s="27"/>
      <c r="L509" s="27"/>
      <c r="M509" s="434"/>
      <c r="N509" s="434"/>
      <c r="O509" s="434"/>
      <c r="P509" s="69"/>
      <c r="Q509" s="69"/>
      <c r="R509" s="69"/>
      <c r="S509" s="435"/>
      <c r="T509" s="435"/>
      <c r="U509" s="435"/>
      <c r="V509" s="436"/>
      <c r="W509" s="32"/>
      <c r="X509" s="33"/>
      <c r="Y509" s="544">
        <v>6.5</v>
      </c>
      <c r="Z509" s="469">
        <f t="shared" si="111"/>
        <v>47163.694500000005</v>
      </c>
      <c r="AA509" s="33"/>
      <c r="AB509" s="438"/>
      <c r="AC509" s="33"/>
    </row>
    <row r="510" spans="1:29" x14ac:dyDescent="0.3">
      <c r="A510" s="146"/>
      <c r="B510" s="146"/>
      <c r="C510" s="23"/>
      <c r="D510" s="14"/>
      <c r="E510" s="35" t="s">
        <v>646</v>
      </c>
      <c r="F510" s="36"/>
      <c r="G510" s="433"/>
      <c r="H510" s="433">
        <v>6072.0950000000003</v>
      </c>
      <c r="I510" s="433"/>
      <c r="J510" s="26"/>
      <c r="K510" s="27"/>
      <c r="L510" s="27"/>
      <c r="M510" s="434"/>
      <c r="N510" s="434"/>
      <c r="O510" s="434"/>
      <c r="P510" s="69"/>
      <c r="Q510" s="69"/>
      <c r="R510" s="69"/>
      <c r="S510" s="435"/>
      <c r="T510" s="435"/>
      <c r="U510" s="435"/>
      <c r="V510" s="436"/>
      <c r="W510" s="32"/>
      <c r="X510" s="33"/>
      <c r="Y510" s="544">
        <v>6.5</v>
      </c>
      <c r="Z510" s="469">
        <f t="shared" si="111"/>
        <v>39468.6175</v>
      </c>
      <c r="AA510" s="33"/>
      <c r="AB510" s="438"/>
      <c r="AC510" s="33"/>
    </row>
    <row r="511" spans="1:29" x14ac:dyDescent="0.3">
      <c r="A511" s="146"/>
      <c r="B511" s="146"/>
      <c r="C511" s="23"/>
      <c r="D511" s="14"/>
      <c r="E511" s="35" t="s">
        <v>646</v>
      </c>
      <c r="F511" s="36"/>
      <c r="G511" s="433"/>
      <c r="H511" s="433">
        <v>8116.2070000000003</v>
      </c>
      <c r="I511" s="433"/>
      <c r="J511" s="26"/>
      <c r="K511" s="27"/>
      <c r="L511" s="27"/>
      <c r="M511" s="434"/>
      <c r="N511" s="434"/>
      <c r="O511" s="434"/>
      <c r="P511" s="69"/>
      <c r="Q511" s="69"/>
      <c r="R511" s="69"/>
      <c r="S511" s="435"/>
      <c r="T511" s="435"/>
      <c r="U511" s="435"/>
      <c r="V511" s="436"/>
      <c r="W511" s="32"/>
      <c r="X511" s="33"/>
      <c r="Y511" s="544">
        <v>6.5</v>
      </c>
      <c r="Z511" s="469">
        <f t="shared" si="111"/>
        <v>52755.345500000003</v>
      </c>
      <c r="AA511" s="33"/>
      <c r="AB511" s="438"/>
      <c r="AC511" s="33"/>
    </row>
    <row r="512" spans="1:29" x14ac:dyDescent="0.3">
      <c r="A512" s="146"/>
      <c r="B512" s="146"/>
      <c r="C512" s="23"/>
      <c r="D512" s="14"/>
      <c r="E512" s="35" t="s">
        <v>646</v>
      </c>
      <c r="F512" s="36"/>
      <c r="G512" s="433"/>
      <c r="H512" s="433">
        <v>7721.7330000000002</v>
      </c>
      <c r="I512" s="433"/>
      <c r="J512" s="26"/>
      <c r="K512" s="27"/>
      <c r="L512" s="27"/>
      <c r="M512" s="434"/>
      <c r="N512" s="434"/>
      <c r="O512" s="434"/>
      <c r="P512" s="69"/>
      <c r="Q512" s="69"/>
      <c r="R512" s="69"/>
      <c r="S512" s="435"/>
      <c r="T512" s="435"/>
      <c r="U512" s="435"/>
      <c r="V512" s="436"/>
      <c r="W512" s="32"/>
      <c r="X512" s="33"/>
      <c r="Y512" s="544">
        <v>6.5</v>
      </c>
      <c r="Z512" s="469">
        <f t="shared" si="111"/>
        <v>50191.264500000005</v>
      </c>
      <c r="AA512" s="33"/>
      <c r="AB512" s="438"/>
      <c r="AC512" s="33"/>
    </row>
    <row r="513" spans="1:29" x14ac:dyDescent="0.3">
      <c r="A513" s="439">
        <v>44019.118055555555</v>
      </c>
      <c r="B513" s="439">
        <v>44020.486111111109</v>
      </c>
      <c r="C513" s="23"/>
      <c r="D513" s="14"/>
      <c r="E513" s="35" t="s">
        <v>647</v>
      </c>
      <c r="F513" s="36" t="s">
        <v>212</v>
      </c>
      <c r="G513" s="433"/>
      <c r="H513" s="433">
        <f>30199-H514</f>
        <v>22158.261999999999</v>
      </c>
      <c r="I513" s="433"/>
      <c r="J513" s="26">
        <v>56600</v>
      </c>
      <c r="K513" s="632">
        <f>H513+H514-J513</f>
        <v>-26401</v>
      </c>
      <c r="L513" s="27">
        <f>B513-A513</f>
        <v>1.3680555555547471</v>
      </c>
      <c r="M513" s="27">
        <f>'[177]YUE DIAN 58'!$F$55</f>
        <v>0.88541666668121854</v>
      </c>
      <c r="N513" s="462">
        <f>(H513+H514)/L513</f>
        <v>22074.39593909934</v>
      </c>
      <c r="O513" s="462">
        <f>(H513+H514)/M513</f>
        <v>34107.105881792391</v>
      </c>
      <c r="P513" s="633">
        <v>30000</v>
      </c>
      <c r="Q513" s="69">
        <f>(121843/10000)*8.7</f>
        <v>106.00340999999999</v>
      </c>
      <c r="R513" s="69">
        <f>(114245/10000)*8.7</f>
        <v>99.393149999999991</v>
      </c>
      <c r="S513" s="435">
        <f>Q513-R513</f>
        <v>6.6102599999999967</v>
      </c>
      <c r="T513" s="435">
        <f>S513/8.7*10000/(H513+H514)</f>
        <v>0.25159773502433846</v>
      </c>
      <c r="U513" s="435">
        <f>S513/8.5*10000/(H513+H514)</f>
        <v>0.25751768173079342</v>
      </c>
      <c r="V513" s="436"/>
      <c r="W513" s="32"/>
      <c r="X513" s="33"/>
      <c r="Y513" s="544">
        <v>2.64</v>
      </c>
      <c r="Z513" s="469">
        <f t="shared" si="111"/>
        <v>58497.811679999999</v>
      </c>
      <c r="AA513" s="33"/>
      <c r="AB513" s="438"/>
      <c r="AC513" s="33"/>
    </row>
    <row r="514" spans="1:29" x14ac:dyDescent="0.3">
      <c r="A514" s="146"/>
      <c r="B514" s="146"/>
      <c r="C514" s="23"/>
      <c r="D514" s="14"/>
      <c r="E514" s="35" t="s">
        <v>648</v>
      </c>
      <c r="F514" s="36"/>
      <c r="G514" s="433"/>
      <c r="H514" s="433">
        <v>8040.7380000000003</v>
      </c>
      <c r="I514" s="433"/>
      <c r="J514" s="26"/>
      <c r="K514" s="27"/>
      <c r="L514" s="27"/>
      <c r="M514" s="434"/>
      <c r="N514" s="434"/>
      <c r="O514" s="434"/>
      <c r="P514" s="69"/>
      <c r="Q514" s="69"/>
      <c r="R514" s="69"/>
      <c r="S514" s="435"/>
      <c r="T514" s="435"/>
      <c r="U514" s="435"/>
      <c r="V514" s="436"/>
      <c r="W514" s="32"/>
      <c r="X514" s="33"/>
      <c r="Y514" s="544">
        <v>6.5</v>
      </c>
      <c r="Z514" s="469">
        <f t="shared" si="111"/>
        <v>52264.796999999999</v>
      </c>
      <c r="AA514" s="33"/>
      <c r="AB514" s="438"/>
      <c r="AC514" s="33"/>
    </row>
    <row r="515" spans="1:29" x14ac:dyDescent="0.3">
      <c r="A515" s="439">
        <v>44020.868055555555</v>
      </c>
      <c r="B515" s="439">
        <v>44021.923611111109</v>
      </c>
      <c r="C515" s="23"/>
      <c r="D515" s="14"/>
      <c r="E515" s="35" t="s">
        <v>649</v>
      </c>
      <c r="F515" s="36" t="s">
        <v>32</v>
      </c>
      <c r="G515" s="433"/>
      <c r="H515" s="433">
        <f>32887-H516</f>
        <v>24575.968000000001</v>
      </c>
      <c r="I515" s="433"/>
      <c r="J515" s="26">
        <v>67000</v>
      </c>
      <c r="K515" s="632">
        <f>H515+H516-J515</f>
        <v>-34113</v>
      </c>
      <c r="L515" s="27">
        <f>B515-A515</f>
        <v>1.0555555555547471</v>
      </c>
      <c r="M515" s="27">
        <f>'[177]ANDIKA ATHALIA'!$F$81</f>
        <v>0.70659722225051758</v>
      </c>
      <c r="N515" s="434">
        <f>(H515+H516)/L515</f>
        <v>31156.105263181758</v>
      </c>
      <c r="O515" s="434">
        <f>(H515+H516)/M515</f>
        <v>46542.781324917545</v>
      </c>
      <c r="P515" s="633">
        <v>30000</v>
      </c>
      <c r="Q515" s="69">
        <f>(113461/10000)*8.7</f>
        <v>98.711069999999992</v>
      </c>
      <c r="R515" s="69">
        <f>(106981/10000)*8.7</f>
        <v>93.07347</v>
      </c>
      <c r="S515" s="435">
        <f>Q515-R515</f>
        <v>5.637599999999992</v>
      </c>
      <c r="T515" s="435">
        <f>S515/8.7*10000/(H515+H516)</f>
        <v>0.19703834341837173</v>
      </c>
      <c r="U515" s="435">
        <f>S515/8.5*10000/(H515+H516)</f>
        <v>0.20167453973409807</v>
      </c>
      <c r="V515" s="31"/>
      <c r="W515" s="32"/>
      <c r="X515" s="33"/>
      <c r="Y515" s="544">
        <v>2.64</v>
      </c>
      <c r="Z515" s="469">
        <f t="shared" si="111"/>
        <v>64880.555520000002</v>
      </c>
      <c r="AA515" s="33"/>
      <c r="AB515" s="438"/>
      <c r="AC515" s="33"/>
    </row>
    <row r="516" spans="1:29" x14ac:dyDescent="0.3">
      <c r="A516" s="146"/>
      <c r="B516" s="146"/>
      <c r="C516" s="23"/>
      <c r="D516" s="14"/>
      <c r="E516" s="35" t="s">
        <v>650</v>
      </c>
      <c r="F516" s="36"/>
      <c r="G516" s="433"/>
      <c r="H516" s="433">
        <v>8311.0319999999992</v>
      </c>
      <c r="I516" s="433"/>
      <c r="J516" s="26"/>
      <c r="K516" s="27"/>
      <c r="L516" s="27"/>
      <c r="M516" s="434"/>
      <c r="N516" s="434"/>
      <c r="O516" s="434"/>
      <c r="P516" s="69"/>
      <c r="Q516" s="69"/>
      <c r="R516" s="69"/>
      <c r="S516" s="435"/>
      <c r="T516" s="435"/>
      <c r="U516" s="435"/>
      <c r="V516" s="31"/>
      <c r="W516" s="32"/>
      <c r="X516" s="33"/>
      <c r="Y516" s="544">
        <v>6.5</v>
      </c>
      <c r="Z516" s="469">
        <f t="shared" si="111"/>
        <v>54021.707999999999</v>
      </c>
      <c r="AA516" s="33"/>
      <c r="AB516" s="438"/>
      <c r="AC516" s="33"/>
    </row>
    <row r="517" spans="1:29" x14ac:dyDescent="0.3">
      <c r="A517" s="439">
        <v>44022.104166666664</v>
      </c>
      <c r="B517" s="439">
        <v>44022.354166666664</v>
      </c>
      <c r="C517" s="23"/>
      <c r="D517" s="14"/>
      <c r="E517" s="35" t="s">
        <v>651</v>
      </c>
      <c r="F517" s="36" t="s">
        <v>328</v>
      </c>
      <c r="G517" s="433"/>
      <c r="H517" s="433">
        <f>7801-H518</f>
        <v>261.8119999999999</v>
      </c>
      <c r="I517" s="433"/>
      <c r="J517" s="26">
        <v>77000</v>
      </c>
      <c r="K517" s="632">
        <f>H517+H518-J517</f>
        <v>-69199</v>
      </c>
      <c r="L517" s="27">
        <f>B517-A517</f>
        <v>0.25</v>
      </c>
      <c r="M517" s="27">
        <f>'[177]ZONG GANG KUA YUE'!$F$33</f>
        <v>0.18229166666787933</v>
      </c>
      <c r="N517" s="434">
        <f>(H517+H518)/L517</f>
        <v>31204</v>
      </c>
      <c r="O517" s="462">
        <f>(H517+H518)/M517</f>
        <v>42794.057142572463</v>
      </c>
      <c r="P517" s="633">
        <v>30000</v>
      </c>
      <c r="Q517" s="69">
        <f>(106634/10000)*8.7</f>
        <v>92.771579999999986</v>
      </c>
      <c r="R517" s="69">
        <f>(103745/10000)*8.7</f>
        <v>90.258149999999986</v>
      </c>
      <c r="S517" s="435">
        <f>Q517-R517</f>
        <v>2.5134299999999996</v>
      </c>
      <c r="T517" s="435">
        <f>S517/8.7*10000/(H517+H518)</f>
        <v>0.37033713626458148</v>
      </c>
      <c r="U517" s="435">
        <f>S517/8.5*10000/(H517+H518)</f>
        <v>0.3790509512355128</v>
      </c>
      <c r="V517" s="31"/>
      <c r="W517" s="32"/>
      <c r="X517" s="33"/>
      <c r="Y517" s="544">
        <v>2.64</v>
      </c>
      <c r="Z517" s="469">
        <f t="shared" si="111"/>
        <v>691.18367999999975</v>
      </c>
      <c r="AA517" s="33"/>
      <c r="AB517" s="438"/>
      <c r="AC517" s="33"/>
    </row>
    <row r="518" spans="1:29" x14ac:dyDescent="0.3">
      <c r="A518" s="146"/>
      <c r="B518" s="146"/>
      <c r="C518" s="23"/>
      <c r="D518" s="14"/>
      <c r="E518" s="35" t="s">
        <v>652</v>
      </c>
      <c r="F518" s="36"/>
      <c r="G518" s="433"/>
      <c r="H518" s="433">
        <v>7539.1880000000001</v>
      </c>
      <c r="I518" s="433"/>
      <c r="J518" s="26"/>
      <c r="K518" s="27"/>
      <c r="L518" s="27"/>
      <c r="M518" s="434"/>
      <c r="N518" s="434"/>
      <c r="O518" s="434"/>
      <c r="P518" s="69"/>
      <c r="Q518" s="69"/>
      <c r="R518" s="69"/>
      <c r="S518" s="435"/>
      <c r="T518" s="435"/>
      <c r="U518" s="435"/>
      <c r="V518" s="31"/>
      <c r="W518" s="32"/>
      <c r="X518" s="33"/>
      <c r="Y518" s="544">
        <v>6.5</v>
      </c>
      <c r="Z518" s="469">
        <f t="shared" si="111"/>
        <v>49004.722000000002</v>
      </c>
      <c r="AA518" s="33"/>
      <c r="AB518" s="438"/>
      <c r="AC518" s="33"/>
    </row>
    <row r="519" spans="1:29" x14ac:dyDescent="0.3">
      <c r="A519" s="439">
        <v>44029.583333333336</v>
      </c>
      <c r="B519" s="439">
        <v>44030.375</v>
      </c>
      <c r="C519" s="23"/>
      <c r="D519" s="14"/>
      <c r="E519" s="35" t="s">
        <v>653</v>
      </c>
      <c r="F519" s="36" t="s">
        <v>212</v>
      </c>
      <c r="G519" s="433"/>
      <c r="H519" s="433">
        <f>23038-H520</f>
        <v>15238.462</v>
      </c>
      <c r="I519" s="433"/>
      <c r="J519" s="26">
        <v>54657</v>
      </c>
      <c r="K519" s="632">
        <f>H519+H520-J519</f>
        <v>-31619</v>
      </c>
      <c r="L519" s="27">
        <f>B519-A519</f>
        <v>0.79166666666424135</v>
      </c>
      <c r="M519" s="27">
        <f>'[177]EVER PROGRESS'!$F$47</f>
        <v>0.51909722222505172</v>
      </c>
      <c r="N519" s="434">
        <f>(H519+H520)/L519</f>
        <v>29100.631579036519</v>
      </c>
      <c r="O519" s="462">
        <f>(H519+H520)/M519</f>
        <v>44380.896320828324</v>
      </c>
      <c r="P519" s="633">
        <v>30000</v>
      </c>
      <c r="Q519" s="69">
        <f>(94508/10000)*8.7</f>
        <v>82.221959999999982</v>
      </c>
      <c r="R519" s="69">
        <f>(89263/10000)*8.7</f>
        <v>77.658809999999988</v>
      </c>
      <c r="S519" s="435">
        <f>Q519-R519</f>
        <v>4.5631499999999932</v>
      </c>
      <c r="T519" s="435">
        <f>S519/8.7*10000/(H519+H520)</f>
        <v>0.22766733223370053</v>
      </c>
      <c r="U519" s="435">
        <f>S519/8.5*10000/(H519+H520)</f>
        <v>0.23302421063919931</v>
      </c>
      <c r="V519" s="31"/>
      <c r="W519" s="32"/>
      <c r="X519" s="33"/>
      <c r="Y519" s="544">
        <v>2.64</v>
      </c>
      <c r="Z519" s="469">
        <f t="shared" si="111"/>
        <v>40229.539680000002</v>
      </c>
      <c r="AA519" s="33"/>
      <c r="AB519" s="438"/>
      <c r="AC519" s="33"/>
    </row>
    <row r="520" spans="1:29" x14ac:dyDescent="0.3">
      <c r="A520" s="439"/>
      <c r="B520" s="439"/>
      <c r="C520" s="23"/>
      <c r="D520" s="14"/>
      <c r="E520" s="35" t="s">
        <v>654</v>
      </c>
      <c r="F520" s="36"/>
      <c r="G520" s="433"/>
      <c r="H520" s="433">
        <v>7799.5379999999996</v>
      </c>
      <c r="I520" s="433"/>
      <c r="J520" s="26"/>
      <c r="K520" s="27"/>
      <c r="L520" s="27"/>
      <c r="M520" s="434"/>
      <c r="N520" s="434"/>
      <c r="O520" s="434"/>
      <c r="P520" s="69"/>
      <c r="Q520" s="69"/>
      <c r="R520" s="69"/>
      <c r="S520" s="435"/>
      <c r="T520" s="435"/>
      <c r="U520" s="435"/>
      <c r="V520" s="31"/>
      <c r="W520" s="32"/>
      <c r="X520" s="33"/>
      <c r="Y520" s="544">
        <v>6.5</v>
      </c>
      <c r="Z520" s="469">
        <f t="shared" si="111"/>
        <v>50696.996999999996</v>
      </c>
      <c r="AA520" s="33"/>
      <c r="AB520" s="438"/>
      <c r="AC520" s="33"/>
    </row>
    <row r="521" spans="1:29" x14ac:dyDescent="0.3">
      <c r="A521" s="439">
        <v>44030.833333333336</v>
      </c>
      <c r="B521" s="439">
        <v>44032.166666666664</v>
      </c>
      <c r="C521" s="23"/>
      <c r="D521" s="14"/>
      <c r="E521" s="35" t="s">
        <v>655</v>
      </c>
      <c r="F521" s="36" t="s">
        <v>212</v>
      </c>
      <c r="G521" s="433"/>
      <c r="H521" s="433">
        <f>37400</f>
        <v>37400</v>
      </c>
      <c r="I521" s="433"/>
      <c r="J521" s="26">
        <v>37368</v>
      </c>
      <c r="K521" s="632">
        <f>H521-J521</f>
        <v>32</v>
      </c>
      <c r="L521" s="27">
        <f>B521-A521</f>
        <v>1.3333333333284827</v>
      </c>
      <c r="M521" s="27">
        <f>'[177]BULK AQUILA'!$F$73</f>
        <v>0.8402777777688849</v>
      </c>
      <c r="N521" s="434">
        <f>(H521)/L521</f>
        <v>28050.000000102045</v>
      </c>
      <c r="O521" s="462">
        <f>(H521)/M521</f>
        <v>44509.090909561957</v>
      </c>
      <c r="P521" s="633">
        <v>30000</v>
      </c>
      <c r="Q521" s="69">
        <f>(88130/10000)*8.7</f>
        <v>76.673100000000005</v>
      </c>
      <c r="R521" s="69">
        <f>(80303/10000)*8.7</f>
        <v>69.863609999999994</v>
      </c>
      <c r="S521" s="435">
        <f>Q521-R521</f>
        <v>6.8094900000000109</v>
      </c>
      <c r="T521" s="435">
        <f>S521/8.7*10000/(H521)</f>
        <v>0.2092780748663105</v>
      </c>
      <c r="U521" s="435">
        <f>S521/8.5*10000/(H521)</f>
        <v>0.21420226486316485</v>
      </c>
      <c r="V521" s="31"/>
      <c r="W521" s="32"/>
      <c r="X521" s="33"/>
      <c r="Y521" s="544">
        <v>2.64</v>
      </c>
      <c r="Z521" s="469">
        <f t="shared" si="111"/>
        <v>98736</v>
      </c>
      <c r="AA521" s="33"/>
      <c r="AB521" s="438"/>
      <c r="AC521" s="33"/>
    </row>
    <row r="522" spans="1:29" x14ac:dyDescent="0.3">
      <c r="A522" s="439">
        <v>44032.354166666664</v>
      </c>
      <c r="B522" s="439">
        <v>44032.736111111109</v>
      </c>
      <c r="C522" s="23"/>
      <c r="D522" s="14"/>
      <c r="E522" s="35" t="s">
        <v>656</v>
      </c>
      <c r="F522" s="36" t="s">
        <v>212</v>
      </c>
      <c r="G522" s="433"/>
      <c r="H522" s="433">
        <v>14639</v>
      </c>
      <c r="I522" s="433"/>
      <c r="J522" s="26">
        <v>54965</v>
      </c>
      <c r="K522" s="632">
        <f>H522-J522</f>
        <v>-40326</v>
      </c>
      <c r="L522" s="27">
        <f>B522-A522</f>
        <v>0.38194444444525288</v>
      </c>
      <c r="M522" s="27">
        <f>'[177]AMOY FORTUNE'!$F$36</f>
        <v>0.32291666667151731</v>
      </c>
      <c r="N522" s="434">
        <f>(H522)/L522</f>
        <v>38327.56363628251</v>
      </c>
      <c r="O522" s="567">
        <f>(H522)/M522</f>
        <v>45333.677418673869</v>
      </c>
      <c r="P522" s="633">
        <v>30000</v>
      </c>
      <c r="Q522" s="69">
        <f>(79770/10000)*8.7</f>
        <v>69.399900000000002</v>
      </c>
      <c r="R522" s="69">
        <f>(77250/10000)*8.7</f>
        <v>67.207499999999996</v>
      </c>
      <c r="S522" s="435">
        <f>Q522-R522</f>
        <v>2.1924000000000063</v>
      </c>
      <c r="T522" s="435">
        <f>S522/8.7*10000/(H522)</f>
        <v>0.17214290593619833</v>
      </c>
      <c r="U522" s="435">
        <f>S522/8.5*10000/(H522)</f>
        <v>0.17619332725234416</v>
      </c>
      <c r="V522" s="31"/>
      <c r="W522" s="32"/>
      <c r="X522" s="33"/>
      <c r="Y522" s="544">
        <v>2.64</v>
      </c>
      <c r="Z522" s="469">
        <f t="shared" si="111"/>
        <v>38646.959999999999</v>
      </c>
      <c r="AA522" s="33"/>
      <c r="AB522" s="438"/>
      <c r="AC522" s="33"/>
    </row>
    <row r="523" spans="1:29" x14ac:dyDescent="0.3">
      <c r="A523" s="439">
        <v>44033.965277777781</v>
      </c>
      <c r="B523" s="439">
        <v>44035</v>
      </c>
      <c r="C523" s="23"/>
      <c r="D523" s="14"/>
      <c r="E523" s="35" t="s">
        <v>657</v>
      </c>
      <c r="F523" s="36" t="s">
        <v>328</v>
      </c>
      <c r="G523" s="433">
        <v>16912</v>
      </c>
      <c r="H523" s="433">
        <v>36459</v>
      </c>
      <c r="I523" s="339"/>
      <c r="J523" s="433">
        <v>88000</v>
      </c>
      <c r="K523" s="632">
        <f>H523-J523</f>
        <v>-51541</v>
      </c>
      <c r="L523" s="27">
        <f>B523-A523</f>
        <v>1.0347222222189885</v>
      </c>
      <c r="M523" s="27">
        <f>'[177]CLAIRE Z'!$F$60</f>
        <v>0.76909722224324162</v>
      </c>
      <c r="N523" s="434">
        <f>(H523)/L523</f>
        <v>35235.543624271195</v>
      </c>
      <c r="O523" s="567">
        <f>(H523)/M523</f>
        <v>47404.930021277789</v>
      </c>
      <c r="P523" s="633">
        <v>30000</v>
      </c>
      <c r="Q523" s="69">
        <f>(75053/10000)*8.7</f>
        <v>65.296109999999999</v>
      </c>
      <c r="R523" s="69">
        <f>(68739/10000)*8.7</f>
        <v>59.802929999999996</v>
      </c>
      <c r="S523" s="435">
        <f>Q523-R523</f>
        <v>5.4931800000000024</v>
      </c>
      <c r="T523" s="435">
        <f>S523/8.7*10000/(H523)</f>
        <v>0.17318083326476325</v>
      </c>
      <c r="U523" s="435">
        <f>S523/8.5*10000/(H523)</f>
        <v>0.17725567640040471</v>
      </c>
      <c r="V523" s="31"/>
      <c r="W523" s="32"/>
      <c r="X523" s="33"/>
      <c r="Y523" s="544">
        <v>2.64</v>
      </c>
      <c r="Z523" s="469">
        <f t="shared" si="111"/>
        <v>96251.760000000009</v>
      </c>
      <c r="AA523" s="33"/>
      <c r="AB523" s="438"/>
      <c r="AC523" s="33"/>
    </row>
    <row r="524" spans="1:29" x14ac:dyDescent="0.3">
      <c r="A524" s="439">
        <v>44036.381944444445</v>
      </c>
      <c r="B524" s="439">
        <v>44037.402777777781</v>
      </c>
      <c r="C524" s="23"/>
      <c r="D524" s="14"/>
      <c r="E524" s="35" t="s">
        <v>658</v>
      </c>
      <c r="F524" s="25" t="s">
        <v>659</v>
      </c>
      <c r="G524" s="433">
        <v>11246</v>
      </c>
      <c r="H524" s="433">
        <v>30487</v>
      </c>
      <c r="I524" s="26"/>
      <c r="J524" s="26">
        <v>53700</v>
      </c>
      <c r="K524" s="632">
        <f>H524-J524</f>
        <v>-23213</v>
      </c>
      <c r="L524" s="27">
        <f>B524-A524</f>
        <v>1.0208333333357587</v>
      </c>
      <c r="M524" s="27">
        <f>'[177]HC FORWARD'!$F$55</f>
        <v>0.65972222223596566</v>
      </c>
      <c r="N524" s="434">
        <f>(H524)/L524</f>
        <v>29864.816326459659</v>
      </c>
      <c r="O524" s="567">
        <f>(H524)/M524</f>
        <v>46211.873683247832</v>
      </c>
      <c r="P524" s="633">
        <v>30000</v>
      </c>
      <c r="Q524" s="69">
        <f>(296019/10000)*8.7</f>
        <v>257.53652999999997</v>
      </c>
      <c r="R524" s="69">
        <f>(290367/10000)*8.7</f>
        <v>252.61928999999998</v>
      </c>
      <c r="S524" s="435">
        <f>Q524-R524</f>
        <v>4.9172399999999925</v>
      </c>
      <c r="T524" s="435">
        <f>S524/8.7*10000/(H524)</f>
        <v>0.1853904943090495</v>
      </c>
      <c r="U524" s="435">
        <f>S524/8.5*10000/(H524)</f>
        <v>0.18975262358690945</v>
      </c>
      <c r="V524" s="31"/>
      <c r="W524" s="32"/>
      <c r="X524" s="33"/>
      <c r="Y524" s="544">
        <v>2.64</v>
      </c>
      <c r="Z524" s="469">
        <f t="shared" si="111"/>
        <v>80485.680000000008</v>
      </c>
      <c r="AA524" s="33"/>
      <c r="AB524" s="438"/>
      <c r="AC524" s="33"/>
    </row>
    <row r="525" spans="1:29" x14ac:dyDescent="0.3">
      <c r="A525" s="439">
        <v>44037.770833333336</v>
      </c>
      <c r="B525" s="439">
        <v>44041.875</v>
      </c>
      <c r="C525" s="23"/>
      <c r="D525" s="14"/>
      <c r="E525" s="35" t="s">
        <v>660</v>
      </c>
      <c r="F525" s="36" t="s">
        <v>32</v>
      </c>
      <c r="G525" s="433"/>
      <c r="H525" s="433">
        <f>74000-H526-H527</f>
        <v>60617.979999999996</v>
      </c>
      <c r="I525" s="433"/>
      <c r="J525" s="26">
        <v>74000</v>
      </c>
      <c r="K525" s="632">
        <f>H525+H526+H527-J525</f>
        <v>0</v>
      </c>
      <c r="L525" s="27">
        <f>B525-A525</f>
        <v>4.1041666666642413</v>
      </c>
      <c r="M525" s="27">
        <f>'[177]WU ZHOU 6'!$F$120</f>
        <v>1.4809027778052648</v>
      </c>
      <c r="N525" s="434">
        <f>(H525+H526+H527)/L525</f>
        <v>18030.456852802534</v>
      </c>
      <c r="O525" s="434">
        <f>(H525+H526+H527)/M525</f>
        <v>49969.519342566069</v>
      </c>
      <c r="P525" s="633">
        <v>30000</v>
      </c>
      <c r="Q525" s="69">
        <f>(289543/10000)*8.7</f>
        <v>251.90240999999997</v>
      </c>
      <c r="R525" s="69">
        <f>(272231/10000)*8.7</f>
        <v>236.84096999999997</v>
      </c>
      <c r="S525" s="435">
        <f>Q525-R525</f>
        <v>15.061440000000005</v>
      </c>
      <c r="T525" s="435">
        <f>S525/8.7*10000/(H525+H526+H527)</f>
        <v>0.23394594594594603</v>
      </c>
      <c r="U525" s="435">
        <f>S525/8.5*10000/(H525+H526+H527)</f>
        <v>0.23945055643879179</v>
      </c>
      <c r="V525" s="31"/>
      <c r="W525" s="32"/>
      <c r="X525" s="33"/>
      <c r="Y525" s="544">
        <v>2.64</v>
      </c>
      <c r="Z525" s="469">
        <f t="shared" si="111"/>
        <v>160031.46719999998</v>
      </c>
      <c r="AA525" s="33"/>
      <c r="AB525" s="438"/>
      <c r="AC525" s="33"/>
    </row>
    <row r="526" spans="1:29" x14ac:dyDescent="0.3">
      <c r="A526" s="439"/>
      <c r="B526" s="439"/>
      <c r="C526" s="23"/>
      <c r="D526" s="14"/>
      <c r="E526" s="35" t="s">
        <v>661</v>
      </c>
      <c r="F526" s="36"/>
      <c r="G526" s="433"/>
      <c r="H526" s="433">
        <v>5108.7240000000002</v>
      </c>
      <c r="I526" s="433"/>
      <c r="J526" s="26"/>
      <c r="K526" s="632"/>
      <c r="L526" s="27"/>
      <c r="M526" s="27"/>
      <c r="N526" s="434"/>
      <c r="O526" s="567"/>
      <c r="P526" s="633"/>
      <c r="Q526" s="69"/>
      <c r="R526" s="69"/>
      <c r="S526" s="435"/>
      <c r="T526" s="435"/>
      <c r="U526" s="435"/>
      <c r="V526" s="31"/>
      <c r="W526" s="32"/>
      <c r="X526" s="33"/>
      <c r="Y526" s="544">
        <v>6.5</v>
      </c>
      <c r="Z526" s="469">
        <f t="shared" si="111"/>
        <v>33206.705999999998</v>
      </c>
      <c r="AA526" s="33"/>
      <c r="AB526" s="438"/>
      <c r="AC526" s="33"/>
    </row>
    <row r="527" spans="1:29" x14ac:dyDescent="0.3">
      <c r="A527" s="439"/>
      <c r="B527" s="439"/>
      <c r="C527" s="23"/>
      <c r="D527" s="14"/>
      <c r="E527" s="35" t="s">
        <v>661</v>
      </c>
      <c r="F527" s="36"/>
      <c r="G527" s="433"/>
      <c r="H527" s="433">
        <v>8273.2960000000003</v>
      </c>
      <c r="I527" s="433"/>
      <c r="J527" s="26"/>
      <c r="K527" s="632"/>
      <c r="L527" s="27"/>
      <c r="M527" s="27"/>
      <c r="N527" s="434"/>
      <c r="O527" s="567"/>
      <c r="P527" s="633"/>
      <c r="Q527" s="69"/>
      <c r="R527" s="69"/>
      <c r="S527" s="435"/>
      <c r="T527" s="435"/>
      <c r="U527" s="435"/>
      <c r="V527" s="31"/>
      <c r="W527" s="32"/>
      <c r="X527" s="33"/>
      <c r="Y527" s="544">
        <v>6.5</v>
      </c>
      <c r="Z527" s="469">
        <f t="shared" si="111"/>
        <v>53776.423999999999</v>
      </c>
      <c r="AA527" s="33"/>
      <c r="AB527" s="438"/>
      <c r="AC527" s="33"/>
    </row>
    <row r="528" spans="1:29" x14ac:dyDescent="0.3">
      <c r="A528" s="439">
        <v>44042.076388888891</v>
      </c>
      <c r="B528" s="439">
        <v>44042.465277777781</v>
      </c>
      <c r="C528" s="23"/>
      <c r="D528" s="23"/>
      <c r="E528" s="35" t="s">
        <v>662</v>
      </c>
      <c r="F528" s="25" t="s">
        <v>212</v>
      </c>
      <c r="G528" s="433"/>
      <c r="H528" s="433">
        <v>11771</v>
      </c>
      <c r="I528" s="433"/>
      <c r="J528" s="26">
        <v>53000</v>
      </c>
      <c r="K528" s="632">
        <f>H528-J528</f>
        <v>-41229</v>
      </c>
      <c r="L528" s="27">
        <f>B528-A528</f>
        <v>0.38888888889050577</v>
      </c>
      <c r="M528" s="27">
        <f>'[177]VICTORIA 1'!$F$42</f>
        <v>0.27430555555717245</v>
      </c>
      <c r="N528" s="434">
        <f>(H528)/L528</f>
        <v>30268.285714159869</v>
      </c>
      <c r="O528" s="462">
        <f>(H528)/M528</f>
        <v>42911.999999747051</v>
      </c>
      <c r="P528" s="633">
        <v>30000</v>
      </c>
      <c r="Q528" s="69">
        <f>(271813/10000)*8.7</f>
        <v>236.47730999999999</v>
      </c>
      <c r="R528" s="69">
        <f>(269173/10000)*8.7</f>
        <v>234.18051</v>
      </c>
      <c r="S528" s="435">
        <f>Q528-R528</f>
        <v>2.2967999999999904</v>
      </c>
      <c r="T528" s="435">
        <f>S528/8.7*10000/(H528)</f>
        <v>0.22428001019454499</v>
      </c>
      <c r="U528" s="435">
        <f>S528/8.5*10000/(H528)</f>
        <v>0.22955718690500485</v>
      </c>
      <c r="V528" s="436"/>
      <c r="W528" s="437"/>
      <c r="X528" s="33"/>
      <c r="Y528" s="544">
        <v>2.64</v>
      </c>
      <c r="Z528" s="469">
        <f t="shared" si="111"/>
        <v>31075.440000000002</v>
      </c>
      <c r="AA528" s="33"/>
      <c r="AB528" s="438"/>
      <c r="AC528" s="33"/>
    </row>
    <row r="529" spans="1:29" x14ac:dyDescent="0.3">
      <c r="A529" s="439"/>
      <c r="B529" s="439"/>
      <c r="C529" s="23"/>
      <c r="D529" s="23"/>
      <c r="E529" s="35"/>
      <c r="F529" s="25"/>
      <c r="G529" s="433"/>
      <c r="H529" s="433"/>
      <c r="I529" s="433"/>
      <c r="J529" s="26"/>
      <c r="K529" s="27"/>
      <c r="L529" s="27"/>
      <c r="M529" s="434"/>
      <c r="N529" s="434"/>
      <c r="O529" s="434"/>
      <c r="P529" s="69"/>
      <c r="Q529" s="69"/>
      <c r="R529" s="69"/>
      <c r="S529" s="435"/>
      <c r="T529" s="435"/>
      <c r="U529" s="435"/>
      <c r="V529" s="436"/>
      <c r="W529" s="437"/>
      <c r="X529" s="33"/>
      <c r="Y529" s="33"/>
      <c r="Z529" s="33"/>
      <c r="AA529" s="33"/>
      <c r="AB529" s="438"/>
      <c r="AC529" s="33"/>
    </row>
    <row r="530" spans="1:29" x14ac:dyDescent="0.3">
      <c r="A530" s="20"/>
      <c r="B530" s="20"/>
      <c r="C530" s="20">
        <v>1000000001</v>
      </c>
      <c r="D530" s="20"/>
      <c r="E530" s="21" t="s">
        <v>67</v>
      </c>
      <c r="F530" s="21"/>
      <c r="G530" s="431">
        <f>SUM(G504:G529)</f>
        <v>28158</v>
      </c>
      <c r="H530" s="431">
        <f>SUM(H505:H529)</f>
        <v>389361.99999999994</v>
      </c>
      <c r="I530" s="431"/>
      <c r="J530" s="431"/>
      <c r="K530" s="431"/>
      <c r="L530" s="431"/>
      <c r="M530" s="431"/>
      <c r="N530" s="431"/>
      <c r="O530" s="431"/>
      <c r="P530" s="431"/>
      <c r="Q530" s="431"/>
      <c r="R530" s="440">
        <f>SUM(R504:R529)</f>
        <v>1511.4927599999996</v>
      </c>
      <c r="S530" s="441">
        <f>R530/8.7*10000/G530</f>
        <v>61.699978691668434</v>
      </c>
      <c r="T530" s="440"/>
      <c r="U530" s="440"/>
      <c r="V530" s="442"/>
      <c r="W530" s="22"/>
      <c r="X530" s="22"/>
      <c r="Y530" s="432"/>
      <c r="Z530" s="432">
        <f>SUM(Z505:Z529)</f>
        <v>1377737.7875399999</v>
      </c>
      <c r="AA530" s="432"/>
      <c r="AB530" s="432"/>
      <c r="AC530" s="432"/>
    </row>
    <row r="531" spans="1:29" x14ac:dyDescent="0.3">
      <c r="A531" s="146"/>
      <c r="B531" s="146"/>
      <c r="C531" s="23"/>
      <c r="D531" s="14"/>
      <c r="E531" s="35"/>
      <c r="F531" s="25"/>
      <c r="G531" s="433"/>
      <c r="H531" s="433"/>
      <c r="I531" s="433"/>
      <c r="J531" s="26"/>
      <c r="K531" s="27"/>
      <c r="L531" s="27"/>
      <c r="M531" s="434"/>
      <c r="N531" s="434"/>
      <c r="O531" s="434"/>
      <c r="P531" s="69"/>
      <c r="Q531" s="69"/>
      <c r="R531" s="69"/>
      <c r="S531" s="435"/>
      <c r="T531" s="435"/>
      <c r="U531" s="435"/>
      <c r="V531" s="436"/>
      <c r="W531" s="437"/>
      <c r="X531" s="33"/>
      <c r="Y531" s="33"/>
      <c r="Z531" s="33"/>
      <c r="AA531" s="33"/>
      <c r="AB531" s="438"/>
      <c r="AC531" s="33"/>
    </row>
    <row r="532" spans="1:29" x14ac:dyDescent="0.3">
      <c r="A532" s="439">
        <v>44045.736111111109</v>
      </c>
      <c r="B532" s="439">
        <v>44047.197916666664</v>
      </c>
      <c r="C532" s="23"/>
      <c r="D532" s="14"/>
      <c r="E532" s="35" t="s">
        <v>663</v>
      </c>
      <c r="F532" s="36" t="s">
        <v>328</v>
      </c>
      <c r="G532" s="433"/>
      <c r="H532" s="433">
        <f>44108-H533</f>
        <v>36198.514999999999</v>
      </c>
      <c r="I532" s="433"/>
      <c r="J532" s="26">
        <v>72700</v>
      </c>
      <c r="K532" s="632">
        <f>H532+H533-J532</f>
        <v>-28592</v>
      </c>
      <c r="L532" s="27">
        <f>B532-A532</f>
        <v>1.4618055555547471</v>
      </c>
      <c r="M532" s="27">
        <f>'[178]ZHONG LIAN SI FANG'!$F$77</f>
        <v>0.95833333333818393</v>
      </c>
      <c r="N532" s="434">
        <f>(H532+H533)/L532</f>
        <v>30173.64370547987</v>
      </c>
      <c r="O532" s="567">
        <f>(H532+H533)/M532</f>
        <v>46025.739130201822</v>
      </c>
      <c r="P532" s="633">
        <v>30000</v>
      </c>
      <c r="Q532" s="69">
        <f>(263637/10000)*8.7</f>
        <v>229.36419000000001</v>
      </c>
      <c r="R532" s="69">
        <f>(255044/10000)*8.7</f>
        <v>221.88827999999998</v>
      </c>
      <c r="S532" s="435">
        <f>Q532-R532</f>
        <v>7.4759100000000274</v>
      </c>
      <c r="T532" s="435">
        <f>S532/8.7*10000/(H532+H533)</f>
        <v>0.19481726670898775</v>
      </c>
      <c r="U532" s="435">
        <f>S532/8.5*10000/(H532+H533)</f>
        <v>0.19940120239625805</v>
      </c>
      <c r="V532" s="436"/>
      <c r="W532" s="32"/>
      <c r="X532" s="33"/>
      <c r="Y532" s="544">
        <v>2.64</v>
      </c>
      <c r="Z532" s="469">
        <f t="shared" ref="Z532:Z555" si="112">H532*Y532</f>
        <v>95564.079599999997</v>
      </c>
      <c r="AA532" s="33"/>
      <c r="AB532" s="438"/>
      <c r="AC532" s="33"/>
    </row>
    <row r="533" spans="1:29" x14ac:dyDescent="0.3">
      <c r="A533" s="146"/>
      <c r="B533" s="146"/>
      <c r="C533" s="23"/>
      <c r="D533" s="14"/>
      <c r="E533" s="35" t="s">
        <v>664</v>
      </c>
      <c r="F533" s="36"/>
      <c r="G533" s="433"/>
      <c r="H533" s="433">
        <v>7909.4849999999997</v>
      </c>
      <c r="I533" s="433"/>
      <c r="J533" s="26"/>
      <c r="K533" s="27"/>
      <c r="L533" s="27"/>
      <c r="M533" s="434"/>
      <c r="N533" s="434"/>
      <c r="O533" s="434"/>
      <c r="P533" s="69"/>
      <c r="Q533" s="69"/>
      <c r="R533" s="69"/>
      <c r="S533" s="435"/>
      <c r="T533" s="435"/>
      <c r="U533" s="435"/>
      <c r="V533" s="436"/>
      <c r="W533" s="32"/>
      <c r="X533" s="33"/>
      <c r="Y533" s="544">
        <v>6.5</v>
      </c>
      <c r="Z533" s="469">
        <f t="shared" si="112"/>
        <v>51411.652499999997</v>
      </c>
      <c r="AA533" s="33"/>
      <c r="AB533" s="438"/>
      <c r="AC533" s="33"/>
    </row>
    <row r="534" spans="1:29" x14ac:dyDescent="0.3">
      <c r="A534" s="439">
        <v>44049.013888888891</v>
      </c>
      <c r="B534" s="439">
        <v>44050.236111111109</v>
      </c>
      <c r="C534" s="23"/>
      <c r="D534" s="14"/>
      <c r="E534" s="35" t="s">
        <v>133</v>
      </c>
      <c r="F534" s="25" t="s">
        <v>32</v>
      </c>
      <c r="G534" s="433">
        <v>15280</v>
      </c>
      <c r="H534" s="433">
        <f>37286-H535-H536</f>
        <v>21405.887999999999</v>
      </c>
      <c r="I534" s="433"/>
      <c r="J534" s="433">
        <v>71500</v>
      </c>
      <c r="K534" s="632">
        <f>H534+H535+H536-J534</f>
        <v>-34214</v>
      </c>
      <c r="L534" s="27">
        <f>B534-A534</f>
        <v>1.2222222222189885</v>
      </c>
      <c r="M534" s="27">
        <f>'[178]YUE DIAN 82'!$F$77</f>
        <v>0.85243055557536229</v>
      </c>
      <c r="N534" s="434">
        <f>(H534+H535+H536)/L534</f>
        <v>30506.727272807988</v>
      </c>
      <c r="O534" s="462">
        <f>(H534+H535+H536)/M534</f>
        <v>43740.806516295263</v>
      </c>
      <c r="P534" s="633">
        <v>30000</v>
      </c>
      <c r="Q534" s="69">
        <f>(251133/10000)*8.7</f>
        <v>218.48570999999998</v>
      </c>
      <c r="R534" s="69">
        <f>(243893/10000)*8.7</f>
        <v>212.18690999999998</v>
      </c>
      <c r="S534" s="435">
        <f>Q534-R534</f>
        <v>6.2988</v>
      </c>
      <c r="T534" s="435">
        <f>S534/8.7*10000/(H534+H535+H536)</f>
        <v>0.19417475728155342</v>
      </c>
      <c r="U534" s="435">
        <f>S534/8.5*10000/(H534+H535+H536)</f>
        <v>0.19874357509994289</v>
      </c>
      <c r="V534" s="436"/>
      <c r="W534" s="32"/>
      <c r="X534" s="33"/>
      <c r="Y534" s="544">
        <v>2.64</v>
      </c>
      <c r="Z534" s="469">
        <f t="shared" si="112"/>
        <v>56511.544320000001</v>
      </c>
      <c r="AA534" s="33"/>
      <c r="AB534" s="438"/>
      <c r="AC534" s="33"/>
    </row>
    <row r="535" spans="1:29" x14ac:dyDescent="0.3">
      <c r="A535" s="439"/>
      <c r="B535" s="146"/>
      <c r="C535" s="23"/>
      <c r="D535" s="14"/>
      <c r="E535" s="35" t="s">
        <v>616</v>
      </c>
      <c r="F535" s="36"/>
      <c r="G535" s="433"/>
      <c r="H535" s="433">
        <v>8000.683</v>
      </c>
      <c r="I535" s="433"/>
      <c r="J535" s="26"/>
      <c r="K535" s="27"/>
      <c r="L535" s="27"/>
      <c r="M535" s="434"/>
      <c r="N535" s="434"/>
      <c r="O535" s="434"/>
      <c r="P535" s="69"/>
      <c r="Q535" s="69"/>
      <c r="R535" s="69"/>
      <c r="S535" s="435"/>
      <c r="T535" s="435"/>
      <c r="U535" s="435"/>
      <c r="V535" s="436"/>
      <c r="W535" s="32"/>
      <c r="X535" s="33"/>
      <c r="Y535" s="544">
        <v>6.5</v>
      </c>
      <c r="Z535" s="469">
        <f t="shared" si="112"/>
        <v>52004.4395</v>
      </c>
      <c r="AA535" s="33"/>
      <c r="AB535" s="438"/>
      <c r="AC535" s="33"/>
    </row>
    <row r="536" spans="1:29" x14ac:dyDescent="0.3">
      <c r="A536" s="146"/>
      <c r="B536" s="146"/>
      <c r="C536" s="23"/>
      <c r="D536" s="14"/>
      <c r="E536" s="35" t="s">
        <v>616</v>
      </c>
      <c r="F536" s="36"/>
      <c r="G536" s="433"/>
      <c r="H536" s="433">
        <v>7879.4290000000001</v>
      </c>
      <c r="I536" s="433"/>
      <c r="J536" s="26"/>
      <c r="K536" s="27"/>
      <c r="L536" s="27"/>
      <c r="M536" s="434"/>
      <c r="N536" s="434"/>
      <c r="O536" s="434"/>
      <c r="P536" s="69"/>
      <c r="Q536" s="69"/>
      <c r="R536" s="69"/>
      <c r="S536" s="435"/>
      <c r="T536" s="435"/>
      <c r="U536" s="435"/>
      <c r="V536" s="436"/>
      <c r="W536" s="32"/>
      <c r="X536" s="33"/>
      <c r="Y536" s="544">
        <v>6.5</v>
      </c>
      <c r="Z536" s="469">
        <f t="shared" si="112"/>
        <v>51216.288500000002</v>
      </c>
      <c r="AA536" s="33"/>
      <c r="AB536" s="438"/>
      <c r="AC536" s="33"/>
    </row>
    <row r="537" spans="1:29" x14ac:dyDescent="0.3">
      <c r="A537" s="439">
        <v>44051.802083333336</v>
      </c>
      <c r="B537" s="439">
        <v>44053.114583333336</v>
      </c>
      <c r="C537" s="23"/>
      <c r="D537" s="14"/>
      <c r="E537" s="35" t="s">
        <v>527</v>
      </c>
      <c r="F537" s="36" t="s">
        <v>328</v>
      </c>
      <c r="G537" s="433"/>
      <c r="H537" s="634">
        <f>44037-H538</f>
        <v>35737</v>
      </c>
      <c r="I537" s="433"/>
      <c r="J537" s="26">
        <v>67000</v>
      </c>
      <c r="K537" s="632">
        <f>H537+H538-J537</f>
        <v>-22963</v>
      </c>
      <c r="L537" s="27">
        <f>B537-A537</f>
        <v>1.3125</v>
      </c>
      <c r="M537" s="27">
        <f>'[178]MANALAGI PRITA'!$F$93</f>
        <v>0.82812499998787337</v>
      </c>
      <c r="N537" s="434">
        <f>(H537+H538)/L537</f>
        <v>33552</v>
      </c>
      <c r="O537" s="567">
        <f>(H537+H538)/M537</f>
        <v>53176.754717759824</v>
      </c>
      <c r="P537" s="633">
        <v>30000</v>
      </c>
      <c r="Q537" s="69">
        <f>(241025/10000)*8.7</f>
        <v>209.69174999999998</v>
      </c>
      <c r="R537" s="69">
        <f>(233025/10000)*8.7</f>
        <v>202.73174999999998</v>
      </c>
      <c r="S537" s="435">
        <f>Q537-R537</f>
        <v>6.960000000000008</v>
      </c>
      <c r="T537" s="435">
        <f>S537/8.7*10000/(H537+H538)</f>
        <v>0.18166541771692007</v>
      </c>
      <c r="U537" s="435">
        <f>S537/8.5*10000/(H537+H538)</f>
        <v>0.18593989813378878</v>
      </c>
      <c r="V537" s="436"/>
      <c r="W537" s="32"/>
      <c r="X537" s="33"/>
      <c r="Y537" s="544">
        <v>2.64</v>
      </c>
      <c r="Z537" s="469">
        <f t="shared" si="112"/>
        <v>94345.680000000008</v>
      </c>
      <c r="AA537" s="33"/>
      <c r="AB537" s="438"/>
      <c r="AC537" s="33"/>
    </row>
    <row r="538" spans="1:29" x14ac:dyDescent="0.3">
      <c r="A538" s="146"/>
      <c r="B538" s="146"/>
      <c r="C538" s="23"/>
      <c r="D538" s="14"/>
      <c r="E538" s="35" t="s">
        <v>665</v>
      </c>
      <c r="F538" s="36"/>
      <c r="G538" s="433"/>
      <c r="H538" s="634">
        <v>8300</v>
      </c>
      <c r="I538" s="433"/>
      <c r="J538" s="26"/>
      <c r="K538" s="27"/>
      <c r="L538" s="27"/>
      <c r="M538" s="434"/>
      <c r="N538" s="434"/>
      <c r="O538" s="434"/>
      <c r="P538" s="69"/>
      <c r="Q538" s="69"/>
      <c r="R538" s="69"/>
      <c r="S538" s="435"/>
      <c r="T538" s="435"/>
      <c r="U538" s="435"/>
      <c r="V538" s="436"/>
      <c r="W538" s="32"/>
      <c r="X538" s="33"/>
      <c r="Y538" s="544">
        <v>6.5</v>
      </c>
      <c r="Z538" s="469">
        <f t="shared" si="112"/>
        <v>53950</v>
      </c>
      <c r="AA538" s="33"/>
      <c r="AB538" s="438"/>
      <c r="AC538" s="33"/>
    </row>
    <row r="539" spans="1:29" x14ac:dyDescent="0.3">
      <c r="A539" s="439">
        <v>44053.791666666664</v>
      </c>
      <c r="B539" s="439">
        <v>44055.583333333336</v>
      </c>
      <c r="C539" s="23"/>
      <c r="D539" s="14"/>
      <c r="E539" s="635" t="s">
        <v>666</v>
      </c>
      <c r="F539" s="36" t="s">
        <v>212</v>
      </c>
      <c r="G539" s="433"/>
      <c r="H539" s="634">
        <f>55100-H540-H541-H542-H543</f>
        <v>29586.966</v>
      </c>
      <c r="I539" s="433"/>
      <c r="J539" s="26">
        <v>53000</v>
      </c>
      <c r="K539" s="632">
        <f>H539+H540+H541+H542+H543-J539</f>
        <v>2100</v>
      </c>
      <c r="L539" s="27">
        <f>B539-A539</f>
        <v>1.7916666666715173</v>
      </c>
      <c r="M539" s="27">
        <f>'[178]JIN BO'!$F$90</f>
        <v>1.154513888922035</v>
      </c>
      <c r="N539" s="434">
        <f>(H539+H540+H541+H542+H543)/L539</f>
        <v>30753.488372009764</v>
      </c>
      <c r="O539" s="434">
        <f>(H539+H540+H541+H542+H543)/M539</f>
        <v>47725.714284344082</v>
      </c>
      <c r="P539" s="633">
        <v>30000</v>
      </c>
      <c r="Q539" s="69">
        <f>(231450/10000)*8.7</f>
        <v>201.36149999999998</v>
      </c>
      <c r="R539" s="69">
        <f>(220890/10000)*8.7</f>
        <v>192.17429999999996</v>
      </c>
      <c r="S539" s="435">
        <f>Q539-R539</f>
        <v>9.1872000000000185</v>
      </c>
      <c r="T539" s="435">
        <f>S539/8.7*10000/(H539+H540+H541+H542+H543)</f>
        <v>0.19165154264972817</v>
      </c>
      <c r="U539" s="435">
        <f>S539/8.5*10000/(H539+H540+H541+H542+H543)</f>
        <v>0.19616099071207468</v>
      </c>
      <c r="V539" s="436"/>
      <c r="W539" s="32"/>
      <c r="X539" s="33"/>
      <c r="Y539" s="544">
        <v>2.64</v>
      </c>
      <c r="Z539" s="469">
        <f t="shared" si="112"/>
        <v>78109.590240000005</v>
      </c>
      <c r="AA539" s="33"/>
      <c r="AB539" s="438"/>
      <c r="AC539" s="33"/>
    </row>
    <row r="540" spans="1:29" x14ac:dyDescent="0.3">
      <c r="A540" s="146"/>
      <c r="B540" s="146"/>
      <c r="C540" s="23"/>
      <c r="D540" s="14"/>
      <c r="E540" s="35" t="s">
        <v>667</v>
      </c>
      <c r="F540" s="36"/>
      <c r="G540" s="433"/>
      <c r="H540" s="433">
        <v>7532.1729999999998</v>
      </c>
      <c r="I540" s="433"/>
      <c r="J540" s="26"/>
      <c r="K540" s="27"/>
      <c r="L540" s="27"/>
      <c r="M540" s="434"/>
      <c r="N540" s="434"/>
      <c r="O540" s="434"/>
      <c r="P540" s="69"/>
      <c r="Q540" s="69"/>
      <c r="R540" s="69"/>
      <c r="S540" s="435"/>
      <c r="T540" s="435"/>
      <c r="U540" s="435"/>
      <c r="V540" s="436"/>
      <c r="W540" s="32"/>
      <c r="X540" s="33"/>
      <c r="Y540" s="544">
        <v>6.5</v>
      </c>
      <c r="Z540" s="469">
        <f t="shared" si="112"/>
        <v>48959.124499999998</v>
      </c>
      <c r="AA540" s="33"/>
      <c r="AB540" s="438"/>
      <c r="AC540" s="33"/>
    </row>
    <row r="541" spans="1:29" x14ac:dyDescent="0.3">
      <c r="A541" s="146"/>
      <c r="B541" s="146"/>
      <c r="C541" s="23"/>
      <c r="D541" s="14"/>
      <c r="E541" s="35" t="s">
        <v>667</v>
      </c>
      <c r="F541" s="36"/>
      <c r="G541" s="433"/>
      <c r="H541" s="433">
        <v>7621.6509999999998</v>
      </c>
      <c r="I541" s="433"/>
      <c r="J541" s="26"/>
      <c r="K541" s="27"/>
      <c r="L541" s="27"/>
      <c r="M541" s="434"/>
      <c r="N541" s="434"/>
      <c r="O541" s="434"/>
      <c r="P541" s="69"/>
      <c r="Q541" s="69"/>
      <c r="R541" s="69"/>
      <c r="S541" s="435"/>
      <c r="T541" s="435"/>
      <c r="U541" s="435"/>
      <c r="V541" s="436"/>
      <c r="W541" s="32"/>
      <c r="X541" s="33"/>
      <c r="Y541" s="544">
        <v>6.5</v>
      </c>
      <c r="Z541" s="469">
        <f t="shared" si="112"/>
        <v>49540.731500000002</v>
      </c>
      <c r="AA541" s="33"/>
      <c r="AB541" s="438"/>
      <c r="AC541" s="33"/>
    </row>
    <row r="542" spans="1:29" x14ac:dyDescent="0.3">
      <c r="A542" s="146"/>
      <c r="B542" s="146"/>
      <c r="C542" s="23"/>
      <c r="D542" s="14"/>
      <c r="E542" s="35" t="s">
        <v>667</v>
      </c>
      <c r="F542" s="36"/>
      <c r="G542" s="433"/>
      <c r="H542" s="433">
        <v>7588.21</v>
      </c>
      <c r="I542" s="433"/>
      <c r="J542" s="26"/>
      <c r="K542" s="27"/>
      <c r="L542" s="27"/>
      <c r="M542" s="434"/>
      <c r="N542" s="434"/>
      <c r="O542" s="434"/>
      <c r="P542" s="69"/>
      <c r="Q542" s="69"/>
      <c r="R542" s="69"/>
      <c r="S542" s="435"/>
      <c r="T542" s="435"/>
      <c r="U542" s="435"/>
      <c r="V542" s="436"/>
      <c r="W542" s="32"/>
      <c r="X542" s="33"/>
      <c r="Y542" s="544">
        <v>6.5</v>
      </c>
      <c r="Z542" s="469">
        <f t="shared" si="112"/>
        <v>49323.364999999998</v>
      </c>
      <c r="AA542" s="33"/>
      <c r="AB542" s="438"/>
      <c r="AC542" s="33"/>
    </row>
    <row r="543" spans="1:29" x14ac:dyDescent="0.3">
      <c r="A543" s="146"/>
      <c r="B543" s="146"/>
      <c r="C543" s="23"/>
      <c r="D543" s="14"/>
      <c r="E543" s="635" t="s">
        <v>667</v>
      </c>
      <c r="F543" s="36"/>
      <c r="G543" s="433"/>
      <c r="H543" s="634">
        <v>2771</v>
      </c>
      <c r="I543" s="433"/>
      <c r="J543" s="26"/>
      <c r="K543" s="27"/>
      <c r="L543" s="27"/>
      <c r="M543" s="434"/>
      <c r="N543" s="434"/>
      <c r="O543" s="434"/>
      <c r="P543" s="69"/>
      <c r="Q543" s="69"/>
      <c r="R543" s="69"/>
      <c r="S543" s="435"/>
      <c r="T543" s="435"/>
      <c r="U543" s="435"/>
      <c r="V543" s="436"/>
      <c r="W543" s="32"/>
      <c r="X543" s="33"/>
      <c r="Y543" s="544">
        <v>6.5</v>
      </c>
      <c r="Z543" s="469">
        <f t="shared" si="112"/>
        <v>18011.5</v>
      </c>
      <c r="AA543" s="33"/>
      <c r="AB543" s="438"/>
      <c r="AC543" s="33"/>
    </row>
    <row r="544" spans="1:29" x14ac:dyDescent="0.3">
      <c r="A544" s="439">
        <v>44055.895833333336</v>
      </c>
      <c r="B544" s="439">
        <v>44057.708333333336</v>
      </c>
      <c r="C544" s="23"/>
      <c r="D544" s="14"/>
      <c r="E544" s="35" t="s">
        <v>668</v>
      </c>
      <c r="F544" s="36" t="s">
        <v>212</v>
      </c>
      <c r="G544" s="433"/>
      <c r="H544" s="433">
        <v>50002</v>
      </c>
      <c r="I544" s="433"/>
      <c r="J544" s="26">
        <v>50000</v>
      </c>
      <c r="K544" s="632">
        <f>H544-J544</f>
        <v>2</v>
      </c>
      <c r="L544" s="27">
        <f>B544-A544</f>
        <v>1.8125</v>
      </c>
      <c r="M544" s="27">
        <f>[178]AMMAR!$F$122</f>
        <v>0.96527777777616086</v>
      </c>
      <c r="N544" s="434">
        <f>(H544)/L544</f>
        <v>27587.310344827587</v>
      </c>
      <c r="O544" s="567">
        <f>(H544)/M544</f>
        <v>51800.633093611948</v>
      </c>
      <c r="P544" s="633">
        <v>30000</v>
      </c>
      <c r="Q544" s="69">
        <f>(219925/10000)*8.7</f>
        <v>191.33474999999999</v>
      </c>
      <c r="R544" s="69">
        <f>(209245/10000)*8.7</f>
        <v>182.04314999999997</v>
      </c>
      <c r="S544" s="435">
        <f>Q544-R544</f>
        <v>9.2916000000000167</v>
      </c>
      <c r="T544" s="435">
        <f>S544/8.7*10000/(H544)</f>
        <v>0.21359145634174673</v>
      </c>
      <c r="U544" s="435">
        <f>S544/8.5*10000/(H544)</f>
        <v>0.2186171376674349</v>
      </c>
      <c r="V544" s="436"/>
      <c r="W544" s="32"/>
      <c r="X544" s="33"/>
      <c r="Y544" s="544">
        <v>2.64</v>
      </c>
      <c r="Z544" s="469">
        <f t="shared" si="112"/>
        <v>132005.28</v>
      </c>
      <c r="AA544" s="33"/>
      <c r="AB544" s="438"/>
      <c r="AC544" s="33"/>
    </row>
    <row r="545" spans="1:29" x14ac:dyDescent="0.3">
      <c r="A545" s="439">
        <v>44058.9375</v>
      </c>
      <c r="B545" s="439">
        <v>44060.670138888891</v>
      </c>
      <c r="C545" s="23"/>
      <c r="D545" s="14"/>
      <c r="E545" s="35" t="s">
        <v>669</v>
      </c>
      <c r="F545" s="36" t="s">
        <v>328</v>
      </c>
      <c r="G545" s="433"/>
      <c r="H545" s="634">
        <f>48333-H546</f>
        <v>47328</v>
      </c>
      <c r="I545" s="433"/>
      <c r="J545" s="26">
        <v>79458</v>
      </c>
      <c r="K545" s="632">
        <f>H545+H546-J545</f>
        <v>-31125</v>
      </c>
      <c r="L545" s="27">
        <f>B545-A545</f>
        <v>1.7326388888905058</v>
      </c>
      <c r="M545" s="27">
        <f>'[178]ULUSOY-12'!$F$87</f>
        <v>1.0034722222396038</v>
      </c>
      <c r="N545" s="434">
        <f>(H545+H546)/L545</f>
        <v>27895.599198370761</v>
      </c>
      <c r="O545" s="567">
        <f>(H545+H546)/M545</f>
        <v>48165.757784632828</v>
      </c>
      <c r="P545" s="633">
        <v>30000</v>
      </c>
      <c r="Q545" s="69">
        <f>(206648/10000)*8.7</f>
        <v>179.78375999999997</v>
      </c>
      <c r="R545" s="69">
        <f>(196419/10000)*8.7</f>
        <v>170.88452999999998</v>
      </c>
      <c r="S545" s="435">
        <f>Q545-R545</f>
        <v>8.8992299999999886</v>
      </c>
      <c r="T545" s="435">
        <f>S545/8.7*10000/(H545+H546)</f>
        <v>0.2116359423168433</v>
      </c>
      <c r="U545" s="435">
        <f>S545/8.5*10000/(H545+H546)</f>
        <v>0.21661561154782785</v>
      </c>
      <c r="V545" s="436"/>
      <c r="W545" s="32"/>
      <c r="X545" s="33"/>
      <c r="Y545" s="544">
        <v>2.64</v>
      </c>
      <c r="Z545" s="469">
        <f t="shared" si="112"/>
        <v>124945.92000000001</v>
      </c>
      <c r="AA545" s="33"/>
      <c r="AB545" s="438"/>
      <c r="AC545" s="33"/>
    </row>
    <row r="546" spans="1:29" x14ac:dyDescent="0.3">
      <c r="A546" s="146"/>
      <c r="B546" s="146"/>
      <c r="C546" s="23"/>
      <c r="D546" s="14"/>
      <c r="E546" s="35" t="s">
        <v>670</v>
      </c>
      <c r="F546" s="36"/>
      <c r="G546" s="433"/>
      <c r="H546" s="634">
        <v>1005</v>
      </c>
      <c r="I546" s="433"/>
      <c r="J546" s="26"/>
      <c r="K546" s="27"/>
      <c r="L546" s="27"/>
      <c r="M546" s="434"/>
      <c r="N546" s="434"/>
      <c r="O546" s="567"/>
      <c r="P546" s="69"/>
      <c r="Q546" s="69"/>
      <c r="R546" s="69"/>
      <c r="S546" s="435"/>
      <c r="T546" s="435"/>
      <c r="U546" s="435"/>
      <c r="V546" s="436"/>
      <c r="W546" s="32"/>
      <c r="X546" s="33"/>
      <c r="Y546" s="544">
        <v>6.5</v>
      </c>
      <c r="Z546" s="469">
        <f t="shared" si="112"/>
        <v>6532.5</v>
      </c>
      <c r="AA546" s="33"/>
      <c r="AB546" s="438"/>
      <c r="AC546" s="33"/>
    </row>
    <row r="547" spans="1:29" x14ac:dyDescent="0.3">
      <c r="A547" s="439">
        <v>44063.833333333336</v>
      </c>
      <c r="B547" s="439">
        <v>44065.770833333336</v>
      </c>
      <c r="C547" s="23"/>
      <c r="D547" s="14"/>
      <c r="E547" s="35" t="s">
        <v>671</v>
      </c>
      <c r="F547" s="36" t="s">
        <v>212</v>
      </c>
      <c r="G547" s="433"/>
      <c r="H547" s="634">
        <f>53150-H548-H549</f>
        <v>40775.898000000001</v>
      </c>
      <c r="I547" s="433"/>
      <c r="J547" s="26">
        <v>53150</v>
      </c>
      <c r="K547" s="632">
        <f>H547+H548+H549-J547</f>
        <v>0</v>
      </c>
      <c r="L547" s="27">
        <f>B547-A547</f>
        <v>1.9375</v>
      </c>
      <c r="M547" s="27">
        <f>'[178]YUE DIAN 82'!$F$77</f>
        <v>0.85243055557536229</v>
      </c>
      <c r="N547" s="434">
        <f>(H547+H548+H549)/L547</f>
        <v>27432.258064516129</v>
      </c>
      <c r="O547" s="567">
        <f>(H547+H548+H549)/M547</f>
        <v>62351.120161484025</v>
      </c>
      <c r="P547" s="633">
        <v>30000</v>
      </c>
      <c r="Q547" s="69">
        <f>(190704/10000)*8.7</f>
        <v>165.91247999999999</v>
      </c>
      <c r="R547" s="69">
        <f>(179158/10000)*8.7</f>
        <v>155.86745999999999</v>
      </c>
      <c r="S547" s="435">
        <f>Q547-R547</f>
        <v>10.045019999999994</v>
      </c>
      <c r="T547" s="435">
        <f>S547/8.7*10000/(H547+H548+H549)</f>
        <v>0.21723424270931316</v>
      </c>
      <c r="U547" s="435">
        <f>S547/8.5*10000/(H547+H548+H549)</f>
        <v>0.22234563665541462</v>
      </c>
      <c r="V547" s="436"/>
      <c r="W547" s="32"/>
      <c r="X547" s="33"/>
      <c r="Y547" s="544">
        <v>2.64</v>
      </c>
      <c r="Z547" s="469">
        <f t="shared" si="112"/>
        <v>107648.37072000001</v>
      </c>
      <c r="AA547" s="33"/>
      <c r="AB547" s="438"/>
      <c r="AC547" s="33"/>
    </row>
    <row r="548" spans="1:29" x14ac:dyDescent="0.3">
      <c r="A548" s="146"/>
      <c r="B548" s="146"/>
      <c r="C548" s="23"/>
      <c r="D548" s="14"/>
      <c r="E548" s="35" t="s">
        <v>672</v>
      </c>
      <c r="F548" s="36"/>
      <c r="G548" s="433"/>
      <c r="H548" s="433">
        <v>7513.1019999999999</v>
      </c>
      <c r="I548" s="433"/>
      <c r="J548" s="26"/>
      <c r="K548" s="27"/>
      <c r="L548" s="27"/>
      <c r="M548" s="434"/>
      <c r="N548" s="434"/>
      <c r="O548" s="434"/>
      <c r="P548" s="69"/>
      <c r="Q548" s="69"/>
      <c r="R548" s="69"/>
      <c r="S548" s="435"/>
      <c r="T548" s="435"/>
      <c r="U548" s="435"/>
      <c r="V548" s="436"/>
      <c r="W548" s="32"/>
      <c r="X548" s="33"/>
      <c r="Y548" s="544">
        <v>6.5</v>
      </c>
      <c r="Z548" s="469">
        <f t="shared" si="112"/>
        <v>48835.163</v>
      </c>
      <c r="AA548" s="33"/>
      <c r="AB548" s="438"/>
      <c r="AC548" s="33"/>
    </row>
    <row r="549" spans="1:29" x14ac:dyDescent="0.3">
      <c r="A549" s="146"/>
      <c r="B549" s="146"/>
      <c r="C549" s="23"/>
      <c r="D549" s="14"/>
      <c r="E549" s="35" t="s">
        <v>672</v>
      </c>
      <c r="F549" s="24"/>
      <c r="G549" s="24"/>
      <c r="H549" s="634">
        <v>4861</v>
      </c>
      <c r="I549" s="24"/>
      <c r="J549" s="24"/>
      <c r="K549" s="27"/>
      <c r="L549" s="27"/>
      <c r="M549" s="434"/>
      <c r="N549" s="434"/>
      <c r="O549" s="434"/>
      <c r="P549" s="69"/>
      <c r="Q549" s="69"/>
      <c r="R549" s="69"/>
      <c r="S549" s="435"/>
      <c r="T549" s="435"/>
      <c r="U549" s="435"/>
      <c r="V549" s="31"/>
      <c r="W549" s="32"/>
      <c r="X549" s="33"/>
      <c r="Y549" s="544">
        <v>6.5</v>
      </c>
      <c r="Z549" s="469">
        <f t="shared" si="112"/>
        <v>31596.5</v>
      </c>
      <c r="AA549" s="33"/>
      <c r="AB549" s="438"/>
      <c r="AC549" s="33"/>
    </row>
    <row r="550" spans="1:29" x14ac:dyDescent="0.3">
      <c r="A550" s="439">
        <v>44066.010416666664</v>
      </c>
      <c r="B550" s="439">
        <v>44066.576388888891</v>
      </c>
      <c r="C550" s="23"/>
      <c r="D550" s="23"/>
      <c r="E550" s="35" t="s">
        <v>673</v>
      </c>
      <c r="F550" s="36" t="s">
        <v>32</v>
      </c>
      <c r="G550" s="433">
        <v>34014</v>
      </c>
      <c r="H550" s="433">
        <v>21787</v>
      </c>
      <c r="I550" s="433"/>
      <c r="J550" s="433">
        <v>88600</v>
      </c>
      <c r="K550" s="632">
        <f>H550-J550</f>
        <v>-66813</v>
      </c>
      <c r="L550" s="27">
        <f>B550-A550</f>
        <v>0.56597222222626442</v>
      </c>
      <c r="M550" s="27">
        <f>'[178]TAIPOWER PROSPERITY VII'!$F$42</f>
        <v>0.46701388889656908</v>
      </c>
      <c r="N550" s="434">
        <f>(H550)/L550</f>
        <v>38494.822085614636</v>
      </c>
      <c r="O550" s="567">
        <f>(H550)/M550</f>
        <v>46651.71747135176</v>
      </c>
      <c r="P550" s="633">
        <v>30000</v>
      </c>
      <c r="Q550" s="69">
        <f>(178468/10000)*8.7</f>
        <v>155.26715999999999</v>
      </c>
      <c r="R550" s="69">
        <f>(174473/10000)*8.7</f>
        <v>151.79150999999999</v>
      </c>
      <c r="S550" s="435">
        <f>Q550-R550</f>
        <v>3.4756500000000017</v>
      </c>
      <c r="T550" s="435">
        <f>S550/8.7*10000/(H550)</f>
        <v>0.1833662275668978</v>
      </c>
      <c r="U550" s="435">
        <f>S550/8.5*10000/(H550)</f>
        <v>0.18768072703906011</v>
      </c>
      <c r="V550" s="436"/>
      <c r="W550" s="437"/>
      <c r="X550" s="33"/>
      <c r="Y550" s="544">
        <v>2.64</v>
      </c>
      <c r="Z550" s="469">
        <f t="shared" si="112"/>
        <v>57517.68</v>
      </c>
      <c r="AA550" s="33"/>
      <c r="AB550" s="438"/>
      <c r="AC550" s="33"/>
    </row>
    <row r="551" spans="1:29" x14ac:dyDescent="0.3">
      <c r="A551" s="439">
        <v>44071.166666666664</v>
      </c>
      <c r="B551" s="439">
        <v>44071.822916666664</v>
      </c>
      <c r="C551" s="23"/>
      <c r="D551" s="23"/>
      <c r="E551" s="35" t="s">
        <v>674</v>
      </c>
      <c r="F551" s="36" t="s">
        <v>328</v>
      </c>
      <c r="G551" s="433"/>
      <c r="H551" s="433">
        <f>22265-H552</f>
        <v>21197</v>
      </c>
      <c r="I551" s="433"/>
      <c r="J551" s="433">
        <v>88600</v>
      </c>
      <c r="K551" s="632">
        <f>H551+H552-J551</f>
        <v>-66335</v>
      </c>
      <c r="L551" s="27">
        <f>B551-A551</f>
        <v>0.65625</v>
      </c>
      <c r="M551" s="27">
        <f>'[178]ARCHILLEAS. S'!$F$46</f>
        <v>0.47395833333818399</v>
      </c>
      <c r="N551" s="434">
        <f>(H551+H552)/L551</f>
        <v>33927.619047619046</v>
      </c>
      <c r="O551" s="567">
        <f>(H551+H552)/M551</f>
        <v>46976.70329622252</v>
      </c>
      <c r="P551" s="633">
        <v>30000</v>
      </c>
      <c r="Q551" s="69">
        <f>(166422/10000)*8.7</f>
        <v>144.78713999999997</v>
      </c>
      <c r="R551" s="69">
        <f>(162662/10000)*8.7</f>
        <v>141.51594</v>
      </c>
      <c r="S551" s="435">
        <f>Q551-R551</f>
        <v>3.2711999999999648</v>
      </c>
      <c r="T551" s="435">
        <f>S551/8.7*10000/(H551+H552)</f>
        <v>0.168874915787108</v>
      </c>
      <c r="U551" s="435">
        <f>S551/8.5*10000/(H551+H552)</f>
        <v>0.1728484432173929</v>
      </c>
      <c r="V551" s="436"/>
      <c r="W551" s="437"/>
      <c r="X551" s="33"/>
      <c r="Y551" s="544">
        <v>2.64</v>
      </c>
      <c r="Z551" s="469">
        <f t="shared" si="112"/>
        <v>55960.08</v>
      </c>
      <c r="AA551" s="33"/>
      <c r="AB551" s="438"/>
      <c r="AC551" s="33"/>
    </row>
    <row r="552" spans="1:29" x14ac:dyDescent="0.3">
      <c r="A552" s="439"/>
      <c r="B552" s="439"/>
      <c r="C552" s="23"/>
      <c r="D552" s="23"/>
      <c r="E552" s="35" t="s">
        <v>674</v>
      </c>
      <c r="F552" s="36"/>
      <c r="G552" s="433"/>
      <c r="H552" s="433">
        <v>1068</v>
      </c>
      <c r="I552" s="433"/>
      <c r="J552" s="433"/>
      <c r="K552" s="632"/>
      <c r="L552" s="27"/>
      <c r="M552" s="27"/>
      <c r="N552" s="434"/>
      <c r="O552" s="567"/>
      <c r="P552" s="633"/>
      <c r="Q552" s="69"/>
      <c r="R552" s="69"/>
      <c r="S552" s="435"/>
      <c r="T552" s="435"/>
      <c r="U552" s="435"/>
      <c r="V552" s="436"/>
      <c r="W552" s="437"/>
      <c r="X552" s="33"/>
      <c r="Y552" s="544">
        <v>2.64</v>
      </c>
      <c r="Z552" s="469">
        <f t="shared" si="112"/>
        <v>2819.52</v>
      </c>
      <c r="AA552" s="33"/>
      <c r="AB552" s="438"/>
      <c r="AC552" s="33"/>
    </row>
    <row r="553" spans="1:29" x14ac:dyDescent="0.3">
      <c r="A553" s="439">
        <v>44072.753472222219</v>
      </c>
      <c r="B553" s="439">
        <v>44074.590277777781</v>
      </c>
      <c r="C553" s="23"/>
      <c r="D553" s="23"/>
      <c r="E553" s="635" t="s">
        <v>675</v>
      </c>
      <c r="F553" s="36" t="s">
        <v>328</v>
      </c>
      <c r="G553" s="433"/>
      <c r="H553" s="634">
        <f>49171-H554-H555</f>
        <v>33291.495000000003</v>
      </c>
      <c r="I553" s="433"/>
      <c r="J553" s="433">
        <v>74700</v>
      </c>
      <c r="K553" s="632">
        <f>H553+H554+H555-J553</f>
        <v>-25529</v>
      </c>
      <c r="L553" s="27">
        <f>B553-A553</f>
        <v>1.8368055555620231</v>
      </c>
      <c r="M553" s="27">
        <f>[178]KENTA!$F$83</f>
        <v>0.91666666666666663</v>
      </c>
      <c r="N553" s="434">
        <f>(H553+H554+H555)/L553</f>
        <v>26769.844990453945</v>
      </c>
      <c r="O553" s="567">
        <f>(H553+H554+H555)/M553</f>
        <v>53641.090909090912</v>
      </c>
      <c r="P553" s="633">
        <v>30000</v>
      </c>
      <c r="Q553" s="69">
        <f>(160526/10000)*8.7</f>
        <v>139.65762000000001</v>
      </c>
      <c r="R553" s="69">
        <f>(151542/10000)*8.7</f>
        <v>131.84153999999998</v>
      </c>
      <c r="S553" s="435">
        <f>Q553-R553</f>
        <v>7.8160800000000279</v>
      </c>
      <c r="T553" s="435">
        <f>S553/8.7*10000/(H553+H554+H555)</f>
        <v>0.18270932053446204</v>
      </c>
      <c r="U553" s="435">
        <f>S553/8.5*10000/(H553+H554+H555)</f>
        <v>0.18700836337056703</v>
      </c>
      <c r="V553" s="436"/>
      <c r="W553" s="437"/>
      <c r="X553" s="33"/>
      <c r="Y553" s="544">
        <v>2.64</v>
      </c>
      <c r="Z553" s="469">
        <f t="shared" si="112"/>
        <v>87889.546800000011</v>
      </c>
      <c r="AA553" s="33"/>
      <c r="AB553" s="438"/>
      <c r="AC553" s="33"/>
    </row>
    <row r="554" spans="1:29" x14ac:dyDescent="0.3">
      <c r="A554" s="439"/>
      <c r="B554" s="439"/>
      <c r="C554" s="23"/>
      <c r="D554" s="23"/>
      <c r="E554" s="635" t="s">
        <v>676</v>
      </c>
      <c r="F554" s="36"/>
      <c r="G554" s="433"/>
      <c r="H554" s="634">
        <v>7825</v>
      </c>
      <c r="I554" s="433"/>
      <c r="J554" s="433"/>
      <c r="K554" s="632"/>
      <c r="L554" s="27"/>
      <c r="M554" s="27"/>
      <c r="N554" s="434"/>
      <c r="O554" s="567"/>
      <c r="P554" s="633"/>
      <c r="Q554" s="69"/>
      <c r="R554" s="69"/>
      <c r="S554" s="435"/>
      <c r="T554" s="435"/>
      <c r="U554" s="435"/>
      <c r="V554" s="436"/>
      <c r="W554" s="437"/>
      <c r="X554" s="33"/>
      <c r="Y554" s="544">
        <v>6.5</v>
      </c>
      <c r="Z554" s="469">
        <f t="shared" si="112"/>
        <v>50862.5</v>
      </c>
      <c r="AA554" s="33"/>
      <c r="AB554" s="438"/>
      <c r="AC554" s="33"/>
    </row>
    <row r="555" spans="1:29" x14ac:dyDescent="0.3">
      <c r="A555" s="439"/>
      <c r="B555" s="439"/>
      <c r="C555" s="23"/>
      <c r="D555" s="23"/>
      <c r="E555" s="35" t="s">
        <v>676</v>
      </c>
      <c r="F555" s="36"/>
      <c r="G555" s="433"/>
      <c r="H555" s="433">
        <v>8054.5050000000001</v>
      </c>
      <c r="I555" s="433"/>
      <c r="J555" s="433"/>
      <c r="K555" s="632"/>
      <c r="L555" s="27"/>
      <c r="M555" s="27"/>
      <c r="N555" s="434"/>
      <c r="O555" s="567"/>
      <c r="P555" s="633"/>
      <c r="Q555" s="69"/>
      <c r="R555" s="69"/>
      <c r="S555" s="435"/>
      <c r="T555" s="435"/>
      <c r="U555" s="435"/>
      <c r="V555" s="436"/>
      <c r="W555" s="437"/>
      <c r="X555" s="33"/>
      <c r="Y555" s="544">
        <v>6.5</v>
      </c>
      <c r="Z555" s="469">
        <f t="shared" si="112"/>
        <v>52354.282500000001</v>
      </c>
      <c r="AA555" s="33"/>
      <c r="AB555" s="438"/>
      <c r="AC555" s="33"/>
    </row>
    <row r="556" spans="1:29" x14ac:dyDescent="0.3">
      <c r="A556" s="439"/>
      <c r="B556" s="439"/>
      <c r="C556" s="23"/>
      <c r="D556" s="23"/>
      <c r="E556" s="35"/>
      <c r="F556" s="25"/>
      <c r="G556" s="433"/>
      <c r="H556" s="433"/>
      <c r="I556" s="433"/>
      <c r="J556" s="26"/>
      <c r="K556" s="27"/>
      <c r="L556" s="27"/>
      <c r="M556" s="434"/>
      <c r="N556" s="434"/>
      <c r="O556" s="434"/>
      <c r="P556" s="69"/>
      <c r="Q556" s="69"/>
      <c r="R556" s="69"/>
      <c r="S556" s="435"/>
      <c r="T556" s="435"/>
      <c r="U556" s="435"/>
      <c r="V556" s="436"/>
      <c r="W556" s="437"/>
      <c r="X556" s="33"/>
      <c r="Y556" s="33"/>
      <c r="Z556" s="33"/>
      <c r="AA556" s="33"/>
      <c r="AB556" s="438"/>
      <c r="AC556" s="33"/>
    </row>
    <row r="557" spans="1:29" x14ac:dyDescent="0.3">
      <c r="A557" s="20"/>
      <c r="B557" s="20"/>
      <c r="C557" s="20">
        <v>1000000001</v>
      </c>
      <c r="D557" s="20"/>
      <c r="E557" s="21" t="s">
        <v>72</v>
      </c>
      <c r="F557" s="21"/>
      <c r="G557" s="431">
        <f>SUM(G531:G556)</f>
        <v>49294</v>
      </c>
      <c r="H557" s="431">
        <f>SUM(H532:H556)</f>
        <v>425239</v>
      </c>
      <c r="I557" s="431"/>
      <c r="J557" s="431"/>
      <c r="K557" s="431"/>
      <c r="L557" s="431"/>
      <c r="M557" s="431"/>
      <c r="N557" s="431"/>
      <c r="O557" s="431"/>
      <c r="P557" s="431"/>
      <c r="Q557" s="431"/>
      <c r="R557" s="440">
        <f>SUM(R531:R556)</f>
        <v>1762.9253699999997</v>
      </c>
      <c r="S557" s="441">
        <f>R557/8.7*10000/G557</f>
        <v>41.107457297034124</v>
      </c>
      <c r="T557" s="440"/>
      <c r="U557" s="440"/>
      <c r="V557" s="442"/>
      <c r="W557" s="22"/>
      <c r="X557" s="22"/>
      <c r="Y557" s="432"/>
      <c r="Z557" s="432">
        <f>SUM(Z532:Z556)</f>
        <v>1457915.3386800003</v>
      </c>
      <c r="AA557" s="432"/>
      <c r="AB557" s="432"/>
      <c r="AC557" s="432"/>
    </row>
    <row r="558" spans="1:29" x14ac:dyDescent="0.3">
      <c r="A558" s="146"/>
      <c r="B558" s="146"/>
      <c r="C558" s="23"/>
      <c r="D558" s="14"/>
      <c r="E558" s="35"/>
      <c r="F558" s="25"/>
      <c r="G558" s="433"/>
      <c r="H558" s="433"/>
      <c r="I558" s="433"/>
      <c r="J558" s="26"/>
      <c r="K558" s="27"/>
      <c r="L558" s="27"/>
      <c r="M558" s="434"/>
      <c r="N558" s="434"/>
      <c r="O558" s="434"/>
      <c r="P558" s="69"/>
      <c r="Q558" s="69"/>
      <c r="R558" s="69"/>
      <c r="S558" s="435"/>
      <c r="T558" s="435"/>
      <c r="U558" s="435"/>
      <c r="V558" s="436"/>
      <c r="W558" s="437"/>
      <c r="X558" s="33"/>
      <c r="Y558" s="33"/>
      <c r="Z558" s="33"/>
      <c r="AA558" s="33"/>
      <c r="AB558" s="438"/>
      <c r="AC558" s="33"/>
    </row>
    <row r="559" spans="1:29" ht="15.6" x14ac:dyDescent="0.3">
      <c r="A559" s="146"/>
      <c r="B559" s="146"/>
      <c r="C559" s="23"/>
      <c r="D559" s="14"/>
      <c r="E559" s="721" t="s">
        <v>677</v>
      </c>
      <c r="F559" s="721"/>
      <c r="G559" s="721"/>
      <c r="H559" s="721"/>
      <c r="I559" s="721"/>
      <c r="J559" s="721"/>
      <c r="K559" s="721"/>
      <c r="L559" s="721"/>
      <c r="M559" s="721"/>
      <c r="N559" s="721"/>
      <c r="O559" s="721"/>
      <c r="P559" s="721"/>
      <c r="Q559" s="721"/>
      <c r="R559" s="721"/>
      <c r="S559" s="721"/>
      <c r="T559" s="721"/>
      <c r="U559" s="721"/>
      <c r="V559" s="721"/>
      <c r="W559" s="721"/>
      <c r="X559" s="721"/>
      <c r="Y559" s="721"/>
      <c r="Z559" s="721"/>
      <c r="AA559" s="721"/>
      <c r="AB559" s="721"/>
      <c r="AC559" s="721"/>
    </row>
    <row r="560" spans="1:29" x14ac:dyDescent="0.3">
      <c r="A560" s="439"/>
      <c r="B560" s="439"/>
      <c r="C560" s="23"/>
      <c r="D560" s="23"/>
      <c r="E560" s="35"/>
      <c r="F560" s="25"/>
      <c r="G560" s="433"/>
      <c r="H560" s="433"/>
      <c r="I560" s="433"/>
      <c r="J560" s="26"/>
      <c r="K560" s="27"/>
      <c r="L560" s="27"/>
      <c r="M560" s="434"/>
      <c r="N560" s="434"/>
      <c r="O560" s="434"/>
      <c r="P560" s="69"/>
      <c r="Q560" s="69"/>
      <c r="R560" s="69"/>
      <c r="S560" s="435"/>
      <c r="T560" s="435"/>
      <c r="U560" s="435"/>
      <c r="V560" s="436"/>
      <c r="W560" s="437"/>
      <c r="X560" s="33"/>
      <c r="Y560" s="33"/>
      <c r="Z560" s="33"/>
      <c r="AA560" s="33"/>
      <c r="AB560" s="438"/>
      <c r="AC560" s="33"/>
    </row>
    <row r="561" spans="1:29" x14ac:dyDescent="0.3">
      <c r="A561" s="20"/>
      <c r="B561" s="20"/>
      <c r="C561" s="20">
        <v>1000000001</v>
      </c>
      <c r="D561" s="20"/>
      <c r="E561" s="21" t="s">
        <v>78</v>
      </c>
      <c r="F561" s="21"/>
      <c r="G561" s="431">
        <f>SUM(G558:G560)</f>
        <v>0</v>
      </c>
      <c r="H561" s="431"/>
      <c r="I561" s="431"/>
      <c r="J561" s="431"/>
      <c r="K561" s="431"/>
      <c r="L561" s="431"/>
      <c r="M561" s="431"/>
      <c r="N561" s="431"/>
      <c r="O561" s="431"/>
      <c r="P561" s="431"/>
      <c r="Q561" s="431"/>
      <c r="R561" s="440">
        <f>SUM(R558:R560)</f>
        <v>0</v>
      </c>
      <c r="S561" s="441" t="e">
        <f>R561/8.7*10000/G561</f>
        <v>#DIV/0!</v>
      </c>
      <c r="T561" s="440"/>
      <c r="U561" s="440"/>
      <c r="V561" s="442"/>
      <c r="W561" s="22"/>
      <c r="X561" s="22"/>
      <c r="Y561" s="432"/>
      <c r="Z561" s="432"/>
      <c r="AA561" s="432"/>
      <c r="AB561" s="432"/>
      <c r="AC561" s="432"/>
    </row>
    <row r="562" spans="1:29" x14ac:dyDescent="0.3">
      <c r="A562" s="146"/>
      <c r="B562" s="146"/>
      <c r="C562" s="23"/>
      <c r="D562" s="14"/>
      <c r="E562" s="35"/>
      <c r="F562" s="25"/>
      <c r="G562" s="433"/>
      <c r="H562" s="433"/>
      <c r="I562" s="433"/>
      <c r="J562" s="26"/>
      <c r="K562" s="27"/>
      <c r="L562" s="27"/>
      <c r="M562" s="434"/>
      <c r="N562" s="434"/>
      <c r="O562" s="434"/>
      <c r="P562" s="69"/>
      <c r="Q562" s="69"/>
      <c r="R562" s="69"/>
      <c r="S562" s="435"/>
      <c r="T562" s="435"/>
      <c r="U562" s="435"/>
      <c r="V562" s="436"/>
      <c r="W562" s="437"/>
      <c r="X562" s="33"/>
      <c r="Y562" s="33"/>
      <c r="Z562" s="33"/>
      <c r="AA562" s="33"/>
      <c r="AB562" s="438"/>
      <c r="AC562" s="33"/>
    </row>
    <row r="563" spans="1:29" ht="15.6" x14ac:dyDescent="0.3">
      <c r="A563" s="146"/>
      <c r="B563" s="146"/>
      <c r="C563" s="23"/>
      <c r="D563" s="14"/>
      <c r="E563" s="721" t="s">
        <v>677</v>
      </c>
      <c r="F563" s="721"/>
      <c r="G563" s="721"/>
      <c r="H563" s="721"/>
      <c r="I563" s="721"/>
      <c r="J563" s="721"/>
      <c r="K563" s="721"/>
      <c r="L563" s="721"/>
      <c r="M563" s="721"/>
      <c r="N563" s="721"/>
      <c r="O563" s="721"/>
      <c r="P563" s="721"/>
      <c r="Q563" s="721"/>
      <c r="R563" s="721"/>
      <c r="S563" s="721"/>
      <c r="T563" s="721"/>
      <c r="U563" s="721"/>
      <c r="V563" s="721"/>
      <c r="W563" s="721"/>
      <c r="X563" s="721"/>
      <c r="Y563" s="721"/>
      <c r="Z563" s="721"/>
      <c r="AA563" s="721"/>
      <c r="AB563" s="721"/>
      <c r="AC563" s="721"/>
    </row>
    <row r="564" spans="1:29" x14ac:dyDescent="0.3">
      <c r="A564" s="439"/>
      <c r="B564" s="439"/>
      <c r="C564" s="23"/>
      <c r="D564" s="23"/>
      <c r="E564" s="35"/>
      <c r="F564" s="25"/>
      <c r="G564" s="433"/>
      <c r="H564" s="433"/>
      <c r="I564" s="433"/>
      <c r="J564" s="26"/>
      <c r="K564" s="27"/>
      <c r="L564" s="27"/>
      <c r="M564" s="434"/>
      <c r="N564" s="434"/>
      <c r="O564" s="434"/>
      <c r="P564" s="69"/>
      <c r="Q564" s="69"/>
      <c r="R564" s="69"/>
      <c r="S564" s="435"/>
      <c r="T564" s="435"/>
      <c r="U564" s="435"/>
      <c r="V564" s="436"/>
      <c r="W564" s="437"/>
      <c r="X564" s="33"/>
      <c r="Y564" s="33"/>
      <c r="Z564" s="33"/>
      <c r="AA564" s="33"/>
      <c r="AB564" s="438"/>
      <c r="AC564" s="33"/>
    </row>
    <row r="565" spans="1:29" x14ac:dyDescent="0.3">
      <c r="A565" s="20"/>
      <c r="B565" s="20"/>
      <c r="C565" s="20">
        <v>1000000001</v>
      </c>
      <c r="D565" s="20"/>
      <c r="E565" s="21" t="s">
        <v>84</v>
      </c>
      <c r="F565" s="21"/>
      <c r="G565" s="431">
        <f>SUM(G562:G564)</f>
        <v>0</v>
      </c>
      <c r="H565" s="431"/>
      <c r="I565" s="431"/>
      <c r="J565" s="431"/>
      <c r="K565" s="431"/>
      <c r="L565" s="431"/>
      <c r="M565" s="431"/>
      <c r="N565" s="431"/>
      <c r="O565" s="431"/>
      <c r="P565" s="431"/>
      <c r="Q565" s="431"/>
      <c r="R565" s="440">
        <f>SUM(R562:R564)</f>
        <v>0</v>
      </c>
      <c r="S565" s="441" t="e">
        <f>R565/8.7*10000/G565</f>
        <v>#DIV/0!</v>
      </c>
      <c r="T565" s="440"/>
      <c r="U565" s="440"/>
      <c r="V565" s="442"/>
      <c r="W565" s="22"/>
      <c r="X565" s="22"/>
      <c r="Y565" s="432"/>
      <c r="Z565" s="432"/>
      <c r="AA565" s="432"/>
      <c r="AB565" s="432"/>
      <c r="AC565" s="432"/>
    </row>
    <row r="566" spans="1:29" x14ac:dyDescent="0.3">
      <c r="A566" s="146"/>
      <c r="B566" s="146"/>
      <c r="C566" s="23"/>
      <c r="D566" s="14"/>
      <c r="E566" s="35"/>
      <c r="F566" s="25"/>
      <c r="G566" s="433"/>
      <c r="H566" s="433"/>
      <c r="I566" s="433"/>
      <c r="J566" s="26"/>
      <c r="K566" s="27"/>
      <c r="L566" s="27"/>
      <c r="M566" s="434"/>
      <c r="N566" s="434"/>
      <c r="O566" s="434"/>
      <c r="P566" s="69"/>
      <c r="Q566" s="69"/>
      <c r="R566" s="69"/>
      <c r="S566" s="435"/>
      <c r="T566" s="435"/>
      <c r="U566" s="435"/>
      <c r="V566" s="436"/>
      <c r="W566" s="437"/>
      <c r="X566" s="33"/>
      <c r="Y566" s="33"/>
      <c r="Z566" s="33"/>
      <c r="AA566" s="33"/>
      <c r="AB566" s="438"/>
      <c r="AC566" s="33"/>
    </row>
    <row r="567" spans="1:29" x14ac:dyDescent="0.3">
      <c r="A567" s="439">
        <v>44137.715277777781</v>
      </c>
      <c r="B567" s="439">
        <v>44138.510416666664</v>
      </c>
      <c r="C567" s="23"/>
      <c r="D567" s="14"/>
      <c r="E567" s="35" t="s">
        <v>678</v>
      </c>
      <c r="F567" s="36" t="s">
        <v>212</v>
      </c>
      <c r="G567" s="433"/>
      <c r="H567" s="433">
        <v>22007</v>
      </c>
      <c r="I567" s="433"/>
      <c r="J567" s="26">
        <v>22087</v>
      </c>
      <c r="K567" s="632">
        <f>H567-J567</f>
        <v>-80</v>
      </c>
      <c r="L567" s="27">
        <f>B567-A567</f>
        <v>0.79513888888322981</v>
      </c>
      <c r="M567" s="27">
        <f>'[179]SARAH S'!$F$48</f>
        <v>0.52256944443312625</v>
      </c>
      <c r="N567" s="434">
        <f>(H567)/L567</f>
        <v>27676.925764389118</v>
      </c>
      <c r="O567" s="462">
        <f>(H567)/M567</f>
        <v>42113.063123835702</v>
      </c>
      <c r="P567" s="633">
        <v>30000</v>
      </c>
      <c r="Q567" s="69">
        <f>(278794/10000)*8.7</f>
        <v>242.55077999999997</v>
      </c>
      <c r="R567" s="69">
        <f>(273801/10000)*8.7</f>
        <v>238.20686999999998</v>
      </c>
      <c r="S567" s="435">
        <f>Q567-R567</f>
        <v>4.3439099999999939</v>
      </c>
      <c r="T567" s="435">
        <f>S567/8.7*10000/(H567)</f>
        <v>0.22688235561412248</v>
      </c>
      <c r="U567" s="435">
        <f>S567/8.5*10000/(H567)</f>
        <v>0.23222076398151356</v>
      </c>
      <c r="V567" s="436"/>
      <c r="W567" s="32"/>
      <c r="X567" s="33"/>
      <c r="Y567" s="544">
        <v>2.64</v>
      </c>
      <c r="Z567" s="469">
        <f t="shared" ref="Z567:Z588" si="113">H567*Y567</f>
        <v>58098.48</v>
      </c>
      <c r="AA567" s="33"/>
      <c r="AB567" s="438"/>
      <c r="AC567" s="33"/>
    </row>
    <row r="568" spans="1:29" x14ac:dyDescent="0.3">
      <c r="A568" s="439">
        <v>44138.8125</v>
      </c>
      <c r="B568" s="439">
        <v>44142.944444444445</v>
      </c>
      <c r="C568" s="23"/>
      <c r="D568" s="14"/>
      <c r="E568" s="35" t="s">
        <v>679</v>
      </c>
      <c r="F568" s="36" t="s">
        <v>328</v>
      </c>
      <c r="G568" s="433"/>
      <c r="H568" s="433">
        <f>74505-H569</f>
        <v>66451</v>
      </c>
      <c r="I568" s="433"/>
      <c r="J568" s="26">
        <v>74505</v>
      </c>
      <c r="K568" s="632">
        <f>H568+H569-J568</f>
        <v>0</v>
      </c>
      <c r="L568" s="27">
        <f>B568-A568</f>
        <v>4.1319444444452529</v>
      </c>
      <c r="M568" s="27">
        <f>'[179]CORAL RING'!$F$112</f>
        <v>2.1388888888929309</v>
      </c>
      <c r="N568" s="462">
        <f>(H568+H569)/L568</f>
        <v>18031.462184870423</v>
      </c>
      <c r="O568" s="462">
        <f>(H568+H569)/M568</f>
        <v>34833.506493440662</v>
      </c>
      <c r="P568" s="633">
        <v>30000</v>
      </c>
      <c r="Q568" s="69">
        <f>(273363/10000)*8.7</f>
        <v>237.82580999999999</v>
      </c>
      <c r="R568" s="69">
        <f>(254241/10000)*8.7</f>
        <v>221.18966999999998</v>
      </c>
      <c r="S568" s="435">
        <f>Q568-R568</f>
        <v>16.636140000000012</v>
      </c>
      <c r="T568" s="435">
        <f>S568/8.7*10000/(H568+H569)</f>
        <v>0.25665391584457437</v>
      </c>
      <c r="U568" s="435">
        <f>S568/8.5*10000/(H568+H569)</f>
        <v>0.26269283151150552</v>
      </c>
      <c r="V568" s="436"/>
      <c r="W568" s="32"/>
      <c r="X568" s="33"/>
      <c r="Y568" s="544">
        <v>2.64</v>
      </c>
      <c r="Z568" s="469">
        <f t="shared" si="113"/>
        <v>175430.64</v>
      </c>
      <c r="AA568" s="33"/>
      <c r="AB568" s="438"/>
      <c r="AC568" s="33"/>
    </row>
    <row r="569" spans="1:29" x14ac:dyDescent="0.3">
      <c r="A569" s="439"/>
      <c r="B569" s="439"/>
      <c r="C569" s="23"/>
      <c r="D569" s="14"/>
      <c r="E569" s="35" t="s">
        <v>680</v>
      </c>
      <c r="F569" s="36"/>
      <c r="G569" s="433"/>
      <c r="H569" s="433">
        <v>8054</v>
      </c>
      <c r="I569" s="433"/>
      <c r="J569" s="26"/>
      <c r="K569" s="27"/>
      <c r="L569" s="27"/>
      <c r="M569" s="434"/>
      <c r="N569" s="434"/>
      <c r="O569" s="434"/>
      <c r="P569" s="69"/>
      <c r="Q569" s="69"/>
      <c r="R569" s="69"/>
      <c r="S569" s="435"/>
      <c r="T569" s="435"/>
      <c r="U569" s="435"/>
      <c r="V569" s="31"/>
      <c r="W569" s="32"/>
      <c r="X569" s="33"/>
      <c r="Y569" s="544">
        <v>6.5</v>
      </c>
      <c r="Z569" s="469">
        <f t="shared" si="113"/>
        <v>52351</v>
      </c>
      <c r="AA569" s="33"/>
      <c r="AB569" s="438"/>
      <c r="AC569" s="33"/>
    </row>
    <row r="570" spans="1:29" x14ac:dyDescent="0.3">
      <c r="A570" s="439">
        <v>44143.5625</v>
      </c>
      <c r="B570" s="439">
        <v>44145.440972222219</v>
      </c>
      <c r="C570" s="23"/>
      <c r="D570" s="14"/>
      <c r="E570" s="35" t="s">
        <v>681</v>
      </c>
      <c r="F570" s="36" t="s">
        <v>212</v>
      </c>
      <c r="G570" s="433"/>
      <c r="H570" s="433">
        <f>53850-H571-H572</f>
        <v>39276</v>
      </c>
      <c r="I570" s="433"/>
      <c r="J570" s="26">
        <v>53850</v>
      </c>
      <c r="K570" s="632">
        <f>H570+H571+H572-J570</f>
        <v>0</v>
      </c>
      <c r="L570" s="27">
        <f>B570-A570</f>
        <v>1.8784722222189885</v>
      </c>
      <c r="M570" s="27">
        <f>'[179]VIENNA WOOD N'!$F$96</f>
        <v>1.1440972222104999</v>
      </c>
      <c r="N570" s="434">
        <f>(H570+H571+H572)/L570</f>
        <v>28666.913123894083</v>
      </c>
      <c r="O570" s="567">
        <f>(H570+H571+H572)/M570</f>
        <v>47067.678300937485</v>
      </c>
      <c r="P570" s="633">
        <v>30000</v>
      </c>
      <c r="Q570" s="69">
        <f>(253192/10000)*8.7</f>
        <v>220.27703999999997</v>
      </c>
      <c r="R570" s="69">
        <f>(242533/10000)*8.7</f>
        <v>211.00370999999998</v>
      </c>
      <c r="S570" s="435">
        <f>Q570-R570</f>
        <v>9.2733299999999872</v>
      </c>
      <c r="T570" s="435">
        <f>S570/8.7*10000/(H570+H571+H572)</f>
        <v>0.19793871866295237</v>
      </c>
      <c r="U570" s="435">
        <f>S570/8.5*10000/(H570+H571+H572)</f>
        <v>0.20259610027855124</v>
      </c>
      <c r="V570" s="31"/>
      <c r="W570" s="32"/>
      <c r="X570" s="33"/>
      <c r="Y570" s="544">
        <v>2.64</v>
      </c>
      <c r="Z570" s="469">
        <f t="shared" si="113"/>
        <v>103688.64</v>
      </c>
      <c r="AA570" s="33"/>
      <c r="AB570" s="438"/>
      <c r="AC570" s="33"/>
    </row>
    <row r="571" spans="1:29" x14ac:dyDescent="0.3">
      <c r="A571" s="439"/>
      <c r="B571" s="439"/>
      <c r="C571" s="23"/>
      <c r="D571" s="14"/>
      <c r="E571" s="35" t="s">
        <v>682</v>
      </c>
      <c r="F571" s="36"/>
      <c r="G571" s="433"/>
      <c r="H571" s="433">
        <v>7264</v>
      </c>
      <c r="I571" s="433"/>
      <c r="J571" s="26"/>
      <c r="K571" s="632"/>
      <c r="L571" s="27"/>
      <c r="M571" s="434"/>
      <c r="N571" s="434"/>
      <c r="O571" s="434"/>
      <c r="P571" s="69"/>
      <c r="Q571" s="69"/>
      <c r="R571" s="69"/>
      <c r="S571" s="435"/>
      <c r="T571" s="435"/>
      <c r="U571" s="435"/>
      <c r="V571" s="31"/>
      <c r="W571" s="32"/>
      <c r="X571" s="33"/>
      <c r="Y571" s="544">
        <v>6.5</v>
      </c>
      <c r="Z571" s="469">
        <f t="shared" si="113"/>
        <v>47216</v>
      </c>
      <c r="AA571" s="33"/>
      <c r="AB571" s="438"/>
      <c r="AC571" s="33"/>
    </row>
    <row r="572" spans="1:29" x14ac:dyDescent="0.3">
      <c r="A572" s="439"/>
      <c r="B572" s="439"/>
      <c r="C572" s="23"/>
      <c r="D572" s="14"/>
      <c r="E572" s="35" t="s">
        <v>682</v>
      </c>
      <c r="F572" s="36"/>
      <c r="G572" s="433"/>
      <c r="H572" s="433">
        <v>7310</v>
      </c>
      <c r="I572" s="433"/>
      <c r="J572" s="26"/>
      <c r="K572" s="27"/>
      <c r="L572" s="27"/>
      <c r="M572" s="434"/>
      <c r="N572" s="434"/>
      <c r="O572" s="434"/>
      <c r="P572" s="69"/>
      <c r="Q572" s="69"/>
      <c r="R572" s="69"/>
      <c r="S572" s="435"/>
      <c r="T572" s="435"/>
      <c r="U572" s="435"/>
      <c r="V572" s="31"/>
      <c r="W572" s="32"/>
      <c r="X572" s="33"/>
      <c r="Y572" s="544">
        <v>6.5</v>
      </c>
      <c r="Z572" s="469">
        <f t="shared" si="113"/>
        <v>47515</v>
      </c>
      <c r="AA572" s="33"/>
      <c r="AB572" s="438"/>
      <c r="AC572" s="33"/>
    </row>
    <row r="573" spans="1:29" x14ac:dyDescent="0.3">
      <c r="A573" s="439">
        <v>44146.222222222219</v>
      </c>
      <c r="B573" s="439">
        <v>44148.472222222219</v>
      </c>
      <c r="C573" s="23"/>
      <c r="D573" s="14"/>
      <c r="E573" s="35" t="s">
        <v>683</v>
      </c>
      <c r="F573" s="36" t="s">
        <v>212</v>
      </c>
      <c r="G573" s="433"/>
      <c r="H573" s="433">
        <v>55500</v>
      </c>
      <c r="I573" s="433"/>
      <c r="J573" s="26">
        <v>55500</v>
      </c>
      <c r="K573" s="632">
        <f>H573-J573</f>
        <v>0</v>
      </c>
      <c r="L573" s="27">
        <f>B573-A573</f>
        <v>2.25</v>
      </c>
      <c r="M573" s="27">
        <f>[179]SOFIA!$F$92</f>
        <v>1.1180555555680864</v>
      </c>
      <c r="N573" s="434">
        <f>(H573)/L573</f>
        <v>24666.666666666668</v>
      </c>
      <c r="O573" s="567">
        <f>(H573)/M573</f>
        <v>49639.751552238682</v>
      </c>
      <c r="P573" s="633">
        <v>30000</v>
      </c>
      <c r="Q573" s="69">
        <f>(241099/10000)*8.7</f>
        <v>209.75612999999998</v>
      </c>
      <c r="R573" s="69">
        <f>(229687/10000)*8.7</f>
        <v>199.82768999999996</v>
      </c>
      <c r="S573" s="435">
        <f>Q573-R573</f>
        <v>9.9284400000000232</v>
      </c>
      <c r="T573" s="435">
        <f>S573/8.7*10000/(H573)</f>
        <v>0.20562162162162212</v>
      </c>
      <c r="U573" s="435">
        <f>S573/8.5*10000/(H573)</f>
        <v>0.2104597774244838</v>
      </c>
      <c r="V573" s="31"/>
      <c r="W573" s="32"/>
      <c r="X573" s="33"/>
      <c r="Y573" s="544">
        <v>2.64</v>
      </c>
      <c r="Z573" s="469">
        <f t="shared" si="113"/>
        <v>146520</v>
      </c>
      <c r="AA573" s="33"/>
      <c r="AB573" s="438"/>
      <c r="AC573" s="33"/>
    </row>
    <row r="574" spans="1:29" x14ac:dyDescent="0.3">
      <c r="A574" s="439">
        <v>44149.25</v>
      </c>
      <c r="B574" s="439">
        <v>44151.635416666664</v>
      </c>
      <c r="C574" s="23"/>
      <c r="D574" s="14"/>
      <c r="E574" s="35" t="s">
        <v>684</v>
      </c>
      <c r="F574" s="36" t="s">
        <v>212</v>
      </c>
      <c r="G574" s="433"/>
      <c r="H574" s="634">
        <f>59100-H575</f>
        <v>55373</v>
      </c>
      <c r="I574" s="433"/>
      <c r="J574" s="26">
        <v>59100</v>
      </c>
      <c r="K574" s="632">
        <f>H574+H575-J574</f>
        <v>0</v>
      </c>
      <c r="L574" s="27">
        <f>B574-A574</f>
        <v>2.3854166666642413</v>
      </c>
      <c r="M574" s="27">
        <f>'[179]UNITY FORCE'!$F$93</f>
        <v>1.2291666666666667</v>
      </c>
      <c r="N574" s="434">
        <f>(H574+H575)/L574</f>
        <v>24775.545851553576</v>
      </c>
      <c r="O574" s="567">
        <f>(H574+H575)/M574</f>
        <v>48081.355932203383</v>
      </c>
      <c r="P574" s="633">
        <v>30000</v>
      </c>
      <c r="Q574" s="69">
        <f>(228206/10000)*8.7</f>
        <v>198.53921999999997</v>
      </c>
      <c r="R574" s="69">
        <f>(216157/10000)*8.7</f>
        <v>188.05659</v>
      </c>
      <c r="S574" s="435">
        <f>Q574-R574</f>
        <v>10.482629999999972</v>
      </c>
      <c r="T574" s="435">
        <f>S574/8.7*10000/(H574+H575)</f>
        <v>0.20387478849407731</v>
      </c>
      <c r="U574" s="435">
        <f>S574/8.5*10000/(H574+H575)</f>
        <v>0.20867184234099675</v>
      </c>
      <c r="V574" s="31"/>
      <c r="W574" s="32"/>
      <c r="X574" s="33"/>
      <c r="Y574" s="544">
        <v>2.64</v>
      </c>
      <c r="Z574" s="469">
        <f t="shared" si="113"/>
        <v>146184.72</v>
      </c>
      <c r="AA574" s="33"/>
      <c r="AB574" s="438"/>
      <c r="AC574" s="33"/>
    </row>
    <row r="575" spans="1:29" x14ac:dyDescent="0.3">
      <c r="A575" s="439"/>
      <c r="B575" s="439"/>
      <c r="C575" s="23"/>
      <c r="D575" s="14"/>
      <c r="E575" s="35" t="s">
        <v>685</v>
      </c>
      <c r="F575" s="36"/>
      <c r="G575" s="433"/>
      <c r="H575" s="634">
        <v>3727</v>
      </c>
      <c r="I575" s="433"/>
      <c r="J575" s="26"/>
      <c r="K575" s="632"/>
      <c r="L575" s="27"/>
      <c r="M575" s="434"/>
      <c r="N575" s="434"/>
      <c r="O575" s="434"/>
      <c r="P575" s="69"/>
      <c r="Q575" s="69"/>
      <c r="R575" s="69"/>
      <c r="S575" s="435"/>
      <c r="T575" s="435"/>
      <c r="U575" s="435"/>
      <c r="V575" s="31"/>
      <c r="W575" s="32"/>
      <c r="X575" s="33"/>
      <c r="Y575" s="544">
        <v>6.5</v>
      </c>
      <c r="Z575" s="469">
        <f t="shared" si="113"/>
        <v>24225.5</v>
      </c>
      <c r="AA575" s="33"/>
      <c r="AB575" s="438"/>
      <c r="AC575" s="33"/>
    </row>
    <row r="576" spans="1:29" x14ac:dyDescent="0.3">
      <c r="A576" s="439">
        <v>44152.868055555555</v>
      </c>
      <c r="B576" s="439">
        <v>44155.076388888891</v>
      </c>
      <c r="C576" s="23"/>
      <c r="D576" s="14"/>
      <c r="E576" s="35" t="s">
        <v>686</v>
      </c>
      <c r="F576" s="36" t="s">
        <v>212</v>
      </c>
      <c r="G576" s="433"/>
      <c r="H576" s="433">
        <f>55525-H577-H578-H579</f>
        <v>36720</v>
      </c>
      <c r="I576" s="433"/>
      <c r="J576" s="26">
        <v>57150</v>
      </c>
      <c r="K576" s="632">
        <f>H576+H577+H578+H579-J576</f>
        <v>-1625</v>
      </c>
      <c r="L576" s="27">
        <f>B576-A576</f>
        <v>2.2083333333357587</v>
      </c>
      <c r="M576" s="27">
        <f>'[179]OCEAN LOVE'!$F$101</f>
        <v>1.333333333338184</v>
      </c>
      <c r="N576" s="434">
        <f>(H576+H577+H578+H579)/L576</f>
        <v>25143.396226387482</v>
      </c>
      <c r="O576" s="462">
        <f>(H576+H577+H578+H579)/M576</f>
        <v>41643.7499998485</v>
      </c>
      <c r="P576" s="633">
        <v>30000</v>
      </c>
      <c r="Q576" s="69">
        <f>(214000/10000)*8.7</f>
        <v>186.17999999999998</v>
      </c>
      <c r="R576" s="69">
        <f>(201253/10000)*8.7</f>
        <v>175.09010999999998</v>
      </c>
      <c r="S576" s="435">
        <f>Q576-R576</f>
        <v>11.089889999999997</v>
      </c>
      <c r="T576" s="435">
        <f>S576/8.7*10000/(H576+H577+H578+H579)</f>
        <v>0.22957226474561002</v>
      </c>
      <c r="U576" s="435">
        <f>S576/8.5*10000/(H576+H577+H578+H579)</f>
        <v>0.23497396509256555</v>
      </c>
      <c r="V576" s="31"/>
      <c r="W576" s="32"/>
      <c r="X576" s="33"/>
      <c r="Y576" s="544">
        <v>2.64</v>
      </c>
      <c r="Z576" s="469">
        <f t="shared" si="113"/>
        <v>96940.800000000003</v>
      </c>
      <c r="AA576" s="33"/>
      <c r="AB576" s="438"/>
      <c r="AC576" s="33"/>
    </row>
    <row r="577" spans="1:29" x14ac:dyDescent="0.3">
      <c r="A577" s="439"/>
      <c r="B577" s="439"/>
      <c r="C577" s="23"/>
      <c r="D577" s="14"/>
      <c r="E577" s="35" t="s">
        <v>687</v>
      </c>
      <c r="F577" s="36"/>
      <c r="G577" s="433"/>
      <c r="H577" s="433">
        <v>7995</v>
      </c>
      <c r="I577" s="433"/>
      <c r="J577" s="26"/>
      <c r="K577" s="27"/>
      <c r="L577" s="27"/>
      <c r="M577" s="434"/>
      <c r="N577" s="434"/>
      <c r="O577" s="434"/>
      <c r="P577" s="69"/>
      <c r="Q577" s="69"/>
      <c r="R577" s="69"/>
      <c r="S577" s="435"/>
      <c r="T577" s="435"/>
      <c r="U577" s="435"/>
      <c r="V577" s="31"/>
      <c r="W577" s="32"/>
      <c r="X577" s="33"/>
      <c r="Y577" s="544">
        <v>6.5</v>
      </c>
      <c r="Z577" s="469">
        <f t="shared" si="113"/>
        <v>51967.5</v>
      </c>
      <c r="AA577" s="33"/>
      <c r="AB577" s="438"/>
      <c r="AC577" s="33"/>
    </row>
    <row r="578" spans="1:29" x14ac:dyDescent="0.3">
      <c r="A578" s="146"/>
      <c r="B578" s="439"/>
      <c r="C578" s="23"/>
      <c r="D578" s="23"/>
      <c r="E578" s="35" t="s">
        <v>687</v>
      </c>
      <c r="F578" s="25"/>
      <c r="G578" s="433"/>
      <c r="H578" s="433">
        <v>3828</v>
      </c>
      <c r="I578" s="433"/>
      <c r="J578" s="26"/>
      <c r="K578" s="27"/>
      <c r="L578" s="27"/>
      <c r="M578" s="434"/>
      <c r="N578" s="434"/>
      <c r="O578" s="434"/>
      <c r="P578" s="69"/>
      <c r="Q578" s="69"/>
      <c r="R578" s="69"/>
      <c r="S578" s="435"/>
      <c r="T578" s="435"/>
      <c r="U578" s="69"/>
      <c r="V578" s="436"/>
      <c r="W578" s="437"/>
      <c r="X578" s="33"/>
      <c r="Y578" s="544">
        <v>6.5</v>
      </c>
      <c r="Z578" s="469">
        <f t="shared" si="113"/>
        <v>24882</v>
      </c>
      <c r="AA578" s="33"/>
      <c r="AB578" s="438"/>
      <c r="AC578" s="33"/>
    </row>
    <row r="579" spans="1:29" x14ac:dyDescent="0.3">
      <c r="A579" s="439"/>
      <c r="B579" s="439"/>
      <c r="C579" s="23"/>
      <c r="D579" s="23"/>
      <c r="E579" s="35" t="s">
        <v>687</v>
      </c>
      <c r="F579" s="25"/>
      <c r="G579" s="433"/>
      <c r="H579" s="433">
        <v>6982</v>
      </c>
      <c r="I579" s="433"/>
      <c r="J579" s="26"/>
      <c r="K579" s="27"/>
      <c r="L579" s="27"/>
      <c r="M579" s="434"/>
      <c r="N579" s="434"/>
      <c r="O579" s="434"/>
      <c r="P579" s="69"/>
      <c r="Q579" s="69"/>
      <c r="R579" s="69"/>
      <c r="S579" s="435"/>
      <c r="T579" s="435"/>
      <c r="U579" s="435"/>
      <c r="V579" s="436"/>
      <c r="W579" s="437"/>
      <c r="X579" s="33"/>
      <c r="Y579" s="544">
        <v>6.5</v>
      </c>
      <c r="Z579" s="469">
        <f t="shared" si="113"/>
        <v>45383</v>
      </c>
      <c r="AA579" s="33"/>
      <c r="AB579" s="438"/>
      <c r="AC579" s="33"/>
    </row>
    <row r="580" spans="1:29" x14ac:dyDescent="0.3">
      <c r="A580" s="439">
        <v>44155.541666666664</v>
      </c>
      <c r="B580" s="439">
        <v>44156.159722222219</v>
      </c>
      <c r="C580" s="23"/>
      <c r="D580" s="23"/>
      <c r="E580" s="35" t="s">
        <v>688</v>
      </c>
      <c r="F580" s="25" t="s">
        <v>212</v>
      </c>
      <c r="G580" s="433"/>
      <c r="H580" s="433">
        <v>18935</v>
      </c>
      <c r="I580" s="433"/>
      <c r="J580" s="26">
        <v>46450</v>
      </c>
      <c r="K580" s="632">
        <f>H580-J580</f>
        <v>-27515</v>
      </c>
      <c r="L580" s="27">
        <f>B580-A580</f>
        <v>0.61805555555474712</v>
      </c>
      <c r="M580" s="27">
        <f>'[179]YIN FU'!$F$52</f>
        <v>0.40451388890384504</v>
      </c>
      <c r="N580" s="434">
        <f>(H580)/L580</f>
        <v>30636.404494422095</v>
      </c>
      <c r="O580" s="567">
        <f>(H580)/M580</f>
        <v>46809.270384535412</v>
      </c>
      <c r="P580" s="633">
        <v>30000</v>
      </c>
      <c r="Q580" s="69">
        <f>(200303/10000)*8.7</f>
        <v>174.26361</v>
      </c>
      <c r="R580" s="69">
        <f>(196723/10000)*8.7</f>
        <v>171.14900999999998</v>
      </c>
      <c r="S580" s="435">
        <f>Q580-R580</f>
        <v>3.1146000000000242</v>
      </c>
      <c r="T580" s="435">
        <f>S580/8.7*10000/(H580)</f>
        <v>0.18906786374439019</v>
      </c>
      <c r="U580" s="435">
        <f>S580/8.5*10000/(H580)</f>
        <v>0.19351651936190523</v>
      </c>
      <c r="V580" s="436"/>
      <c r="W580" s="437"/>
      <c r="X580" s="33"/>
      <c r="Y580" s="544">
        <v>2.64</v>
      </c>
      <c r="Z580" s="469">
        <f t="shared" si="113"/>
        <v>49988.4</v>
      </c>
      <c r="AA580" s="33"/>
      <c r="AB580" s="438"/>
      <c r="AC580" s="33"/>
    </row>
    <row r="581" spans="1:29" x14ac:dyDescent="0.3">
      <c r="A581" s="439">
        <v>44157.590277777781</v>
      </c>
      <c r="B581" s="439">
        <v>44159.409722222219</v>
      </c>
      <c r="C581" s="23"/>
      <c r="D581" s="23"/>
      <c r="E581" s="35" t="s">
        <v>689</v>
      </c>
      <c r="F581" s="25" t="s">
        <v>212</v>
      </c>
      <c r="G581" s="433"/>
      <c r="H581" s="433">
        <f>46100-H582-H583-H584</f>
        <v>21314</v>
      </c>
      <c r="I581" s="433"/>
      <c r="J581" s="26">
        <v>46100</v>
      </c>
      <c r="K581" s="632">
        <f>H581+H582+H583+H584-J581</f>
        <v>0</v>
      </c>
      <c r="L581" s="27">
        <f>B581-A581</f>
        <v>1.8194444444379769</v>
      </c>
      <c r="M581" s="27">
        <f>'[179]YIN CAI'!$F$80</f>
        <v>0.94791666665575269</v>
      </c>
      <c r="N581" s="434">
        <f>(H581+H582+H583+H584)/L581</f>
        <v>25337.404580242739</v>
      </c>
      <c r="O581" s="567">
        <f>(H581+H582+H583+H584)/M581</f>
        <v>48632.967033526977</v>
      </c>
      <c r="P581" s="633">
        <v>30000</v>
      </c>
      <c r="Q581" s="69">
        <f>(194068/10000)*8.7</f>
        <v>168.83915999999999</v>
      </c>
      <c r="R581" s="69">
        <f>(184510/10000)*8.7</f>
        <v>160.52369999999999</v>
      </c>
      <c r="S581" s="435">
        <f>Q581-R581</f>
        <v>8.3154600000000016</v>
      </c>
      <c r="T581" s="435">
        <f>S581/8.7*10000/(H581+H582+H583+H584)</f>
        <v>0.20733188720173543</v>
      </c>
      <c r="U581" s="435">
        <f>S581/8.5*10000/(H581+H582+H583+H584)</f>
        <v>0.21221028454765861</v>
      </c>
      <c r="V581" s="436"/>
      <c r="W581" s="437"/>
      <c r="X581" s="33"/>
      <c r="Y581" s="544">
        <v>2.64</v>
      </c>
      <c r="Z581" s="469">
        <f t="shared" si="113"/>
        <v>56268.959999999999</v>
      </c>
      <c r="AA581" s="33"/>
      <c r="AB581" s="438"/>
      <c r="AC581" s="33"/>
    </row>
    <row r="582" spans="1:29" x14ac:dyDescent="0.3">
      <c r="A582" s="439"/>
      <c r="B582" s="439"/>
      <c r="C582" s="23"/>
      <c r="D582" s="23"/>
      <c r="E582" s="35" t="s">
        <v>690</v>
      </c>
      <c r="F582" s="25"/>
      <c r="G582" s="433"/>
      <c r="H582" s="433">
        <v>8402</v>
      </c>
      <c r="I582" s="433"/>
      <c r="J582" s="26"/>
      <c r="K582" s="632"/>
      <c r="L582" s="27"/>
      <c r="M582" s="434"/>
      <c r="N582" s="434"/>
      <c r="O582" s="434"/>
      <c r="P582" s="69"/>
      <c r="Q582" s="69"/>
      <c r="R582" s="69"/>
      <c r="S582" s="435"/>
      <c r="T582" s="435"/>
      <c r="U582" s="435"/>
      <c r="V582" s="436"/>
      <c r="W582" s="437"/>
      <c r="X582" s="33"/>
      <c r="Y582" s="544">
        <v>6.5</v>
      </c>
      <c r="Z582" s="469">
        <f t="shared" si="113"/>
        <v>54613</v>
      </c>
      <c r="AA582" s="33"/>
      <c r="AB582" s="438"/>
      <c r="AC582" s="33"/>
    </row>
    <row r="583" spans="1:29" x14ac:dyDescent="0.3">
      <c r="A583" s="439"/>
      <c r="B583" s="439"/>
      <c r="C583" s="23"/>
      <c r="D583" s="23"/>
      <c r="E583" s="35" t="s">
        <v>690</v>
      </c>
      <c r="F583" s="25"/>
      <c r="G583" s="433"/>
      <c r="H583" s="433">
        <v>8221</v>
      </c>
      <c r="I583" s="433"/>
      <c r="J583" s="26"/>
      <c r="K583" s="632"/>
      <c r="L583" s="27"/>
      <c r="M583" s="434"/>
      <c r="N583" s="434"/>
      <c r="O583" s="434"/>
      <c r="P583" s="69"/>
      <c r="Q583" s="69"/>
      <c r="R583" s="69"/>
      <c r="S583" s="435"/>
      <c r="T583" s="435"/>
      <c r="U583" s="435"/>
      <c r="V583" s="436"/>
      <c r="W583" s="437"/>
      <c r="X583" s="33"/>
      <c r="Y583" s="544">
        <v>6.5</v>
      </c>
      <c r="Z583" s="469">
        <f t="shared" si="113"/>
        <v>53436.5</v>
      </c>
      <c r="AA583" s="33"/>
      <c r="AB583" s="438"/>
      <c r="AC583" s="33"/>
    </row>
    <row r="584" spans="1:29" x14ac:dyDescent="0.3">
      <c r="A584" s="439"/>
      <c r="B584" s="439"/>
      <c r="C584" s="23"/>
      <c r="D584" s="23"/>
      <c r="E584" s="35" t="s">
        <v>690</v>
      </c>
      <c r="F584" s="25"/>
      <c r="G584" s="433"/>
      <c r="H584" s="433">
        <v>8163</v>
      </c>
      <c r="I584" s="433"/>
      <c r="J584" s="26"/>
      <c r="K584" s="632"/>
      <c r="L584" s="27"/>
      <c r="M584" s="434"/>
      <c r="N584" s="434"/>
      <c r="O584" s="434"/>
      <c r="P584" s="69"/>
      <c r="Q584" s="69"/>
      <c r="R584" s="69"/>
      <c r="S584" s="435"/>
      <c r="T584" s="435"/>
      <c r="U584" s="435"/>
      <c r="V584" s="436"/>
      <c r="W584" s="437"/>
      <c r="X584" s="33"/>
      <c r="Y584" s="544">
        <v>6.5</v>
      </c>
      <c r="Z584" s="469">
        <f t="shared" si="113"/>
        <v>53059.5</v>
      </c>
      <c r="AA584" s="33"/>
      <c r="AB584" s="438"/>
      <c r="AC584" s="33"/>
    </row>
    <row r="585" spans="1:29" x14ac:dyDescent="0.3">
      <c r="A585" s="439">
        <v>44159.6875</v>
      </c>
      <c r="B585" s="439">
        <v>44160.90625</v>
      </c>
      <c r="C585" s="23"/>
      <c r="D585" s="23"/>
      <c r="E585" s="35" t="s">
        <v>691</v>
      </c>
      <c r="F585" s="25" t="s">
        <v>212</v>
      </c>
      <c r="G585" s="433"/>
      <c r="H585" s="433">
        <v>34630</v>
      </c>
      <c r="I585" s="433"/>
      <c r="J585" s="26">
        <v>55000</v>
      </c>
      <c r="K585" s="632">
        <f>H585-J585</f>
        <v>-20370</v>
      </c>
      <c r="L585" s="27">
        <f>B585-A585</f>
        <v>1.21875</v>
      </c>
      <c r="M585" s="27">
        <f>[179]OTZIAS!$F$68</f>
        <v>0.71874999999151135</v>
      </c>
      <c r="N585" s="434">
        <f>(H585)/L585</f>
        <v>28414.358974358973</v>
      </c>
      <c r="O585" s="567">
        <f>(H585)/M585</f>
        <v>48180.869565786423</v>
      </c>
      <c r="P585" s="633">
        <v>30000</v>
      </c>
      <c r="Q585" s="69">
        <f>(183999/10000)*8.7</f>
        <v>160.07912999999996</v>
      </c>
      <c r="R585" s="69">
        <f>(177133/10000)*8.7</f>
        <v>154.10570999999999</v>
      </c>
      <c r="S585" s="435">
        <f>Q585-R585</f>
        <v>5.973419999999976</v>
      </c>
      <c r="T585" s="435">
        <f>S585/8.7*10000/(H585)</f>
        <v>0.19826739820964406</v>
      </c>
      <c r="U585" s="435">
        <f>S585/8.5*10000/(H585)</f>
        <v>0.20293251346163566</v>
      </c>
      <c r="V585" s="436"/>
      <c r="W585" s="437"/>
      <c r="X585" s="33"/>
      <c r="Y585" s="544">
        <v>2.64</v>
      </c>
      <c r="Z585" s="469">
        <f t="shared" si="113"/>
        <v>91423.2</v>
      </c>
      <c r="AA585" s="33"/>
      <c r="AB585" s="438"/>
      <c r="AC585" s="33"/>
    </row>
    <row r="586" spans="1:29" x14ac:dyDescent="0.3">
      <c r="A586" s="439">
        <v>44161.791666666664</v>
      </c>
      <c r="B586" s="439">
        <v>44163.326388888891</v>
      </c>
      <c r="C586" s="23"/>
      <c r="D586" s="23"/>
      <c r="E586" s="35" t="s">
        <v>692</v>
      </c>
      <c r="F586" s="25" t="s">
        <v>212</v>
      </c>
      <c r="G586" s="433"/>
      <c r="H586" s="433">
        <v>27500</v>
      </c>
      <c r="I586" s="433"/>
      <c r="J586" s="26">
        <v>27500</v>
      </c>
      <c r="K586" s="632">
        <f>H586-J586</f>
        <v>0</v>
      </c>
      <c r="L586" s="27">
        <f>B586-A586</f>
        <v>1.5347222222262644</v>
      </c>
      <c r="M586" s="27">
        <f>'[179]AMIRA ILHAM'!$F$68</f>
        <v>0.59895833333090798</v>
      </c>
      <c r="N586" s="434">
        <f>(H586)/L586</f>
        <v>17918.552036151901</v>
      </c>
      <c r="O586" s="567">
        <f>(H586)/M586</f>
        <v>45913.043478446787</v>
      </c>
      <c r="P586" s="633">
        <v>30000</v>
      </c>
      <c r="Q586" s="69">
        <f>(175427/10000)*8.7</f>
        <v>152.62148999999999</v>
      </c>
      <c r="R586" s="69">
        <f>(167737/10000)*8.7</f>
        <v>145.93119000000002</v>
      </c>
      <c r="S586" s="435">
        <f>Q586-R586</f>
        <v>6.6902999999999793</v>
      </c>
      <c r="T586" s="435">
        <f>S586/8.7*10000/(H586)</f>
        <v>0.27963636363636279</v>
      </c>
      <c r="U586" s="435">
        <f>S586/8.5*10000/(H586)</f>
        <v>0.28621604278074775</v>
      </c>
      <c r="V586" s="436"/>
      <c r="W586" s="437"/>
      <c r="X586" s="33"/>
      <c r="Y586" s="544">
        <v>2.64</v>
      </c>
      <c r="Z586" s="469">
        <f t="shared" si="113"/>
        <v>72600</v>
      </c>
      <c r="AA586" s="33"/>
      <c r="AB586" s="438"/>
      <c r="AC586" s="33"/>
    </row>
    <row r="587" spans="1:29" x14ac:dyDescent="0.3">
      <c r="A587" s="439">
        <v>44163.784722222219</v>
      </c>
      <c r="B587" s="439">
        <v>44165.458333333336</v>
      </c>
      <c r="C587" s="439"/>
      <c r="D587" s="439"/>
      <c r="E587" s="35" t="s">
        <v>693</v>
      </c>
      <c r="F587" s="25" t="s">
        <v>212</v>
      </c>
      <c r="G587" s="433"/>
      <c r="H587" s="433">
        <f>40451-H588</f>
        <v>32111</v>
      </c>
      <c r="I587" s="433"/>
      <c r="J587" s="26">
        <v>55000</v>
      </c>
      <c r="K587" s="632">
        <f>H587+H588-J587</f>
        <v>-14549</v>
      </c>
      <c r="L587" s="27">
        <f>B587-A587</f>
        <v>1.6736111111167702</v>
      </c>
      <c r="M587" s="27">
        <f>'[179]OCEAN LADY'!$F$69</f>
        <v>0.82118055555353442</v>
      </c>
      <c r="N587" s="434">
        <f>(H587+H588)/L587</f>
        <v>24169.892116100844</v>
      </c>
      <c r="O587" s="567">
        <f>(H587+H588)/M587</f>
        <v>49259.568710480649</v>
      </c>
      <c r="P587" s="633">
        <v>30000</v>
      </c>
      <c r="Q587" s="69">
        <f>(166980/10000)*8.7</f>
        <v>145.27259999999998</v>
      </c>
      <c r="R587" s="69">
        <f>(158476/10000)*8.7</f>
        <v>137.87411999999998</v>
      </c>
      <c r="S587" s="435">
        <f>Q587-R587</f>
        <v>7.3984800000000064</v>
      </c>
      <c r="T587" s="435">
        <f>S587/8.7*10000/(H587+H588)</f>
        <v>0.2102296605769946</v>
      </c>
      <c r="U587" s="435">
        <f>S587/8.5*10000/(H587+H588)</f>
        <v>0.21517624082586503</v>
      </c>
      <c r="V587" s="436"/>
      <c r="W587" s="437"/>
      <c r="X587" s="33"/>
      <c r="Y587" s="544">
        <v>2.64</v>
      </c>
      <c r="Z587" s="469">
        <f t="shared" si="113"/>
        <v>84773.040000000008</v>
      </c>
      <c r="AA587" s="33"/>
      <c r="AB587" s="438"/>
      <c r="AC587" s="33"/>
    </row>
    <row r="588" spans="1:29" x14ac:dyDescent="0.3">
      <c r="A588" s="439"/>
      <c r="B588" s="439"/>
      <c r="C588" s="439"/>
      <c r="D588" s="439"/>
      <c r="E588" s="35" t="s">
        <v>694</v>
      </c>
      <c r="F588" s="25"/>
      <c r="G588" s="433"/>
      <c r="H588" s="433">
        <v>8340</v>
      </c>
      <c r="I588" s="433"/>
      <c r="J588" s="26"/>
      <c r="K588" s="632"/>
      <c r="L588" s="27"/>
      <c r="M588" s="434"/>
      <c r="N588" s="434"/>
      <c r="O588" s="434"/>
      <c r="P588" s="69"/>
      <c r="Q588" s="69"/>
      <c r="R588" s="69"/>
      <c r="S588" s="435"/>
      <c r="T588" s="435"/>
      <c r="U588" s="435"/>
      <c r="V588" s="436"/>
      <c r="W588" s="437"/>
      <c r="X588" s="33"/>
      <c r="Y588" s="544">
        <v>6.5</v>
      </c>
      <c r="Z588" s="469">
        <f t="shared" si="113"/>
        <v>54210</v>
      </c>
      <c r="AA588" s="33"/>
      <c r="AB588" s="438"/>
      <c r="AC588" s="33"/>
    </row>
    <row r="589" spans="1:29" x14ac:dyDescent="0.3">
      <c r="A589" s="439"/>
      <c r="B589" s="439"/>
      <c r="C589" s="23"/>
      <c r="D589" s="23"/>
      <c r="E589" s="35"/>
      <c r="F589" s="25"/>
      <c r="G589" s="433"/>
      <c r="H589" s="433"/>
      <c r="I589" s="433"/>
      <c r="J589" s="26"/>
      <c r="K589" s="27"/>
      <c r="L589" s="27"/>
      <c r="M589" s="434"/>
      <c r="N589" s="434"/>
      <c r="O589" s="434"/>
      <c r="P589" s="69"/>
      <c r="Q589" s="69"/>
      <c r="R589" s="69"/>
      <c r="S589" s="435"/>
      <c r="T589" s="435"/>
      <c r="U589" s="435"/>
      <c r="V589" s="436"/>
      <c r="W589" s="437"/>
      <c r="X589" s="33"/>
      <c r="Y589" s="33"/>
      <c r="Z589" s="33"/>
      <c r="AA589" s="33"/>
      <c r="AB589" s="438"/>
      <c r="AC589" s="33"/>
    </row>
    <row r="590" spans="1:29" x14ac:dyDescent="0.3">
      <c r="A590" s="20"/>
      <c r="B590" s="20"/>
      <c r="C590" s="20">
        <v>1000000001</v>
      </c>
      <c r="D590" s="20"/>
      <c r="E590" s="21" t="s">
        <v>89</v>
      </c>
      <c r="F590" s="21"/>
      <c r="G590" s="431">
        <f>SUM(G566:G589)</f>
        <v>0</v>
      </c>
      <c r="H590" s="431">
        <f>SUM(H567:H589)</f>
        <v>488103</v>
      </c>
      <c r="I590" s="431"/>
      <c r="J590" s="431"/>
      <c r="K590" s="431"/>
      <c r="L590" s="431"/>
      <c r="M590" s="431"/>
      <c r="N590" s="431"/>
      <c r="O590" s="431"/>
      <c r="P590" s="431"/>
      <c r="Q590" s="431"/>
      <c r="R590" s="440">
        <f>SUM(R564:R589)</f>
        <v>2002.9583700000001</v>
      </c>
      <c r="S590" s="441">
        <f>R590/8.7*10000/H590</f>
        <v>4.7167319192875281</v>
      </c>
      <c r="T590" s="440"/>
      <c r="U590" s="440"/>
      <c r="V590" s="442"/>
      <c r="W590" s="22"/>
      <c r="X590" s="22"/>
      <c r="Y590" s="432"/>
      <c r="Z590" s="432">
        <f>SUM(Z567:Z589)</f>
        <v>1590775.88</v>
      </c>
      <c r="AA590" s="432"/>
      <c r="AB590" s="432"/>
      <c r="AC590" s="432"/>
    </row>
    <row r="591" spans="1:29" x14ac:dyDescent="0.3">
      <c r="A591" s="146"/>
      <c r="B591" s="146"/>
      <c r="C591" s="23"/>
      <c r="D591" s="14"/>
      <c r="E591" s="35"/>
      <c r="F591" s="25"/>
      <c r="G591" s="433"/>
      <c r="H591" s="433"/>
      <c r="I591" s="433"/>
      <c r="J591" s="26"/>
      <c r="K591" s="27"/>
      <c r="L591" s="27"/>
      <c r="M591" s="434"/>
      <c r="N591" s="434"/>
      <c r="O591" s="434"/>
      <c r="P591" s="69"/>
      <c r="Q591" s="69"/>
      <c r="R591" s="69"/>
      <c r="S591" s="435"/>
      <c r="T591" s="435"/>
      <c r="U591" s="435"/>
      <c r="V591" s="436"/>
      <c r="W591" s="437"/>
      <c r="X591" s="33"/>
      <c r="Y591" s="33"/>
      <c r="Z591" s="33"/>
      <c r="AA591" s="33"/>
      <c r="AB591" s="438"/>
      <c r="AC591" s="33"/>
    </row>
    <row r="592" spans="1:29" x14ac:dyDescent="0.3">
      <c r="A592" s="439">
        <v>44166.951388888891</v>
      </c>
      <c r="B592" s="439">
        <v>44168.583333333336</v>
      </c>
      <c r="C592" s="23"/>
      <c r="D592" s="14"/>
      <c r="E592" s="35" t="s">
        <v>695</v>
      </c>
      <c r="F592" s="25" t="s">
        <v>328</v>
      </c>
      <c r="G592" s="433">
        <v>16671</v>
      </c>
      <c r="H592" s="433">
        <f>22699-H593</f>
        <v>15399.098</v>
      </c>
      <c r="I592" s="183"/>
      <c r="J592" s="433">
        <v>70500</v>
      </c>
      <c r="K592" s="632">
        <f>H592+H593-J592</f>
        <v>-47801</v>
      </c>
      <c r="L592" s="27">
        <f>B592-A592</f>
        <v>1.6319444444452529</v>
      </c>
      <c r="M592" s="27">
        <f>'[180]WAN LI'!$F$51</f>
        <v>0.4878472222214138</v>
      </c>
      <c r="N592" s="434">
        <f>(H592+H593)/L592</f>
        <v>13909.174468078216</v>
      </c>
      <c r="O592" s="567">
        <f>(H592+H593)/M592</f>
        <v>46528.91103210557</v>
      </c>
      <c r="P592" s="633">
        <v>30000</v>
      </c>
      <c r="Q592" s="69">
        <f>(155967/10000)*8.7</f>
        <v>135.69128999999998</v>
      </c>
      <c r="R592" s="69">
        <f>(149342/10000)*8.7</f>
        <v>129.92753999999999</v>
      </c>
      <c r="S592" s="435">
        <f>Q592-R592</f>
        <v>5.7637499999999875</v>
      </c>
      <c r="T592" s="435">
        <f>S592/8.7*10000/(H592+H593)</f>
        <v>0.29186307766861919</v>
      </c>
      <c r="U592" s="435">
        <f>S592/8.5*10000/(H592+H593)</f>
        <v>0.2987304442019984</v>
      </c>
      <c r="V592" s="436"/>
      <c r="W592" s="32"/>
      <c r="X592" s="33"/>
      <c r="Y592" s="544">
        <v>2.64</v>
      </c>
      <c r="Z592" s="469">
        <f t="shared" ref="Z592:Z613" si="114">H592*Y592</f>
        <v>40653.618719999999</v>
      </c>
      <c r="AA592" s="33"/>
      <c r="AB592" s="438"/>
      <c r="AC592" s="33"/>
    </row>
    <row r="593" spans="1:29" x14ac:dyDescent="0.3">
      <c r="A593" s="146"/>
      <c r="B593" s="146"/>
      <c r="C593" s="23"/>
      <c r="D593" s="14"/>
      <c r="E593" s="35" t="s">
        <v>696</v>
      </c>
      <c r="F593" s="36"/>
      <c r="G593" s="433"/>
      <c r="H593" s="433">
        <v>7299.902</v>
      </c>
      <c r="I593" s="433"/>
      <c r="J593" s="26"/>
      <c r="K593" s="632"/>
      <c r="L593" s="27"/>
      <c r="M593" s="434"/>
      <c r="N593" s="434"/>
      <c r="O593" s="434"/>
      <c r="P593" s="69"/>
      <c r="Q593" s="69"/>
      <c r="R593" s="69"/>
      <c r="S593" s="435"/>
      <c r="T593" s="435"/>
      <c r="U593" s="435"/>
      <c r="V593" s="31"/>
      <c r="W593" s="32"/>
      <c r="X593" s="33"/>
      <c r="Y593" s="544">
        <v>6.5</v>
      </c>
      <c r="Z593" s="469">
        <f t="shared" si="114"/>
        <v>47449.362999999998</v>
      </c>
      <c r="AA593" s="33"/>
      <c r="AB593" s="438"/>
      <c r="AC593" s="33"/>
    </row>
    <row r="594" spans="1:29" x14ac:dyDescent="0.3">
      <c r="A594" s="146">
        <v>44169.003472222219</v>
      </c>
      <c r="B594" s="146">
        <v>44173.895833333336</v>
      </c>
      <c r="C594" s="23"/>
      <c r="D594" s="23"/>
      <c r="E594" s="35" t="s">
        <v>697</v>
      </c>
      <c r="F594" s="36" t="s">
        <v>91</v>
      </c>
      <c r="G594" s="433"/>
      <c r="H594" s="433">
        <f>113374-H595-H596-H597-H598</f>
        <v>84445</v>
      </c>
      <c r="I594" s="433"/>
      <c r="J594" s="26">
        <v>143000</v>
      </c>
      <c r="K594" s="632">
        <f>H594+H595+H596+H597+H598-J594</f>
        <v>-29626</v>
      </c>
      <c r="L594" s="27">
        <f>B594-A594</f>
        <v>4.8923611111167702</v>
      </c>
      <c r="M594" s="27">
        <f>'[180]BULK ARA'!$F$168</f>
        <v>2.5711805555426204</v>
      </c>
      <c r="N594" s="434">
        <f>(H594+H595+H596+H597+H598)/L594</f>
        <v>23173.677785636784</v>
      </c>
      <c r="O594" s="462">
        <f>(H594+H595+H596+H597+H598)/M594</f>
        <v>44094.141796305557</v>
      </c>
      <c r="P594" s="633">
        <v>30000</v>
      </c>
      <c r="Q594" s="69">
        <f>(148539/10000)*8.7</f>
        <v>129.22892999999999</v>
      </c>
      <c r="R594" s="69">
        <f>(123914/10000)*8.7</f>
        <v>107.80517999999999</v>
      </c>
      <c r="S594" s="435">
        <f>Q594-R594</f>
        <v>21.423749999999998</v>
      </c>
      <c r="T594" s="435">
        <f>S594/8.7*10000/(H594+H595+H596+H597+H598)</f>
        <v>0.21720147476493729</v>
      </c>
      <c r="U594" s="435">
        <f>S594/8.5*10000/(H594+H595+H596+H597+H598)</f>
        <v>0.22231209770058283</v>
      </c>
      <c r="V594" s="436"/>
      <c r="W594" s="437"/>
      <c r="X594" s="33"/>
      <c r="Y594" s="544">
        <v>2.64</v>
      </c>
      <c r="Z594" s="469">
        <f t="shared" si="114"/>
        <v>222934.80000000002</v>
      </c>
      <c r="AA594" s="33"/>
      <c r="AB594" s="438"/>
      <c r="AC594" s="33"/>
    </row>
    <row r="595" spans="1:29" x14ac:dyDescent="0.3">
      <c r="A595" s="146"/>
      <c r="B595" s="146"/>
      <c r="C595" s="23"/>
      <c r="D595" s="23"/>
      <c r="E595" s="35" t="s">
        <v>698</v>
      </c>
      <c r="F595" s="36"/>
      <c r="G595" s="433"/>
      <c r="H595" s="433">
        <v>6535</v>
      </c>
      <c r="I595" s="433"/>
      <c r="J595" s="26"/>
      <c r="K595" s="632"/>
      <c r="L595" s="27"/>
      <c r="M595" s="434"/>
      <c r="N595" s="434"/>
      <c r="O595" s="434"/>
      <c r="P595" s="69"/>
      <c r="Q595" s="69"/>
      <c r="R595" s="69"/>
      <c r="S595" s="435"/>
      <c r="T595" s="435"/>
      <c r="U595" s="69"/>
      <c r="V595" s="436"/>
      <c r="W595" s="437"/>
      <c r="X595" s="33"/>
      <c r="Y595" s="544">
        <v>6.5</v>
      </c>
      <c r="Z595" s="469">
        <f t="shared" si="114"/>
        <v>42477.5</v>
      </c>
      <c r="AA595" s="33"/>
      <c r="AB595" s="438"/>
      <c r="AC595" s="33"/>
    </row>
    <row r="596" spans="1:29" x14ac:dyDescent="0.3">
      <c r="A596" s="146"/>
      <c r="B596" s="439"/>
      <c r="C596" s="23"/>
      <c r="D596" s="23"/>
      <c r="E596" s="35" t="s">
        <v>698</v>
      </c>
      <c r="F596" s="36"/>
      <c r="G596" s="433"/>
      <c r="H596" s="433">
        <v>7113</v>
      </c>
      <c r="I596" s="433"/>
      <c r="J596" s="26"/>
      <c r="K596" s="632"/>
      <c r="L596" s="27"/>
      <c r="M596" s="434"/>
      <c r="N596" s="434"/>
      <c r="O596" s="434"/>
      <c r="P596" s="69"/>
      <c r="Q596" s="69"/>
      <c r="R596" s="69"/>
      <c r="S596" s="435"/>
      <c r="T596" s="435"/>
      <c r="U596" s="69"/>
      <c r="V596" s="436"/>
      <c r="W596" s="437"/>
      <c r="X596" s="33"/>
      <c r="Y596" s="544">
        <v>6.5</v>
      </c>
      <c r="Z596" s="469">
        <f t="shared" si="114"/>
        <v>46234.5</v>
      </c>
      <c r="AA596" s="33"/>
      <c r="AB596" s="438"/>
      <c r="AC596" s="33"/>
    </row>
    <row r="597" spans="1:29" x14ac:dyDescent="0.3">
      <c r="A597" s="146"/>
      <c r="B597" s="439"/>
      <c r="C597" s="23"/>
      <c r="D597" s="23"/>
      <c r="E597" s="35" t="s">
        <v>698</v>
      </c>
      <c r="F597" s="36"/>
      <c r="G597" s="433"/>
      <c r="H597" s="433">
        <v>7649</v>
      </c>
      <c r="I597" s="433"/>
      <c r="J597" s="26"/>
      <c r="K597" s="632"/>
      <c r="L597" s="27"/>
      <c r="M597" s="434"/>
      <c r="N597" s="434"/>
      <c r="O597" s="434"/>
      <c r="P597" s="69"/>
      <c r="Q597" s="69"/>
      <c r="R597" s="69"/>
      <c r="S597" s="435"/>
      <c r="T597" s="435"/>
      <c r="U597" s="69"/>
      <c r="V597" s="436"/>
      <c r="W597" s="437"/>
      <c r="X597" s="33"/>
      <c r="Y597" s="544">
        <v>6.5</v>
      </c>
      <c r="Z597" s="469">
        <f t="shared" si="114"/>
        <v>49718.5</v>
      </c>
      <c r="AA597" s="33"/>
      <c r="AB597" s="438"/>
      <c r="AC597" s="33"/>
    </row>
    <row r="598" spans="1:29" x14ac:dyDescent="0.3">
      <c r="A598" s="146"/>
      <c r="B598" s="439"/>
      <c r="C598" s="23"/>
      <c r="D598" s="23"/>
      <c r="E598" s="35" t="s">
        <v>698</v>
      </c>
      <c r="F598" s="36"/>
      <c r="G598" s="433"/>
      <c r="H598" s="433">
        <v>7632</v>
      </c>
      <c r="I598" s="433"/>
      <c r="J598" s="26"/>
      <c r="K598" s="632"/>
      <c r="L598" s="27"/>
      <c r="M598" s="434"/>
      <c r="N598" s="434"/>
      <c r="O598" s="434"/>
      <c r="P598" s="69"/>
      <c r="Q598" s="69"/>
      <c r="R598" s="69"/>
      <c r="S598" s="435"/>
      <c r="T598" s="435"/>
      <c r="U598" s="69"/>
      <c r="V598" s="436"/>
      <c r="W598" s="437"/>
      <c r="X598" s="33"/>
      <c r="Y598" s="544">
        <v>6.5</v>
      </c>
      <c r="Z598" s="469">
        <f t="shared" si="114"/>
        <v>49608</v>
      </c>
      <c r="AA598" s="33"/>
      <c r="AB598" s="438"/>
      <c r="AC598" s="33"/>
    </row>
    <row r="599" spans="1:29" x14ac:dyDescent="0.3">
      <c r="A599" s="146">
        <v>44174.979166666664</v>
      </c>
      <c r="B599" s="146">
        <v>44177.229166666664</v>
      </c>
      <c r="C599" s="23"/>
      <c r="D599" s="23"/>
      <c r="E599" s="35" t="s">
        <v>699</v>
      </c>
      <c r="F599" s="36" t="s">
        <v>212</v>
      </c>
      <c r="G599" s="433"/>
      <c r="H599" s="433">
        <f>49100-H600</f>
        <v>41589</v>
      </c>
      <c r="I599" s="433"/>
      <c r="J599" s="26">
        <v>49100</v>
      </c>
      <c r="K599" s="632">
        <f>H599+H600-J599</f>
        <v>0</v>
      </c>
      <c r="L599" s="27">
        <f>B599-A599</f>
        <v>2.25</v>
      </c>
      <c r="M599" s="27">
        <f>'[180]DATO SUCCESS'!$F$85</f>
        <v>1.0225694444513163</v>
      </c>
      <c r="N599" s="434">
        <f>(H599+H600)/L599</f>
        <v>21822.222222222223</v>
      </c>
      <c r="O599" s="567">
        <f>(H599+H600)/M599</f>
        <v>48016.298811222317</v>
      </c>
      <c r="P599" s="633">
        <v>30000</v>
      </c>
      <c r="Q599" s="69">
        <f>(121870/10000)*8.7</f>
        <v>106.02689999999998</v>
      </c>
      <c r="R599" s="69">
        <f>(111415/10000)*8.7</f>
        <v>96.931049999999999</v>
      </c>
      <c r="S599" s="435">
        <f>Q599-R599</f>
        <v>9.0958499999999844</v>
      </c>
      <c r="T599" s="435">
        <f>S599/8.7*10000/(H599+H600)</f>
        <v>0.21293279022403225</v>
      </c>
      <c r="U599" s="435">
        <f>S599/8.5*10000/(H599+H600)</f>
        <v>0.21794297352342126</v>
      </c>
      <c r="V599" s="436"/>
      <c r="W599" s="437"/>
      <c r="X599" s="33"/>
      <c r="Y599" s="544">
        <v>2.64</v>
      </c>
      <c r="Z599" s="469">
        <f t="shared" si="114"/>
        <v>109794.96</v>
      </c>
      <c r="AA599" s="33"/>
      <c r="AB599" s="438"/>
      <c r="AC599" s="33"/>
    </row>
    <row r="600" spans="1:29" x14ac:dyDescent="0.3">
      <c r="A600" s="146"/>
      <c r="B600" s="439"/>
      <c r="C600" s="23"/>
      <c r="D600" s="23"/>
      <c r="E600" s="35" t="s">
        <v>700</v>
      </c>
      <c r="F600" s="36"/>
      <c r="G600" s="433"/>
      <c r="H600" s="433">
        <v>7511</v>
      </c>
      <c r="I600" s="433"/>
      <c r="J600" s="26"/>
      <c r="K600" s="632"/>
      <c r="L600" s="27"/>
      <c r="M600" s="434"/>
      <c r="N600" s="434"/>
      <c r="O600" s="434"/>
      <c r="P600" s="69"/>
      <c r="Q600" s="69"/>
      <c r="R600" s="69"/>
      <c r="S600" s="435"/>
      <c r="T600" s="435"/>
      <c r="U600" s="69"/>
      <c r="V600" s="436"/>
      <c r="W600" s="437"/>
      <c r="X600" s="33"/>
      <c r="Y600" s="544">
        <v>6.5</v>
      </c>
      <c r="Z600" s="469">
        <f t="shared" si="114"/>
        <v>48821.5</v>
      </c>
      <c r="AA600" s="33"/>
      <c r="AB600" s="438"/>
      <c r="AC600" s="33"/>
    </row>
    <row r="601" spans="1:29" x14ac:dyDescent="0.3">
      <c r="A601" s="146">
        <v>44179.395833333336</v>
      </c>
      <c r="B601" s="146">
        <v>44181.354166666664</v>
      </c>
      <c r="C601" s="23"/>
      <c r="D601" s="23"/>
      <c r="E601" s="35" t="s">
        <v>701</v>
      </c>
      <c r="F601" s="25" t="s">
        <v>328</v>
      </c>
      <c r="G601" s="433"/>
      <c r="H601" s="433">
        <f>31603-H602</f>
        <v>24045</v>
      </c>
      <c r="I601" s="433"/>
      <c r="J601" s="26">
        <v>82500</v>
      </c>
      <c r="K601" s="632">
        <f>H601+H602-J601</f>
        <v>-50897</v>
      </c>
      <c r="L601" s="27">
        <f>B601-A601</f>
        <v>1.9583333333284827</v>
      </c>
      <c r="M601" s="27">
        <f>'[180]HC UNITY'!$F$62</f>
        <v>0.67361111111191951</v>
      </c>
      <c r="N601" s="434">
        <f>(H601+H602)/L601</f>
        <v>16137.702127699546</v>
      </c>
      <c r="O601" s="567">
        <f>(H601+H602)/M601</f>
        <v>46915.793814376688</v>
      </c>
      <c r="P601" s="633">
        <v>30000</v>
      </c>
      <c r="Q601" s="69">
        <f>(104068/10000)*8.7</f>
        <v>90.539159999999995</v>
      </c>
      <c r="R601" s="69">
        <f>(95721/10000)*8.7</f>
        <v>83.277270000000001</v>
      </c>
      <c r="S601" s="435">
        <f>Q601-R601</f>
        <v>7.261889999999994</v>
      </c>
      <c r="T601" s="435">
        <f>S601/8.7*10000/(H601+H602)</f>
        <v>0.26412049488972544</v>
      </c>
      <c r="U601" s="435">
        <f>S601/8.5*10000/(H601+H602)</f>
        <v>0.27033509476948364</v>
      </c>
      <c r="V601" s="436"/>
      <c r="W601" s="437"/>
      <c r="X601" s="33"/>
      <c r="Y601" s="544">
        <v>2.64</v>
      </c>
      <c r="Z601" s="469">
        <f t="shared" si="114"/>
        <v>63478.8</v>
      </c>
      <c r="AA601" s="33"/>
      <c r="AB601" s="438"/>
      <c r="AC601" s="33"/>
    </row>
    <row r="602" spans="1:29" x14ac:dyDescent="0.3">
      <c r="A602" s="146"/>
      <c r="B602" s="439"/>
      <c r="C602" s="23"/>
      <c r="D602" s="23"/>
      <c r="E602" s="35" t="s">
        <v>702</v>
      </c>
      <c r="F602" s="36"/>
      <c r="G602" s="433"/>
      <c r="H602" s="433">
        <v>7558</v>
      </c>
      <c r="I602" s="433"/>
      <c r="J602" s="26"/>
      <c r="K602" s="632"/>
      <c r="L602" s="27"/>
      <c r="M602" s="434"/>
      <c r="N602" s="434"/>
      <c r="O602" s="434"/>
      <c r="P602" s="69"/>
      <c r="Q602" s="69"/>
      <c r="R602" s="69"/>
      <c r="S602" s="435"/>
      <c r="T602" s="435"/>
      <c r="U602" s="69"/>
      <c r="V602" s="436"/>
      <c r="W602" s="437"/>
      <c r="X602" s="33"/>
      <c r="Y602" s="544">
        <v>6.5</v>
      </c>
      <c r="Z602" s="469">
        <f t="shared" si="114"/>
        <v>49127</v>
      </c>
      <c r="AA602" s="33"/>
      <c r="AB602" s="438"/>
      <c r="AC602" s="33"/>
    </row>
    <row r="603" spans="1:29" x14ac:dyDescent="0.3">
      <c r="A603" s="146">
        <v>44181.770833333336</v>
      </c>
      <c r="B603" s="146">
        <v>44184.4375</v>
      </c>
      <c r="C603" s="23"/>
      <c r="D603" s="23"/>
      <c r="E603" s="35" t="s">
        <v>111</v>
      </c>
      <c r="F603" s="36" t="s">
        <v>328</v>
      </c>
      <c r="G603" s="433"/>
      <c r="H603" s="433">
        <f>65500-H604-H605</f>
        <v>52011</v>
      </c>
      <c r="I603" s="433"/>
      <c r="J603" s="26">
        <v>65500</v>
      </c>
      <c r="K603" s="632">
        <f>H603+H604+H605-J603</f>
        <v>0</v>
      </c>
      <c r="L603" s="27">
        <f>B603-A603</f>
        <v>2.6666666666642413</v>
      </c>
      <c r="M603" s="27">
        <f>'[180]ANDHIKA PARAMESTI'!$F$99</f>
        <v>1.7847222222214139</v>
      </c>
      <c r="N603" s="434">
        <f>(H603+H604+H605)/L603</f>
        <v>24562.500000022341</v>
      </c>
      <c r="O603" s="567">
        <f>(H603+H604+H605)/M603</f>
        <v>36700.389105074988</v>
      </c>
      <c r="P603" s="633">
        <v>30000</v>
      </c>
      <c r="Q603" s="69">
        <f>(95037/10000)*8.7</f>
        <v>82.682189999999991</v>
      </c>
      <c r="R603" s="69">
        <f>(80606/10000)*8.7</f>
        <v>70.127220000000008</v>
      </c>
      <c r="S603" s="435">
        <f>Q603-R603</f>
        <v>12.554969999999983</v>
      </c>
      <c r="T603" s="435">
        <f>S603/8.7*10000/(H603+H604+H605)</f>
        <v>0.22032061068702266</v>
      </c>
      <c r="U603" s="435">
        <f>S603/8.5*10000/(H603+H604+H605)</f>
        <v>0.22550462505612903</v>
      </c>
      <c r="V603" s="436"/>
      <c r="W603" s="437"/>
      <c r="X603" s="33"/>
      <c r="Y603" s="544">
        <v>2.64</v>
      </c>
      <c r="Z603" s="469">
        <f t="shared" si="114"/>
        <v>137309.04</v>
      </c>
      <c r="AA603" s="33"/>
      <c r="AB603" s="438"/>
      <c r="AC603" s="33"/>
    </row>
    <row r="604" spans="1:29" x14ac:dyDescent="0.3">
      <c r="A604" s="146"/>
      <c r="B604" s="146"/>
      <c r="C604" s="23"/>
      <c r="D604" s="23"/>
      <c r="E604" s="35" t="s">
        <v>161</v>
      </c>
      <c r="F604" s="36"/>
      <c r="G604" s="433"/>
      <c r="H604" s="433">
        <v>7487</v>
      </c>
      <c r="I604" s="433"/>
      <c r="J604" s="26"/>
      <c r="K604" s="632"/>
      <c r="L604" s="27"/>
      <c r="M604" s="434"/>
      <c r="N604" s="434"/>
      <c r="O604" s="434"/>
      <c r="P604" s="69"/>
      <c r="Q604" s="69"/>
      <c r="R604" s="69"/>
      <c r="S604" s="435"/>
      <c r="T604" s="435"/>
      <c r="U604" s="69"/>
      <c r="V604" s="436"/>
      <c r="W604" s="437"/>
      <c r="X604" s="33"/>
      <c r="Y604" s="544">
        <v>6.5</v>
      </c>
      <c r="Z604" s="469">
        <f t="shared" si="114"/>
        <v>48665.5</v>
      </c>
      <c r="AA604" s="33"/>
      <c r="AB604" s="438"/>
      <c r="AC604" s="33"/>
    </row>
    <row r="605" spans="1:29" x14ac:dyDescent="0.3">
      <c r="A605" s="146"/>
      <c r="B605" s="439"/>
      <c r="C605" s="23"/>
      <c r="D605" s="23"/>
      <c r="E605" s="35" t="s">
        <v>161</v>
      </c>
      <c r="F605" s="36"/>
      <c r="G605" s="433"/>
      <c r="H605" s="433">
        <v>6002</v>
      </c>
      <c r="I605" s="433"/>
      <c r="J605" s="26"/>
      <c r="K605" s="632"/>
      <c r="L605" s="27"/>
      <c r="M605" s="434"/>
      <c r="N605" s="434"/>
      <c r="O605" s="434"/>
      <c r="P605" s="69"/>
      <c r="Q605" s="69"/>
      <c r="R605" s="69"/>
      <c r="S605" s="435"/>
      <c r="T605" s="435"/>
      <c r="U605" s="69"/>
      <c r="V605" s="436"/>
      <c r="W605" s="437"/>
      <c r="X605" s="33"/>
      <c r="Y605" s="544">
        <v>6.5</v>
      </c>
      <c r="Z605" s="469">
        <f t="shared" si="114"/>
        <v>39013</v>
      </c>
      <c r="AA605" s="33"/>
      <c r="AB605" s="438"/>
      <c r="AC605" s="33"/>
    </row>
    <row r="606" spans="1:29" x14ac:dyDescent="0.3">
      <c r="A606" s="146">
        <v>44184.694444444445</v>
      </c>
      <c r="B606" s="146">
        <v>44186.975694444445</v>
      </c>
      <c r="C606" s="23"/>
      <c r="D606" s="23"/>
      <c r="E606" s="35" t="s">
        <v>703</v>
      </c>
      <c r="F606" s="36" t="s">
        <v>212</v>
      </c>
      <c r="G606" s="433"/>
      <c r="H606" s="433">
        <f>52425-H607-H608</f>
        <v>43725</v>
      </c>
      <c r="I606" s="433"/>
      <c r="J606" s="433">
        <v>52425</v>
      </c>
      <c r="K606" s="632">
        <f>H606+H607+H608-J606</f>
        <v>0</v>
      </c>
      <c r="L606" s="27">
        <f>B606-A606</f>
        <v>2.28125</v>
      </c>
      <c r="M606" s="27">
        <f>'[180]NEW UNITY'!$F$92</f>
        <v>1.0729166666557528</v>
      </c>
      <c r="N606" s="434">
        <f>(H606+H607+H608)/L606</f>
        <v>22980.821917808218</v>
      </c>
      <c r="O606" s="567">
        <f>(H606+H607+H608)/M606</f>
        <v>48862.135922827132</v>
      </c>
      <c r="P606" s="633">
        <v>30000</v>
      </c>
      <c r="Q606" s="69">
        <f>(80141/10000)*8.7</f>
        <v>69.722669999999979</v>
      </c>
      <c r="R606" s="69">
        <f>(69603/10000)*8.7</f>
        <v>60.554609999999997</v>
      </c>
      <c r="S606" s="435">
        <f>Q606-R606</f>
        <v>9.1680599999999828</v>
      </c>
      <c r="T606" s="435">
        <f>S606/8.7*10000/(H606+H607+H608)</f>
        <v>0.20101096804959429</v>
      </c>
      <c r="U606" s="435">
        <f>S606/8.5*10000/(H606+H607+H608)</f>
        <v>0.20574063788605532</v>
      </c>
      <c r="V606" s="436"/>
      <c r="W606" s="437"/>
      <c r="X606" s="33"/>
      <c r="Y606" s="544">
        <v>2.64</v>
      </c>
      <c r="Z606" s="469">
        <f t="shared" si="114"/>
        <v>115434</v>
      </c>
      <c r="AA606" s="33"/>
      <c r="AB606" s="438"/>
      <c r="AC606" s="33"/>
    </row>
    <row r="607" spans="1:29" x14ac:dyDescent="0.3">
      <c r="A607" s="146"/>
      <c r="B607" s="439"/>
      <c r="C607" s="23"/>
      <c r="D607" s="23"/>
      <c r="E607" s="35" t="s">
        <v>704</v>
      </c>
      <c r="F607" s="36"/>
      <c r="G607" s="433"/>
      <c r="H607" s="433">
        <v>7743</v>
      </c>
      <c r="I607" s="433"/>
      <c r="J607" s="433"/>
      <c r="K607" s="632"/>
      <c r="L607" s="27"/>
      <c r="M607" s="434"/>
      <c r="N607" s="434"/>
      <c r="O607" s="434"/>
      <c r="P607" s="69"/>
      <c r="Q607" s="69"/>
      <c r="R607" s="69"/>
      <c r="S607" s="435"/>
      <c r="T607" s="435"/>
      <c r="U607" s="69"/>
      <c r="V607" s="436"/>
      <c r="W607" s="437"/>
      <c r="X607" s="33"/>
      <c r="Y607" s="544">
        <v>6.5</v>
      </c>
      <c r="Z607" s="469">
        <f t="shared" si="114"/>
        <v>50329.5</v>
      </c>
      <c r="AA607" s="33"/>
      <c r="AB607" s="438"/>
      <c r="AC607" s="33"/>
    </row>
    <row r="608" spans="1:29" x14ac:dyDescent="0.3">
      <c r="A608" s="146"/>
      <c r="B608" s="439"/>
      <c r="C608" s="23"/>
      <c r="D608" s="23"/>
      <c r="E608" s="35" t="s">
        <v>704</v>
      </c>
      <c r="F608" s="36"/>
      <c r="G608" s="433"/>
      <c r="H608" s="433">
        <v>957</v>
      </c>
      <c r="I608" s="433"/>
      <c r="J608" s="433"/>
      <c r="K608" s="632"/>
      <c r="L608" s="27"/>
      <c r="M608" s="434"/>
      <c r="N608" s="434"/>
      <c r="O608" s="434"/>
      <c r="P608" s="69"/>
      <c r="Q608" s="69"/>
      <c r="R608" s="69"/>
      <c r="S608" s="435"/>
      <c r="T608" s="435"/>
      <c r="U608" s="69"/>
      <c r="V608" s="436"/>
      <c r="W608" s="437"/>
      <c r="X608" s="33"/>
      <c r="Y608" s="544">
        <v>6.5</v>
      </c>
      <c r="Z608" s="469">
        <f t="shared" si="114"/>
        <v>6220.5</v>
      </c>
      <c r="AA608" s="33"/>
      <c r="AB608" s="438"/>
      <c r="AC608" s="33"/>
    </row>
    <row r="609" spans="1:30" x14ac:dyDescent="0.3">
      <c r="A609" s="146">
        <v>44187.680555555555</v>
      </c>
      <c r="B609" s="146">
        <v>44188.625</v>
      </c>
      <c r="C609" s="23"/>
      <c r="D609" s="23"/>
      <c r="E609" s="35" t="s">
        <v>705</v>
      </c>
      <c r="F609" s="36" t="s">
        <v>212</v>
      </c>
      <c r="G609" s="433"/>
      <c r="H609" s="433">
        <v>14321</v>
      </c>
      <c r="I609" s="433"/>
      <c r="J609" s="433">
        <v>56918</v>
      </c>
      <c r="K609" s="632">
        <f>H609-J609</f>
        <v>-42597</v>
      </c>
      <c r="L609" s="27">
        <f>B609-A609</f>
        <v>0.94444444444525288</v>
      </c>
      <c r="M609" s="27">
        <f>'[180]PROPERITY FOR ALL'!$F$33</f>
        <v>0.34375000000363798</v>
      </c>
      <c r="N609" s="434">
        <f>(H609)/L609</f>
        <v>15163.411764692903</v>
      </c>
      <c r="O609" s="567">
        <f>(H609)/M609</f>
        <v>41661.090908650003</v>
      </c>
      <c r="P609" s="633">
        <v>30000</v>
      </c>
      <c r="Q609" s="69">
        <f>(297301/10000)*8.7</f>
        <v>258.65186999999997</v>
      </c>
      <c r="R609" s="69">
        <f>(293378/10000)*8.7</f>
        <v>255.23885999999999</v>
      </c>
      <c r="S609" s="435">
        <f>Q609-R609</f>
        <v>3.4130099999999857</v>
      </c>
      <c r="T609" s="435">
        <f>S609/8.7*10000/(H609)</f>
        <v>0.27393338454018462</v>
      </c>
      <c r="U609" s="435">
        <f>S609/8.5*10000/(H609)</f>
        <v>0.28037887594113009</v>
      </c>
      <c r="V609" s="436"/>
      <c r="W609" s="437"/>
      <c r="X609" s="33"/>
      <c r="Y609" s="544">
        <v>2.64</v>
      </c>
      <c r="Z609" s="469">
        <f t="shared" si="114"/>
        <v>37807.440000000002</v>
      </c>
      <c r="AA609" s="33"/>
      <c r="AB609" s="438"/>
      <c r="AC609" s="33"/>
    </row>
    <row r="610" spans="1:30" x14ac:dyDescent="0.3">
      <c r="A610" s="146">
        <v>44188.875</v>
      </c>
      <c r="B610" s="146">
        <v>44194.159722222219</v>
      </c>
      <c r="C610" s="23"/>
      <c r="D610" s="23"/>
      <c r="E610" s="35" t="s">
        <v>706</v>
      </c>
      <c r="F610" s="36" t="s">
        <v>328</v>
      </c>
      <c r="G610" s="433"/>
      <c r="H610" s="433">
        <f>51584-H611-H612</f>
        <v>39886</v>
      </c>
      <c r="I610" s="433"/>
      <c r="J610" s="433">
        <v>60500</v>
      </c>
      <c r="K610" s="632">
        <f>H610+H611+H612-J610</f>
        <v>-8916</v>
      </c>
      <c r="L610" s="27">
        <f>B610-A610-'[180]HANTON TRADER II'!$C$110</f>
        <v>4.0902777777737356</v>
      </c>
      <c r="M610" s="27">
        <f>'[180]HANTON TRADER II'!$F$94</f>
        <v>1.2291666666666667</v>
      </c>
      <c r="N610" s="434">
        <f>(H610+H611+H612)/L610</f>
        <v>12611.368421065095</v>
      </c>
      <c r="O610" s="567">
        <f>(H610+H611+H612)/M610</f>
        <v>41966.644067796609</v>
      </c>
      <c r="P610" s="633">
        <v>30000</v>
      </c>
      <c r="Q610" s="69">
        <f>(293086/10000)*8.7</f>
        <v>254.98481999999996</v>
      </c>
      <c r="R610" s="69">
        <f>(274812/10000)*8.7</f>
        <v>239.08643999999998</v>
      </c>
      <c r="S610" s="435">
        <f>Q610-R610</f>
        <v>15.898379999999975</v>
      </c>
      <c r="T610" s="435">
        <f>S610/8.7*10000/(H610+H611+H612)</f>
        <v>0.35425713399503667</v>
      </c>
      <c r="U610" s="435">
        <f>S610/8.5*10000/(H610+H611+H612)</f>
        <v>0.36259259597139043</v>
      </c>
      <c r="V610" s="436"/>
      <c r="W610" s="437"/>
      <c r="X610" s="33"/>
      <c r="Y610" s="544">
        <v>2.64</v>
      </c>
      <c r="Z610" s="469">
        <f t="shared" si="114"/>
        <v>105299.04000000001</v>
      </c>
      <c r="AA610" s="33"/>
      <c r="AB610" s="438"/>
      <c r="AC610" s="33"/>
    </row>
    <row r="611" spans="1:30" x14ac:dyDescent="0.3">
      <c r="A611" s="146"/>
      <c r="B611" s="439"/>
      <c r="C611" s="23"/>
      <c r="D611" s="23"/>
      <c r="E611" s="35" t="s">
        <v>707</v>
      </c>
      <c r="F611" s="36"/>
      <c r="G611" s="433"/>
      <c r="H611" s="433">
        <v>6004</v>
      </c>
      <c r="I611" s="433"/>
      <c r="J611" s="433"/>
      <c r="K611" s="632"/>
      <c r="L611" s="27"/>
      <c r="M611" s="434"/>
      <c r="N611" s="434"/>
      <c r="O611" s="434"/>
      <c r="P611" s="69"/>
      <c r="Q611" s="69"/>
      <c r="R611" s="69"/>
      <c r="S611" s="435"/>
      <c r="T611" s="435"/>
      <c r="U611" s="69"/>
      <c r="V611" s="436"/>
      <c r="W611" s="437"/>
      <c r="X611" s="33"/>
      <c r="Y611" s="544">
        <v>6.5</v>
      </c>
      <c r="Z611" s="469">
        <f t="shared" si="114"/>
        <v>39026</v>
      </c>
      <c r="AA611" s="33"/>
      <c r="AB611" s="438"/>
      <c r="AC611" s="33"/>
    </row>
    <row r="612" spans="1:30" x14ac:dyDescent="0.3">
      <c r="A612" s="146"/>
      <c r="B612" s="439"/>
      <c r="C612" s="23"/>
      <c r="D612" s="23"/>
      <c r="E612" s="35" t="s">
        <v>707</v>
      </c>
      <c r="F612" s="36"/>
      <c r="G612" s="433"/>
      <c r="H612" s="433">
        <v>5694</v>
      </c>
      <c r="I612" s="433"/>
      <c r="J612" s="433"/>
      <c r="K612" s="632"/>
      <c r="L612" s="27"/>
      <c r="M612" s="434"/>
      <c r="N612" s="434"/>
      <c r="O612" s="434"/>
      <c r="P612" s="69"/>
      <c r="Q612" s="69"/>
      <c r="R612" s="69"/>
      <c r="S612" s="435"/>
      <c r="T612" s="435"/>
      <c r="U612" s="69"/>
      <c r="V612" s="436"/>
      <c r="W612" s="437"/>
      <c r="X612" s="33"/>
      <c r="Y612" s="544">
        <v>6.5</v>
      </c>
      <c r="Z612" s="469">
        <f t="shared" si="114"/>
        <v>37011</v>
      </c>
      <c r="AA612" s="33"/>
      <c r="AB612" s="438"/>
      <c r="AC612" s="33"/>
    </row>
    <row r="613" spans="1:30" x14ac:dyDescent="0.3">
      <c r="A613" s="146">
        <v>44194.850694444445</v>
      </c>
      <c r="B613" s="146">
        <v>44195.444444444445</v>
      </c>
      <c r="C613" s="23"/>
      <c r="D613" s="23"/>
      <c r="E613" s="35" t="s">
        <v>708</v>
      </c>
      <c r="F613" s="25" t="s">
        <v>212</v>
      </c>
      <c r="G613" s="433"/>
      <c r="H613" s="433">
        <v>15081</v>
      </c>
      <c r="I613" s="433"/>
      <c r="J613" s="433">
        <v>55000</v>
      </c>
      <c r="K613" s="632">
        <f>H613-J613</f>
        <v>-39919</v>
      </c>
      <c r="L613" s="27">
        <f>B613-A613</f>
        <v>0.59375</v>
      </c>
      <c r="M613" s="27">
        <f>[180]DORO!$F$43</f>
        <v>0.33159722221049986</v>
      </c>
      <c r="N613" s="434">
        <f>(H613)/L613</f>
        <v>25399.57894736842</v>
      </c>
      <c r="O613" s="567">
        <f>(H613)/M613</f>
        <v>45479.874347157507</v>
      </c>
      <c r="P613" s="633">
        <v>30000</v>
      </c>
      <c r="Q613" s="69">
        <f>(273690/10000)*8.7</f>
        <v>238.11029999999997</v>
      </c>
      <c r="R613" s="69">
        <f>(270591/10000)*8.7</f>
        <v>235.41416999999998</v>
      </c>
      <c r="S613" s="435">
        <f>Q613-R613</f>
        <v>2.6961299999999824</v>
      </c>
      <c r="T613" s="435">
        <f>S613/8.7*10000/(H613)</f>
        <v>0.20549035209866587</v>
      </c>
      <c r="U613" s="435">
        <f>S613/8.5*10000/(H613)</f>
        <v>0.21032541920686976</v>
      </c>
      <c r="V613" s="436"/>
      <c r="W613" s="437"/>
      <c r="X613" s="33"/>
      <c r="Y613" s="544">
        <v>2.64</v>
      </c>
      <c r="Z613" s="469">
        <f t="shared" si="114"/>
        <v>39813.840000000004</v>
      </c>
      <c r="AA613" s="33"/>
      <c r="AB613" s="438"/>
      <c r="AC613" s="33"/>
    </row>
    <row r="614" spans="1:30" x14ac:dyDescent="0.3">
      <c r="A614" s="439"/>
      <c r="B614" s="439"/>
      <c r="C614" s="23"/>
      <c r="D614" s="23"/>
      <c r="E614" s="35"/>
      <c r="F614" s="25"/>
      <c r="G614" s="433"/>
      <c r="H614" s="433"/>
      <c r="I614" s="433"/>
      <c r="J614" s="26"/>
      <c r="K614" s="27"/>
      <c r="L614" s="27"/>
      <c r="M614" s="434"/>
      <c r="N614" s="434"/>
      <c r="O614" s="434"/>
      <c r="P614" s="69"/>
      <c r="Q614" s="69"/>
      <c r="R614" s="69"/>
      <c r="S614" s="435"/>
      <c r="T614" s="435"/>
      <c r="U614" s="435"/>
      <c r="V614" s="436"/>
      <c r="W614" s="437"/>
      <c r="X614" s="33"/>
      <c r="Y614" s="33"/>
      <c r="Z614" s="33"/>
      <c r="AA614" s="33"/>
      <c r="AB614" s="438"/>
      <c r="AC614" s="33"/>
    </row>
    <row r="615" spans="1:30" x14ac:dyDescent="0.3">
      <c r="A615" s="20"/>
      <c r="B615" s="20"/>
      <c r="C615" s="20">
        <v>1000000001</v>
      </c>
      <c r="D615" s="20"/>
      <c r="E615" s="21" t="s">
        <v>95</v>
      </c>
      <c r="F615" s="21"/>
      <c r="G615" s="431">
        <f>SUM(G591:G614)</f>
        <v>16671</v>
      </c>
      <c r="H615" s="431">
        <f>SUM(H592:H614)</f>
        <v>415687</v>
      </c>
      <c r="I615" s="431"/>
      <c r="J615" s="431"/>
      <c r="K615" s="431"/>
      <c r="L615" s="431"/>
      <c r="M615" s="431"/>
      <c r="N615" s="431"/>
      <c r="O615" s="431"/>
      <c r="P615" s="431"/>
      <c r="Q615" s="431"/>
      <c r="R615" s="440">
        <f>SUM(R591:R614)</f>
        <v>1278.3623400000001</v>
      </c>
      <c r="S615" s="441">
        <f>R615/8.7*10000/G615</f>
        <v>88.140003599064258</v>
      </c>
      <c r="T615" s="440"/>
      <c r="U615" s="440"/>
      <c r="V615" s="442"/>
      <c r="W615" s="22"/>
      <c r="X615" s="22"/>
      <c r="Y615" s="432"/>
      <c r="Z615" s="432">
        <f>SUM(Z592:Z614)</f>
        <v>1426227.4017200002</v>
      </c>
      <c r="AA615" s="432"/>
      <c r="AB615" s="432"/>
      <c r="AC615" s="432"/>
    </row>
    <row r="617" spans="1:30" x14ac:dyDescent="0.3">
      <c r="A617" s="371" t="s">
        <v>269</v>
      </c>
      <c r="B617" s="24"/>
      <c r="C617" s="24"/>
      <c r="D617" s="24"/>
      <c r="E617" s="24"/>
      <c r="F617" s="12"/>
      <c r="G617" s="110"/>
      <c r="H617" s="640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4"/>
      <c r="Y617" s="24"/>
      <c r="Z617" s="372"/>
      <c r="AA617" s="372"/>
      <c r="AB617" s="372"/>
      <c r="AC617" s="372"/>
      <c r="AD617" s="372"/>
    </row>
    <row r="618" spans="1:30" ht="41.4" x14ac:dyDescent="0.3">
      <c r="A618" s="4" t="s">
        <v>0</v>
      </c>
      <c r="B618" s="4" t="s">
        <v>1</v>
      </c>
      <c r="C618" s="4" t="s">
        <v>2</v>
      </c>
      <c r="D618" s="4" t="s">
        <v>3</v>
      </c>
      <c r="E618" s="5" t="s">
        <v>4</v>
      </c>
      <c r="F618" s="5" t="s">
        <v>850</v>
      </c>
      <c r="G618" s="5" t="s">
        <v>5</v>
      </c>
      <c r="H618" s="426" t="s">
        <v>6</v>
      </c>
      <c r="I618" s="426" t="s">
        <v>7</v>
      </c>
      <c r="J618" s="426" t="s">
        <v>8</v>
      </c>
      <c r="K618" s="426" t="s">
        <v>9</v>
      </c>
      <c r="L618" s="426" t="s">
        <v>10</v>
      </c>
      <c r="M618" s="426" t="s">
        <v>11</v>
      </c>
      <c r="N618" s="426" t="s">
        <v>12</v>
      </c>
      <c r="O618" s="426" t="s">
        <v>13</v>
      </c>
      <c r="P618" s="426" t="s">
        <v>14</v>
      </c>
      <c r="Q618" s="426" t="s">
        <v>15</v>
      </c>
      <c r="R618" s="426" t="s">
        <v>16</v>
      </c>
      <c r="S618" s="426" t="s">
        <v>17</v>
      </c>
      <c r="T618" s="426" t="s">
        <v>18</v>
      </c>
      <c r="U618" s="426" t="s">
        <v>19</v>
      </c>
      <c r="V618" s="426"/>
      <c r="W618" s="426" t="s">
        <v>21</v>
      </c>
      <c r="X618" s="427" t="s">
        <v>22</v>
      </c>
      <c r="Y618" s="427" t="s">
        <v>23</v>
      </c>
      <c r="Z618" s="428" t="s">
        <v>24</v>
      </c>
      <c r="AA618" s="428" t="s">
        <v>489</v>
      </c>
      <c r="AB618" s="428" t="s">
        <v>26</v>
      </c>
      <c r="AC618" s="429" t="s">
        <v>27</v>
      </c>
      <c r="AD618" s="430" t="s">
        <v>28</v>
      </c>
    </row>
    <row r="619" spans="1:30" x14ac:dyDescent="0.3">
      <c r="A619" s="146"/>
      <c r="B619" s="146"/>
      <c r="C619" s="23"/>
      <c r="D619" s="14"/>
      <c r="E619" s="35"/>
      <c r="F619" s="641"/>
      <c r="G619" s="110"/>
      <c r="H619" s="487"/>
      <c r="I619" s="433"/>
      <c r="J619" s="433"/>
      <c r="K619" s="26"/>
      <c r="L619" s="27"/>
      <c r="M619" s="27"/>
      <c r="N619" s="434"/>
      <c r="O619" s="434"/>
      <c r="P619" s="434"/>
      <c r="Q619" s="69"/>
      <c r="R619" s="69"/>
      <c r="S619" s="69"/>
      <c r="T619" s="435"/>
      <c r="U619" s="435"/>
      <c r="V619" s="435"/>
      <c r="W619" s="436"/>
      <c r="X619" s="437"/>
      <c r="Y619" s="33"/>
      <c r="Z619" s="33"/>
      <c r="AA619" s="33"/>
      <c r="AB619" s="33"/>
      <c r="AC619" s="438"/>
      <c r="AD619" s="33"/>
    </row>
    <row r="620" spans="1:30" x14ac:dyDescent="0.3">
      <c r="A620" s="47">
        <v>44195.854166666664</v>
      </c>
      <c r="B620" s="47">
        <v>44196.354166666664</v>
      </c>
      <c r="C620" s="23"/>
      <c r="D620" s="14"/>
      <c r="E620" s="35" t="s">
        <v>851</v>
      </c>
      <c r="F620" s="641"/>
      <c r="G620" s="45" t="s">
        <v>328</v>
      </c>
      <c r="H620" s="487">
        <v>18369</v>
      </c>
      <c r="I620" s="433"/>
      <c r="J620" s="433">
        <v>80716</v>
      </c>
      <c r="K620" s="26">
        <v>-62347</v>
      </c>
      <c r="L620" s="636">
        <v>0.5</v>
      </c>
      <c r="M620" s="27">
        <v>0.40104166666787933</v>
      </c>
      <c r="N620" s="567">
        <v>36738</v>
      </c>
      <c r="O620" s="434">
        <v>45803.220779082279</v>
      </c>
      <c r="P620" s="434">
        <v>30000</v>
      </c>
      <c r="Q620" s="69">
        <v>234.75557999999998</v>
      </c>
      <c r="R620" s="69">
        <v>232.24997999999997</v>
      </c>
      <c r="S620" s="69">
        <v>2.5056000000000154</v>
      </c>
      <c r="T620" s="435">
        <v>0.1567858892699667</v>
      </c>
      <c r="U620" s="435">
        <v>0.16047496901749528</v>
      </c>
      <c r="V620" s="435"/>
      <c r="W620" s="31"/>
      <c r="X620" s="32"/>
      <c r="Y620" s="33">
        <v>2.64</v>
      </c>
      <c r="Z620" s="33">
        <f t="shared" ref="Z620:Z640" si="115">H620*Y620</f>
        <v>48494.16</v>
      </c>
      <c r="AA620" s="33"/>
      <c r="AB620" s="33"/>
      <c r="AC620" s="438"/>
      <c r="AD620" s="33"/>
    </row>
    <row r="621" spans="1:30" ht="27.6" x14ac:dyDescent="0.3">
      <c r="A621" s="47">
        <v>44198.708333333336</v>
      </c>
      <c r="B621" s="47">
        <v>44201.510416666664</v>
      </c>
      <c r="C621" s="23"/>
      <c r="D621" s="14"/>
      <c r="E621" s="35" t="s">
        <v>162</v>
      </c>
      <c r="F621" s="641" t="s">
        <v>852</v>
      </c>
      <c r="G621" s="45" t="s">
        <v>328</v>
      </c>
      <c r="H621" s="487">
        <f>70900-H622-H623-H624</f>
        <v>50816</v>
      </c>
      <c r="I621" s="433"/>
      <c r="J621" s="433">
        <v>70900</v>
      </c>
      <c r="K621" s="26">
        <f>H621+H622+H623+H624-J621</f>
        <v>0</v>
      </c>
      <c r="L621" s="27">
        <f>B621-A621</f>
        <v>2.8020833333284827</v>
      </c>
      <c r="M621" s="27">
        <f>'[181]YUE DIAN 6'!$F$101</f>
        <v>1.6822916666593908</v>
      </c>
      <c r="N621" s="434">
        <f>(H621+H622+H623+H624)/L621</f>
        <v>25302.602230527071</v>
      </c>
      <c r="O621" s="434">
        <f>(H621+H622+H623+H624)/M621</f>
        <v>42144.891641049151</v>
      </c>
      <c r="P621" s="434">
        <v>30000</v>
      </c>
      <c r="Q621" s="69">
        <f>(262693/10000)*8.7</f>
        <v>228.54290999999998</v>
      </c>
      <c r="R621" s="69">
        <f>(248043/10000)*8.7</f>
        <v>215.79740999999999</v>
      </c>
      <c r="S621" s="69">
        <f>Q621-R621</f>
        <v>12.745499999999993</v>
      </c>
      <c r="T621" s="435">
        <f>S621/8.7*10000/(H621+H622+H623+H624)</f>
        <v>0.20662905500705209</v>
      </c>
      <c r="U621" s="435">
        <f>S621/8.5*10000/(H621+H622+H623+H624)</f>
        <v>0.21149091512486504</v>
      </c>
      <c r="V621" s="435"/>
      <c r="W621" s="436"/>
      <c r="X621" s="32"/>
      <c r="Y621" s="33">
        <v>2.64</v>
      </c>
      <c r="Z621" s="33">
        <f t="shared" si="115"/>
        <v>134154.24000000002</v>
      </c>
      <c r="AA621" s="33"/>
      <c r="AB621" s="33"/>
      <c r="AC621" s="438"/>
      <c r="AD621" s="33"/>
    </row>
    <row r="622" spans="1:30" x14ac:dyDescent="0.3">
      <c r="A622" s="146"/>
      <c r="B622" s="146"/>
      <c r="C622" s="23"/>
      <c r="D622" s="14"/>
      <c r="E622" s="35" t="s">
        <v>163</v>
      </c>
      <c r="F622" s="641"/>
      <c r="G622" s="45"/>
      <c r="H622" s="487">
        <v>6364</v>
      </c>
      <c r="I622" s="433"/>
      <c r="J622" s="433"/>
      <c r="K622" s="26"/>
      <c r="L622" s="636"/>
      <c r="M622" s="27"/>
      <c r="N622" s="462"/>
      <c r="O622" s="434"/>
      <c r="P622" s="434"/>
      <c r="Q622" s="69"/>
      <c r="R622" s="69"/>
      <c r="S622" s="69"/>
      <c r="T622" s="435"/>
      <c r="U622" s="435"/>
      <c r="V622" s="435"/>
      <c r="W622" s="31"/>
      <c r="X622" s="32"/>
      <c r="Y622" s="33">
        <v>6.5</v>
      </c>
      <c r="Z622" s="33">
        <f t="shared" si="115"/>
        <v>41366</v>
      </c>
      <c r="AA622" s="33"/>
      <c r="AB622" s="33"/>
      <c r="AC622" s="438"/>
      <c r="AD622" s="33"/>
    </row>
    <row r="623" spans="1:30" x14ac:dyDescent="0.3">
      <c r="A623" s="146"/>
      <c r="B623" s="146"/>
      <c r="C623" s="23"/>
      <c r="D623" s="14"/>
      <c r="E623" s="35" t="s">
        <v>163</v>
      </c>
      <c r="F623" s="641"/>
      <c r="G623" s="45"/>
      <c r="H623" s="487">
        <v>6174</v>
      </c>
      <c r="I623" s="433"/>
      <c r="J623" s="433"/>
      <c r="K623" s="26"/>
      <c r="L623" s="636"/>
      <c r="M623" s="27"/>
      <c r="N623" s="462"/>
      <c r="O623" s="434"/>
      <c r="P623" s="434"/>
      <c r="Q623" s="69"/>
      <c r="R623" s="69"/>
      <c r="S623" s="69"/>
      <c r="T623" s="435"/>
      <c r="U623" s="435"/>
      <c r="V623" s="435"/>
      <c r="W623" s="31"/>
      <c r="X623" s="32"/>
      <c r="Y623" s="33">
        <v>6.5</v>
      </c>
      <c r="Z623" s="33">
        <f t="shared" si="115"/>
        <v>40131</v>
      </c>
      <c r="AA623" s="33"/>
      <c r="AB623" s="33"/>
      <c r="AC623" s="438"/>
      <c r="AD623" s="33"/>
    </row>
    <row r="624" spans="1:30" x14ac:dyDescent="0.3">
      <c r="A624" s="146"/>
      <c r="B624" s="146"/>
      <c r="C624" s="23"/>
      <c r="D624" s="14"/>
      <c r="E624" s="35" t="s">
        <v>163</v>
      </c>
      <c r="F624" s="641"/>
      <c r="G624" s="45"/>
      <c r="H624" s="487">
        <v>7546</v>
      </c>
      <c r="I624" s="433"/>
      <c r="J624" s="433"/>
      <c r="K624" s="26"/>
      <c r="L624" s="636"/>
      <c r="M624" s="27"/>
      <c r="N624" s="462"/>
      <c r="O624" s="434"/>
      <c r="P624" s="434"/>
      <c r="Q624" s="69"/>
      <c r="R624" s="69"/>
      <c r="S624" s="69"/>
      <c r="T624" s="435"/>
      <c r="U624" s="435"/>
      <c r="V624" s="435"/>
      <c r="W624" s="31"/>
      <c r="X624" s="32"/>
      <c r="Y624" s="33">
        <v>6.5</v>
      </c>
      <c r="Z624" s="33">
        <f t="shared" si="115"/>
        <v>49049</v>
      </c>
      <c r="AA624" s="33"/>
      <c r="AB624" s="33"/>
      <c r="AC624" s="438"/>
      <c r="AD624" s="33"/>
    </row>
    <row r="625" spans="1:30" ht="27.6" x14ac:dyDescent="0.3">
      <c r="A625" s="47">
        <v>44202.645833333336</v>
      </c>
      <c r="B625" s="47">
        <v>44205.409722222219</v>
      </c>
      <c r="C625" s="23"/>
      <c r="D625" s="14"/>
      <c r="E625" s="35" t="s">
        <v>853</v>
      </c>
      <c r="F625" s="641" t="s">
        <v>852</v>
      </c>
      <c r="G625" s="45" t="s">
        <v>212</v>
      </c>
      <c r="H625" s="487">
        <f>49500-H626-H627</f>
        <v>35464</v>
      </c>
      <c r="I625" s="433"/>
      <c r="J625" s="433">
        <v>49500</v>
      </c>
      <c r="K625" s="26">
        <f>H625+H626+H627-J625</f>
        <v>0</v>
      </c>
      <c r="L625" s="27">
        <f>B625-A625</f>
        <v>2.7638888888832298</v>
      </c>
      <c r="M625" s="27">
        <f>'[181]WINNING BRIGHT'!$F$90</f>
        <v>1.0694444444331264</v>
      </c>
      <c r="N625" s="434">
        <f>(H625+H626+H627)/L625</f>
        <v>17909.547738730136</v>
      </c>
      <c r="O625" s="434">
        <f>(H625+H626+H627)/M625</f>
        <v>46285.714286204136</v>
      </c>
      <c r="P625" s="434">
        <v>30000</v>
      </c>
      <c r="Q625" s="69">
        <f>(246045/10000)*8.7</f>
        <v>214.05914999999999</v>
      </c>
      <c r="R625" s="69">
        <f>(234095/10000)*8.7</f>
        <v>203.66264999999999</v>
      </c>
      <c r="S625" s="69">
        <f>Q625-R625</f>
        <v>10.396500000000003</v>
      </c>
      <c r="T625" s="435">
        <f>S625/8.7*10000/(H625+H626+H627)</f>
        <v>0.24141414141414153</v>
      </c>
      <c r="U625" s="435">
        <f>S625/8.5*10000/(H625+H626+H627)</f>
        <v>0.24709447415329774</v>
      </c>
      <c r="V625" s="435"/>
      <c r="W625" s="31"/>
      <c r="X625" s="32"/>
      <c r="Y625" s="33">
        <v>2.64</v>
      </c>
      <c r="Z625" s="33">
        <f t="shared" si="115"/>
        <v>93624.960000000006</v>
      </c>
      <c r="AA625" s="33"/>
      <c r="AB625" s="33"/>
      <c r="AC625" s="438"/>
      <c r="AD625" s="33"/>
    </row>
    <row r="626" spans="1:30" x14ac:dyDescent="0.3">
      <c r="A626" s="146"/>
      <c r="B626" s="146"/>
      <c r="C626" s="23"/>
      <c r="D626" s="14"/>
      <c r="E626" s="35" t="s">
        <v>854</v>
      </c>
      <c r="F626" s="641"/>
      <c r="G626" s="45"/>
      <c r="H626" s="487">
        <v>7041</v>
      </c>
      <c r="I626" s="433"/>
      <c r="J626" s="433"/>
      <c r="K626" s="26"/>
      <c r="L626" s="636"/>
      <c r="M626" s="27"/>
      <c r="N626" s="462"/>
      <c r="O626" s="434"/>
      <c r="P626" s="434"/>
      <c r="Q626" s="69"/>
      <c r="R626" s="69"/>
      <c r="S626" s="69"/>
      <c r="T626" s="435"/>
      <c r="U626" s="435"/>
      <c r="V626" s="435"/>
      <c r="W626" s="31"/>
      <c r="X626" s="32"/>
      <c r="Y626" s="33">
        <v>6.5</v>
      </c>
      <c r="Z626" s="33">
        <f t="shared" si="115"/>
        <v>45766.5</v>
      </c>
      <c r="AA626" s="33"/>
      <c r="AB626" s="33"/>
      <c r="AC626" s="438"/>
      <c r="AD626" s="33"/>
    </row>
    <row r="627" spans="1:30" x14ac:dyDescent="0.3">
      <c r="A627" s="146"/>
      <c r="B627" s="439"/>
      <c r="C627" s="23"/>
      <c r="D627" s="23"/>
      <c r="E627" s="35" t="s">
        <v>854</v>
      </c>
      <c r="F627" s="641"/>
      <c r="G627" s="110"/>
      <c r="H627" s="487">
        <v>6995</v>
      </c>
      <c r="I627" s="433"/>
      <c r="J627" s="433"/>
      <c r="K627" s="26"/>
      <c r="L627" s="27"/>
      <c r="M627" s="27"/>
      <c r="N627" s="434"/>
      <c r="O627" s="434"/>
      <c r="P627" s="434"/>
      <c r="Q627" s="69"/>
      <c r="R627" s="69"/>
      <c r="S627" s="69"/>
      <c r="T627" s="435"/>
      <c r="U627" s="435"/>
      <c r="V627" s="69"/>
      <c r="W627" s="436"/>
      <c r="X627" s="437"/>
      <c r="Y627" s="33">
        <v>6.5</v>
      </c>
      <c r="Z627" s="33">
        <f t="shared" si="115"/>
        <v>45467.5</v>
      </c>
      <c r="AA627" s="33"/>
      <c r="AB627" s="33"/>
      <c r="AC627" s="438"/>
      <c r="AD627" s="33"/>
    </row>
    <row r="628" spans="1:30" x14ac:dyDescent="0.3">
      <c r="A628" s="47">
        <v>44207.083333333336</v>
      </c>
      <c r="B628" s="47">
        <v>44209.5625</v>
      </c>
      <c r="C628" s="23"/>
      <c r="D628" s="23"/>
      <c r="E628" s="35" t="s">
        <v>855</v>
      </c>
      <c r="F628" s="641"/>
      <c r="G628" s="110" t="s">
        <v>212</v>
      </c>
      <c r="H628" s="487">
        <f>55000-H629-H630</f>
        <v>44915</v>
      </c>
      <c r="I628" s="433"/>
      <c r="J628" s="433">
        <v>55000</v>
      </c>
      <c r="K628" s="26">
        <f>H628+H629+H630-J628</f>
        <v>0</v>
      </c>
      <c r="L628" s="27">
        <f>B628-A628</f>
        <v>2.4791666666642413</v>
      </c>
      <c r="M628" s="27">
        <f>'[181]CAS AVANCA'!$F$97</f>
        <v>1.1423611111119196</v>
      </c>
      <c r="N628" s="434">
        <f>(H628+H629+H630)/L628</f>
        <v>22184.873949601533</v>
      </c>
      <c r="O628" s="434">
        <f>(H628+H629+H630)/M628</f>
        <v>48145.896656500881</v>
      </c>
      <c r="P628" s="434">
        <v>30000</v>
      </c>
      <c r="Q628" s="69">
        <f>(231294/10000)*8.7</f>
        <v>201.22577999999999</v>
      </c>
      <c r="R628" s="69">
        <f>(218940/10000)*8.7</f>
        <v>190.47779999999997</v>
      </c>
      <c r="S628" s="69">
        <f>Q628-R628</f>
        <v>10.747980000000013</v>
      </c>
      <c r="T628" s="435">
        <f>S628/8.7*10000/(H628+H629+H630)</f>
        <v>0.22461818181818211</v>
      </c>
      <c r="U628" s="435">
        <f>S628/8.5*10000/(H628+H629+H630)</f>
        <v>0.22990331550802168</v>
      </c>
      <c r="V628" s="435"/>
      <c r="W628" s="436"/>
      <c r="X628" s="437"/>
      <c r="Y628" s="33">
        <v>2.64</v>
      </c>
      <c r="Z628" s="33">
        <f t="shared" si="115"/>
        <v>118575.6</v>
      </c>
      <c r="AA628" s="33"/>
      <c r="AB628" s="33"/>
      <c r="AC628" s="438"/>
      <c r="AD628" s="33"/>
    </row>
    <row r="629" spans="1:30" x14ac:dyDescent="0.3">
      <c r="A629" s="47"/>
      <c r="B629" s="47"/>
      <c r="C629" s="23"/>
      <c r="D629" s="23"/>
      <c r="E629" s="35" t="s">
        <v>856</v>
      </c>
      <c r="F629" s="641"/>
      <c r="G629" s="110"/>
      <c r="H629" s="487">
        <v>2763</v>
      </c>
      <c r="I629" s="433"/>
      <c r="J629" s="433"/>
      <c r="K629" s="26"/>
      <c r="L629" s="27"/>
      <c r="M629" s="27"/>
      <c r="N629" s="434"/>
      <c r="O629" s="434"/>
      <c r="P629" s="434"/>
      <c r="Q629" s="69"/>
      <c r="R629" s="69"/>
      <c r="S629" s="69"/>
      <c r="T629" s="435"/>
      <c r="U629" s="435"/>
      <c r="V629" s="435"/>
      <c r="W629" s="436"/>
      <c r="X629" s="437"/>
      <c r="Y629" s="33">
        <v>6.5</v>
      </c>
      <c r="Z629" s="33">
        <f t="shared" si="115"/>
        <v>17959.5</v>
      </c>
      <c r="AA629" s="33"/>
      <c r="AB629" s="33"/>
      <c r="AC629" s="438"/>
      <c r="AD629" s="33"/>
    </row>
    <row r="630" spans="1:30" x14ac:dyDescent="0.3">
      <c r="A630" s="47"/>
      <c r="B630" s="47"/>
      <c r="C630" s="23"/>
      <c r="D630" s="23"/>
      <c r="E630" s="35" t="s">
        <v>856</v>
      </c>
      <c r="F630" s="641"/>
      <c r="G630" s="110"/>
      <c r="H630" s="487">
        <v>7322</v>
      </c>
      <c r="I630" s="433"/>
      <c r="J630" s="433"/>
      <c r="K630" s="26"/>
      <c r="L630" s="27"/>
      <c r="M630" s="27"/>
      <c r="N630" s="434"/>
      <c r="O630" s="434"/>
      <c r="P630" s="434"/>
      <c r="Q630" s="69"/>
      <c r="R630" s="69"/>
      <c r="S630" s="69"/>
      <c r="T630" s="435"/>
      <c r="U630" s="435"/>
      <c r="V630" s="435"/>
      <c r="W630" s="436"/>
      <c r="X630" s="437"/>
      <c r="Y630" s="33">
        <v>6.5</v>
      </c>
      <c r="Z630" s="33">
        <f t="shared" si="115"/>
        <v>47593</v>
      </c>
      <c r="AA630" s="33"/>
      <c r="AB630" s="33"/>
      <c r="AC630" s="438"/>
      <c r="AD630" s="33"/>
    </row>
    <row r="631" spans="1:30" x14ac:dyDescent="0.3">
      <c r="A631" s="47">
        <v>44211.055555555555</v>
      </c>
      <c r="B631" s="47">
        <v>44212.159722222219</v>
      </c>
      <c r="C631" s="23"/>
      <c r="D631" s="23"/>
      <c r="E631" s="35" t="s">
        <v>857</v>
      </c>
      <c r="F631" s="641"/>
      <c r="G631" s="110" t="s">
        <v>328</v>
      </c>
      <c r="H631" s="487">
        <f>36532-H632</f>
        <v>28477</v>
      </c>
      <c r="I631" s="433"/>
      <c r="J631" s="433">
        <v>72100</v>
      </c>
      <c r="K631" s="26">
        <f>H631+H632-J631</f>
        <v>-35568</v>
      </c>
      <c r="L631" s="27">
        <f>B631-A631</f>
        <v>1.1041666666642413</v>
      </c>
      <c r="M631" s="27">
        <f>'[181]FORTUNE GENIUS'!$F$65</f>
        <v>0.83159722221777577</v>
      </c>
      <c r="N631" s="434">
        <f>(H631+H632)/L631</f>
        <v>33085.584905733049</v>
      </c>
      <c r="O631" s="434">
        <f>(H631+H632)/M631</f>
        <v>43929.920668293344</v>
      </c>
      <c r="P631" s="434">
        <v>30000</v>
      </c>
      <c r="Q631" s="69">
        <f>(216414/10000)*8.7</f>
        <v>188.28018</v>
      </c>
      <c r="R631" s="69">
        <f>(209861/10000)*8.7</f>
        <v>182.57907</v>
      </c>
      <c r="S631" s="69">
        <f>Q631-R631</f>
        <v>5.7011099999999999</v>
      </c>
      <c r="T631" s="435">
        <f>S631/8.7*10000/(H631+H632)</f>
        <v>0.17937698456148035</v>
      </c>
      <c r="U631" s="435">
        <f>S631/8.5*10000/(H631+H632)</f>
        <v>0.18359761949233869</v>
      </c>
      <c r="V631" s="435"/>
      <c r="W631" s="436"/>
      <c r="X631" s="437"/>
      <c r="Y631" s="33">
        <v>2.64</v>
      </c>
      <c r="Z631" s="33">
        <f t="shared" si="115"/>
        <v>75179.28</v>
      </c>
      <c r="AA631" s="33"/>
      <c r="AB631" s="33"/>
      <c r="AC631" s="438"/>
      <c r="AD631" s="33"/>
    </row>
    <row r="632" spans="1:30" x14ac:dyDescent="0.3">
      <c r="A632" s="47"/>
      <c r="B632" s="47"/>
      <c r="C632" s="23"/>
      <c r="D632" s="23"/>
      <c r="E632" s="35" t="s">
        <v>858</v>
      </c>
      <c r="F632" s="641"/>
      <c r="G632" s="110"/>
      <c r="H632" s="487">
        <v>8055</v>
      </c>
      <c r="I632" s="433"/>
      <c r="J632" s="433"/>
      <c r="K632" s="26"/>
      <c r="L632" s="27"/>
      <c r="M632" s="27"/>
      <c r="N632" s="434"/>
      <c r="O632" s="434"/>
      <c r="P632" s="434"/>
      <c r="Q632" s="69"/>
      <c r="R632" s="69"/>
      <c r="S632" s="69"/>
      <c r="T632" s="435"/>
      <c r="U632" s="435"/>
      <c r="V632" s="435"/>
      <c r="W632" s="436"/>
      <c r="X632" s="437"/>
      <c r="Y632" s="33">
        <v>6.5</v>
      </c>
      <c r="Z632" s="33">
        <f t="shared" si="115"/>
        <v>52357.5</v>
      </c>
      <c r="AA632" s="33"/>
      <c r="AB632" s="33"/>
      <c r="AC632" s="438"/>
      <c r="AD632" s="33"/>
    </row>
    <row r="633" spans="1:30" x14ac:dyDescent="0.3">
      <c r="A633" s="47">
        <v>44212.756944444445</v>
      </c>
      <c r="B633" s="47">
        <v>44216.704861111109</v>
      </c>
      <c r="C633" s="23"/>
      <c r="D633" s="23"/>
      <c r="E633" s="35" t="s">
        <v>111</v>
      </c>
      <c r="F633" s="641" t="s">
        <v>859</v>
      </c>
      <c r="G633" s="110" t="s">
        <v>328</v>
      </c>
      <c r="H633" s="487">
        <f>65500-H634</f>
        <v>62397</v>
      </c>
      <c r="I633" s="433"/>
      <c r="J633" s="433">
        <v>65500</v>
      </c>
      <c r="K633" s="26">
        <f>H633+H634-J633</f>
        <v>0</v>
      </c>
      <c r="L633" s="27">
        <f>B633-A633</f>
        <v>3.9479166666642413</v>
      </c>
      <c r="M633" s="27">
        <f>'[181]ANDHIKA PARAMESTI'!$F$103</f>
        <v>1.5486111111264715</v>
      </c>
      <c r="N633" s="434">
        <f>(H633+H634)/L633</f>
        <v>16591.029023756895</v>
      </c>
      <c r="O633" s="434">
        <f>(H633+H634)/M633</f>
        <v>42295.964125141014</v>
      </c>
      <c r="P633" s="434">
        <v>30000</v>
      </c>
      <c r="Q633" s="69">
        <f>(208812/10000)*8.7</f>
        <v>181.66643999999999</v>
      </c>
      <c r="R633" s="69">
        <f>(192859/10000)*8.7</f>
        <v>167.78733</v>
      </c>
      <c r="S633" s="69">
        <f>Q633-R633</f>
        <v>13.879109999999997</v>
      </c>
      <c r="T633" s="435">
        <f>S633/8.7*10000/(H633+H634)</f>
        <v>0.24355725190839689</v>
      </c>
      <c r="U633" s="435">
        <f>S633/8.5*10000/(H633+H634)</f>
        <v>0.24928801077682977</v>
      </c>
      <c r="V633" s="435"/>
      <c r="W633" s="436"/>
      <c r="X633" s="437"/>
      <c r="Y633" s="33">
        <v>2.64</v>
      </c>
      <c r="Z633" s="33">
        <f t="shared" si="115"/>
        <v>164728.08000000002</v>
      </c>
      <c r="AA633" s="33"/>
      <c r="AB633" s="33"/>
      <c r="AC633" s="438"/>
      <c r="AD633" s="33"/>
    </row>
    <row r="634" spans="1:30" x14ac:dyDescent="0.3">
      <c r="A634" s="47"/>
      <c r="B634" s="47"/>
      <c r="C634" s="23"/>
      <c r="D634" s="23"/>
      <c r="E634" s="35" t="s">
        <v>161</v>
      </c>
      <c r="F634" s="641"/>
      <c r="G634" s="110"/>
      <c r="H634" s="487">
        <v>3103</v>
      </c>
      <c r="I634" s="433"/>
      <c r="J634" s="433"/>
      <c r="K634" s="26"/>
      <c r="L634" s="27"/>
      <c r="M634" s="27"/>
      <c r="N634" s="434"/>
      <c r="O634" s="434"/>
      <c r="P634" s="434"/>
      <c r="Q634" s="69"/>
      <c r="R634" s="69"/>
      <c r="S634" s="69"/>
      <c r="T634" s="435"/>
      <c r="U634" s="435"/>
      <c r="V634" s="435"/>
      <c r="W634" s="436"/>
      <c r="X634" s="437"/>
      <c r="Y634" s="33">
        <v>6.5</v>
      </c>
      <c r="Z634" s="33">
        <f t="shared" si="115"/>
        <v>20169.5</v>
      </c>
      <c r="AA634" s="33"/>
      <c r="AB634" s="33"/>
      <c r="AC634" s="438"/>
      <c r="AD634" s="33"/>
    </row>
    <row r="635" spans="1:30" ht="27.6" x14ac:dyDescent="0.3">
      <c r="A635" s="47">
        <v>44217.3125</v>
      </c>
      <c r="B635" s="47">
        <v>44220.427083333336</v>
      </c>
      <c r="C635" s="23"/>
      <c r="D635" s="23"/>
      <c r="E635" s="35" t="s">
        <v>860</v>
      </c>
      <c r="F635" s="641" t="s">
        <v>852</v>
      </c>
      <c r="G635" s="110" t="s">
        <v>328</v>
      </c>
      <c r="H635" s="487">
        <f>79060-H636-H637</f>
        <v>65728</v>
      </c>
      <c r="I635" s="433"/>
      <c r="J635" s="433">
        <v>79005</v>
      </c>
      <c r="K635" s="26">
        <f>H635+H636+H637-J635</f>
        <v>55</v>
      </c>
      <c r="L635" s="27">
        <f>B635-A635</f>
        <v>3.1145833333357587</v>
      </c>
      <c r="M635" s="27">
        <f>'[181]PRESINGE TRADER'!$F$117</f>
        <v>1.6631944444731441</v>
      </c>
      <c r="N635" s="434">
        <f>(H635+H636+H637)/L635</f>
        <v>25383.812709010333</v>
      </c>
      <c r="O635" s="434">
        <f>(H635+H636+H637)/M635</f>
        <v>47535.03131441983</v>
      </c>
      <c r="P635" s="434">
        <v>30000</v>
      </c>
      <c r="Q635" s="69">
        <f>(191764/10000)*8.7</f>
        <v>166.83467999999999</v>
      </c>
      <c r="R635" s="69">
        <f>(175935/10000)*8.7</f>
        <v>153.06344999999999</v>
      </c>
      <c r="S635" s="69">
        <f>Q635-R635</f>
        <v>13.771230000000003</v>
      </c>
      <c r="T635" s="435">
        <f>S635/8.7*10000/(H635+H636+H637)</f>
        <v>0.20021502656210477</v>
      </c>
      <c r="U635" s="435">
        <f>S635/8.5*10000/(H635+H636+H637)</f>
        <v>0.20492596836356605</v>
      </c>
      <c r="V635" s="435"/>
      <c r="W635" s="436"/>
      <c r="X635" s="437"/>
      <c r="Y635" s="33">
        <v>2.64</v>
      </c>
      <c r="Z635" s="33">
        <f t="shared" si="115"/>
        <v>173521.92000000001</v>
      </c>
      <c r="AA635" s="33"/>
      <c r="AB635" s="33"/>
      <c r="AC635" s="438"/>
      <c r="AD635" s="33"/>
    </row>
    <row r="636" spans="1:30" x14ac:dyDescent="0.3">
      <c r="A636" s="47"/>
      <c r="B636" s="47"/>
      <c r="C636" s="23"/>
      <c r="D636" s="23"/>
      <c r="E636" s="35" t="s">
        <v>861</v>
      </c>
      <c r="F636" s="641"/>
      <c r="G636" s="110"/>
      <c r="H636" s="487">
        <v>6309</v>
      </c>
      <c r="I636" s="433"/>
      <c r="J636" s="433"/>
      <c r="K636" s="26"/>
      <c r="L636" s="27"/>
      <c r="M636" s="27"/>
      <c r="N636" s="434"/>
      <c r="O636" s="434"/>
      <c r="P636" s="434"/>
      <c r="Q636" s="69"/>
      <c r="R636" s="69"/>
      <c r="S636" s="69"/>
      <c r="T636" s="435"/>
      <c r="U636" s="435"/>
      <c r="V636" s="435"/>
      <c r="W636" s="436"/>
      <c r="X636" s="437"/>
      <c r="Y636" s="33">
        <v>6.5</v>
      </c>
      <c r="Z636" s="33">
        <f t="shared" si="115"/>
        <v>41008.5</v>
      </c>
      <c r="AA636" s="33"/>
      <c r="AB636" s="33"/>
      <c r="AC636" s="438"/>
      <c r="AD636" s="33"/>
    </row>
    <row r="637" spans="1:30" x14ac:dyDescent="0.3">
      <c r="A637" s="47"/>
      <c r="B637" s="47"/>
      <c r="C637" s="23"/>
      <c r="D637" s="23"/>
      <c r="E637" s="35" t="s">
        <v>861</v>
      </c>
      <c r="F637" s="641"/>
      <c r="G637" s="110"/>
      <c r="H637" s="487">
        <v>7023</v>
      </c>
      <c r="I637" s="433"/>
      <c r="J637" s="433"/>
      <c r="K637" s="26"/>
      <c r="L637" s="27"/>
      <c r="M637" s="27"/>
      <c r="N637" s="434"/>
      <c r="O637" s="434"/>
      <c r="P637" s="434"/>
      <c r="Q637" s="69"/>
      <c r="R637" s="69"/>
      <c r="S637" s="69"/>
      <c r="T637" s="435"/>
      <c r="U637" s="435"/>
      <c r="V637" s="435"/>
      <c r="W637" s="436"/>
      <c r="X637" s="437"/>
      <c r="Y637" s="33">
        <v>6.5</v>
      </c>
      <c r="Z637" s="33">
        <f t="shared" si="115"/>
        <v>45649.5</v>
      </c>
      <c r="AA637" s="33"/>
      <c r="AB637" s="33"/>
      <c r="AC637" s="438"/>
      <c r="AD637" s="33"/>
    </row>
    <row r="638" spans="1:30" x14ac:dyDescent="0.3">
      <c r="A638" s="47">
        <v>44220.8125</v>
      </c>
      <c r="B638" s="47">
        <v>44222.222222222219</v>
      </c>
      <c r="C638" s="23"/>
      <c r="D638" s="23"/>
      <c r="E638" s="35" t="s">
        <v>232</v>
      </c>
      <c r="F638" s="641"/>
      <c r="G638" s="110" t="s">
        <v>32</v>
      </c>
      <c r="H638" s="487">
        <v>44024</v>
      </c>
      <c r="I638" s="433"/>
      <c r="J638" s="433">
        <v>79200</v>
      </c>
      <c r="K638" s="26">
        <f>H638-J638</f>
        <v>-35176</v>
      </c>
      <c r="L638" s="27">
        <f>B638-A638</f>
        <v>1.4097222222189885</v>
      </c>
      <c r="M638" s="27">
        <f>'[181]HL IBT'!$F$62</f>
        <v>0.90972222223232768</v>
      </c>
      <c r="N638" s="434">
        <f>(H638)/L638</f>
        <v>31228.84729071203</v>
      </c>
      <c r="O638" s="434">
        <f>(H638)/M638</f>
        <v>48392.793892592206</v>
      </c>
      <c r="P638" s="434">
        <v>30000</v>
      </c>
      <c r="Q638" s="69">
        <f>(175178/10000)*8.7</f>
        <v>152.40485999999999</v>
      </c>
      <c r="R638" s="69">
        <f>(167008/10000)*8.7</f>
        <v>145.29695999999998</v>
      </c>
      <c r="S638" s="69">
        <f>Q638-R638</f>
        <v>7.1079000000000008</v>
      </c>
      <c r="T638" s="435">
        <f>S638/8.7*10000/(H638)</f>
        <v>0.18558059240414324</v>
      </c>
      <c r="U638" s="435">
        <f>S638/8.5*10000/(H638)</f>
        <v>0.18994719457835837</v>
      </c>
      <c r="V638" s="435"/>
      <c r="W638" s="436"/>
      <c r="X638" s="437"/>
      <c r="Y638" s="33">
        <v>2.64</v>
      </c>
      <c r="Z638" s="33">
        <f t="shared" si="115"/>
        <v>116223.36</v>
      </c>
      <c r="AA638" s="33"/>
      <c r="AB638" s="33"/>
      <c r="AC638" s="438"/>
      <c r="AD638" s="33"/>
    </row>
    <row r="639" spans="1:30" x14ac:dyDescent="0.3">
      <c r="A639" s="47">
        <v>44222.770833333336</v>
      </c>
      <c r="B639" s="47">
        <v>44225.631944444445</v>
      </c>
      <c r="C639" s="23"/>
      <c r="D639" s="23"/>
      <c r="E639" s="35" t="s">
        <v>186</v>
      </c>
      <c r="F639" s="641"/>
      <c r="G639" s="110" t="s">
        <v>212</v>
      </c>
      <c r="H639" s="487">
        <v>52350</v>
      </c>
      <c r="I639" s="433"/>
      <c r="J639" s="433">
        <v>52350</v>
      </c>
      <c r="K639" s="26">
        <f>H639-J639</f>
        <v>0</v>
      </c>
      <c r="L639" s="27">
        <f>B639-A639</f>
        <v>2.8611111111094942</v>
      </c>
      <c r="M639" s="27">
        <f>'[181]NAVIOS ASTRA'!$F$101</f>
        <v>1.0625000000169773</v>
      </c>
      <c r="N639" s="434">
        <f>(H639)/L639</f>
        <v>18297.087378651118</v>
      </c>
      <c r="O639" s="434">
        <f>(H639)/M639</f>
        <v>49270.588234506838</v>
      </c>
      <c r="P639" s="434">
        <v>30000</v>
      </c>
      <c r="Q639" s="69">
        <f>(166342/10000)*8.7</f>
        <v>144.71753999999999</v>
      </c>
      <c r="R639" s="69">
        <f>(154607/10000)*8.7</f>
        <v>134.50808999999998</v>
      </c>
      <c r="S639" s="69">
        <f>Q639-R639</f>
        <v>10.209450000000004</v>
      </c>
      <c r="T639" s="435">
        <f>S639/8.7*10000/(H639)</f>
        <v>0.22416427889207272</v>
      </c>
      <c r="U639" s="435">
        <f>S639/8.5*10000/(H639)</f>
        <v>0.22943873251306263</v>
      </c>
      <c r="V639" s="435"/>
      <c r="W639" s="436"/>
      <c r="X639" s="437"/>
      <c r="Y639" s="33">
        <v>2.64</v>
      </c>
      <c r="Z639" s="33">
        <f t="shared" si="115"/>
        <v>138204</v>
      </c>
      <c r="AA639" s="33"/>
      <c r="AB639" s="33"/>
      <c r="AC639" s="438"/>
      <c r="AD639" s="33"/>
    </row>
    <row r="640" spans="1:30" x14ac:dyDescent="0.3">
      <c r="A640" s="47">
        <v>44226.847222222219</v>
      </c>
      <c r="B640" s="47">
        <v>44227.479166666664</v>
      </c>
      <c r="C640" s="23"/>
      <c r="D640" s="23"/>
      <c r="E640" s="35" t="s">
        <v>862</v>
      </c>
      <c r="F640" s="641"/>
      <c r="G640" s="110" t="s">
        <v>32</v>
      </c>
      <c r="H640" s="487">
        <v>18799</v>
      </c>
      <c r="I640" s="433"/>
      <c r="J640" s="433">
        <v>71700</v>
      </c>
      <c r="K640" s="26">
        <f>H640-J640</f>
        <v>-52901</v>
      </c>
      <c r="L640" s="27">
        <f>B640-A640</f>
        <v>0.63194444444525288</v>
      </c>
      <c r="M640" s="27">
        <f>'[181]YUE GUAN FENG'!$F$46</f>
        <v>0.42187499999636202</v>
      </c>
      <c r="N640" s="434">
        <f>(H640)/L640</f>
        <v>29747.868131830077</v>
      </c>
      <c r="O640" s="434">
        <f>(H640)/M640</f>
        <v>44560.592592976856</v>
      </c>
      <c r="P640" s="434">
        <v>30000</v>
      </c>
      <c r="Q640" s="69">
        <f>(152272/10000)*8.7</f>
        <v>132.47663999999997</v>
      </c>
      <c r="R640" s="69">
        <f>(148766/10000)*8.7</f>
        <v>129.42641999999998</v>
      </c>
      <c r="S640" s="69">
        <f>Q640-R640</f>
        <v>3.0502199999999959</v>
      </c>
      <c r="T640" s="435">
        <f>S640/8.7*10000/(H640)</f>
        <v>0.18649928187669534</v>
      </c>
      <c r="U640" s="435">
        <f>S640/8.5*10000/(H640)</f>
        <v>0.19088750027379406</v>
      </c>
      <c r="V640" s="435"/>
      <c r="W640" s="436"/>
      <c r="X640" s="437"/>
      <c r="Y640" s="33">
        <v>2.64</v>
      </c>
      <c r="Z640" s="33">
        <f t="shared" si="115"/>
        <v>49629.36</v>
      </c>
      <c r="AA640" s="33"/>
      <c r="AB640" s="33"/>
      <c r="AC640" s="438"/>
      <c r="AD640" s="33"/>
    </row>
    <row r="641" spans="1:30" x14ac:dyDescent="0.3">
      <c r="A641" s="439"/>
      <c r="B641" s="439"/>
      <c r="C641" s="23"/>
      <c r="D641" s="23"/>
      <c r="E641" s="39"/>
      <c r="F641" s="642"/>
      <c r="G641" s="110"/>
      <c r="H641" s="619"/>
      <c r="I641" s="433"/>
      <c r="J641" s="433"/>
      <c r="K641" s="26"/>
      <c r="L641" s="27"/>
      <c r="M641" s="27"/>
      <c r="N641" s="434"/>
      <c r="O641" s="434"/>
      <c r="P641" s="434"/>
      <c r="Q641" s="69"/>
      <c r="R641" s="69"/>
      <c r="S641" s="69"/>
      <c r="T641" s="435"/>
      <c r="U641" s="435"/>
      <c r="V641" s="435"/>
      <c r="W641" s="436"/>
      <c r="X641" s="437"/>
      <c r="Y641" s="19"/>
      <c r="Z641" s="19"/>
      <c r="AA641" s="33"/>
      <c r="AB641" s="33"/>
      <c r="AC641" s="438"/>
      <c r="AD641" s="33"/>
    </row>
    <row r="642" spans="1:30" x14ac:dyDescent="0.3">
      <c r="A642" s="20"/>
      <c r="B642" s="20"/>
      <c r="C642" s="20">
        <v>1000000001</v>
      </c>
      <c r="D642" s="20"/>
      <c r="E642" s="21" t="s">
        <v>30</v>
      </c>
      <c r="F642" s="643"/>
      <c r="G642" s="644"/>
      <c r="H642" s="485">
        <f>SUM(H620:H641)</f>
        <v>490034</v>
      </c>
      <c r="I642" s="431"/>
      <c r="J642" s="431"/>
      <c r="K642" s="431"/>
      <c r="L642" s="431"/>
      <c r="M642" s="431"/>
      <c r="N642" s="431">
        <f>AVERAGE(N620:N640)</f>
        <v>25646.92533585522</v>
      </c>
      <c r="O642" s="431">
        <f>AVERAGE(O620:O640)</f>
        <v>45836.461419076652</v>
      </c>
      <c r="P642" s="431"/>
      <c r="Q642" s="431"/>
      <c r="R642" s="431"/>
      <c r="S642" s="440">
        <f>SUM(S619:S641)</f>
        <v>90.114600000000024</v>
      </c>
      <c r="T642" s="441">
        <f>S642/8.7*10000/H642</f>
        <v>0.21137308839794799</v>
      </c>
      <c r="U642" s="440"/>
      <c r="V642" s="440"/>
      <c r="W642" s="442"/>
      <c r="X642" s="22"/>
      <c r="Y642" s="22"/>
      <c r="Z642" s="432">
        <f>SUM(Z620:Z641)</f>
        <v>1558852.4600000002</v>
      </c>
      <c r="AA642" s="432"/>
      <c r="AB642" s="432"/>
      <c r="AC642" s="432"/>
      <c r="AD642" s="432"/>
    </row>
    <row r="643" spans="1:30" x14ac:dyDescent="0.3">
      <c r="A643" s="24"/>
      <c r="B643" s="24"/>
      <c r="C643" s="24"/>
      <c r="D643" s="24"/>
      <c r="E643" s="24"/>
      <c r="F643" s="12"/>
      <c r="G643" s="110"/>
      <c r="H643" s="110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435"/>
      <c r="W643" s="436"/>
      <c r="X643" s="437"/>
      <c r="Y643" s="33"/>
      <c r="Z643" s="33"/>
      <c r="AA643" s="33"/>
      <c r="AB643" s="33"/>
      <c r="AC643" s="438"/>
      <c r="AD643" s="33"/>
    </row>
    <row r="644" spans="1:30" x14ac:dyDescent="0.3">
      <c r="A644" s="47">
        <v>44227.71875</v>
      </c>
      <c r="B644" s="47">
        <v>44230.034722222219</v>
      </c>
      <c r="C644" s="23"/>
      <c r="D644" s="14"/>
      <c r="E644" s="35" t="s">
        <v>863</v>
      </c>
      <c r="F644" s="641"/>
      <c r="G644" s="110" t="s">
        <v>212</v>
      </c>
      <c r="H644" s="487">
        <f>55000-H645-H646</f>
        <v>42539</v>
      </c>
      <c r="I644" s="433"/>
      <c r="J644" s="433">
        <v>55000</v>
      </c>
      <c r="K644" s="26">
        <f>H644+H645+H646-J644</f>
        <v>0</v>
      </c>
      <c r="L644" s="27">
        <f>B644-A644</f>
        <v>2.3159722222189885</v>
      </c>
      <c r="M644" s="27">
        <f>'[182]LUMOSO LESTARI'!$F$136</f>
        <v>1.1701388888711033</v>
      </c>
      <c r="N644" s="434">
        <f>(H644+H645+H646)/L644</f>
        <v>23748.125937064644</v>
      </c>
      <c r="O644" s="434">
        <f>(H644+H645+H646)/M644</f>
        <v>47002.967359764873</v>
      </c>
      <c r="P644" s="434">
        <v>30000</v>
      </c>
      <c r="Q644" s="69">
        <f>(148301/10000)*8.7</f>
        <v>129.02186999999998</v>
      </c>
      <c r="R644" s="69">
        <f>(135456/10000)*8.7</f>
        <v>117.84671999999999</v>
      </c>
      <c r="S644" s="69">
        <f>Q644-R644</f>
        <v>11.175149999999988</v>
      </c>
      <c r="T644" s="435">
        <f>S644/8.7*10000/(H644+H645+H646)</f>
        <v>0.23354545454545431</v>
      </c>
      <c r="U644" s="435">
        <f>S644/8.5*10000/(H644+H645+H646)</f>
        <v>0.23904064171122968</v>
      </c>
      <c r="V644" s="435"/>
      <c r="W644" s="31"/>
      <c r="X644" s="32"/>
      <c r="Y644" s="33">
        <v>2.64</v>
      </c>
      <c r="Z644" s="33">
        <f t="shared" ref="Z644:Z662" si="116">H644*Y644</f>
        <v>112302.96</v>
      </c>
      <c r="AA644" s="33"/>
      <c r="AB644" s="33"/>
      <c r="AC644" s="438"/>
      <c r="AD644" s="33"/>
    </row>
    <row r="645" spans="1:30" x14ac:dyDescent="0.3">
      <c r="A645" s="47"/>
      <c r="B645" s="47"/>
      <c r="C645" s="23"/>
      <c r="D645" s="14"/>
      <c r="E645" s="35" t="s">
        <v>864</v>
      </c>
      <c r="F645" s="641"/>
      <c r="G645" s="110"/>
      <c r="H645" s="487">
        <v>7842</v>
      </c>
      <c r="I645" s="433"/>
      <c r="J645" s="433"/>
      <c r="K645" s="26"/>
      <c r="L645" s="27"/>
      <c r="M645" s="27"/>
      <c r="N645" s="434"/>
      <c r="O645" s="434"/>
      <c r="P645" s="434"/>
      <c r="Q645" s="69"/>
      <c r="R645" s="69"/>
      <c r="S645" s="69"/>
      <c r="T645" s="435"/>
      <c r="U645" s="435"/>
      <c r="V645" s="435"/>
      <c r="W645" s="31"/>
      <c r="X645" s="32"/>
      <c r="Y645" s="33">
        <v>6.5</v>
      </c>
      <c r="Z645" s="33">
        <f t="shared" si="116"/>
        <v>50973</v>
      </c>
      <c r="AA645" s="33"/>
      <c r="AB645" s="33"/>
      <c r="AC645" s="438"/>
      <c r="AD645" s="33"/>
    </row>
    <row r="646" spans="1:30" x14ac:dyDescent="0.3">
      <c r="A646" s="47"/>
      <c r="B646" s="47"/>
      <c r="C646" s="23"/>
      <c r="D646" s="14"/>
      <c r="E646" s="35" t="s">
        <v>864</v>
      </c>
      <c r="F646" s="641"/>
      <c r="G646" s="110"/>
      <c r="H646" s="487">
        <v>4619</v>
      </c>
      <c r="I646" s="433"/>
      <c r="J646" s="433"/>
      <c r="K646" s="26"/>
      <c r="L646" s="27"/>
      <c r="M646" s="27"/>
      <c r="N646" s="434"/>
      <c r="O646" s="434"/>
      <c r="P646" s="434"/>
      <c r="Q646" s="69"/>
      <c r="R646" s="69"/>
      <c r="S646" s="69"/>
      <c r="T646" s="435"/>
      <c r="U646" s="435"/>
      <c r="V646" s="435"/>
      <c r="W646" s="31"/>
      <c r="X646" s="32"/>
      <c r="Y646" s="33">
        <v>6.5</v>
      </c>
      <c r="Z646" s="33">
        <f t="shared" si="116"/>
        <v>30023.5</v>
      </c>
      <c r="AA646" s="33"/>
      <c r="AB646" s="33"/>
      <c r="AC646" s="438"/>
      <c r="AD646" s="33"/>
    </row>
    <row r="647" spans="1:30" x14ac:dyDescent="0.3">
      <c r="A647" s="47">
        <v>44233.625</v>
      </c>
      <c r="B647" s="47">
        <v>44235.805555555555</v>
      </c>
      <c r="C647" s="23"/>
      <c r="D647" s="14"/>
      <c r="E647" s="35" t="s">
        <v>597</v>
      </c>
      <c r="F647" s="641"/>
      <c r="G647" s="110" t="s">
        <v>32</v>
      </c>
      <c r="H647" s="487">
        <v>36559</v>
      </c>
      <c r="I647" s="433"/>
      <c r="J647" s="433">
        <v>68100</v>
      </c>
      <c r="K647" s="26">
        <f>H647-J647</f>
        <v>-31541</v>
      </c>
      <c r="L647" s="27">
        <f>B647-A647</f>
        <v>2.1805555555547471</v>
      </c>
      <c r="M647" s="27">
        <f>'[182]HONG MERIT'!$F$82</f>
        <v>0.85243055554989644</v>
      </c>
      <c r="N647" s="434">
        <f>(H647)/L647</f>
        <v>16765.910828031694</v>
      </c>
      <c r="O647" s="434">
        <f>(H647)/M647</f>
        <v>42887.951120447658</v>
      </c>
      <c r="P647" s="434">
        <v>30000</v>
      </c>
      <c r="Q647" s="69">
        <f>(117549/10000)*8.7</f>
        <v>102.26762999999998</v>
      </c>
      <c r="R647" s="69">
        <f>(107595/10000)*8.7</f>
        <v>93.607649999999978</v>
      </c>
      <c r="S647" s="69">
        <f>Q647-R647</f>
        <v>8.6599800000000045</v>
      </c>
      <c r="T647" s="435">
        <f>S647/8.7*10000/(H647)</f>
        <v>0.27227221751142006</v>
      </c>
      <c r="U647" s="435">
        <f>S647/8.5*10000/(H647)</f>
        <v>0.27867862262933579</v>
      </c>
      <c r="V647" s="435"/>
      <c r="W647" s="31"/>
      <c r="X647" s="32"/>
      <c r="Y647" s="33">
        <v>2.64</v>
      </c>
      <c r="Z647" s="33">
        <f t="shared" si="116"/>
        <v>96515.760000000009</v>
      </c>
      <c r="AA647" s="33"/>
      <c r="AB647" s="33"/>
      <c r="AC647" s="438"/>
      <c r="AD647" s="33"/>
    </row>
    <row r="648" spans="1:30" x14ac:dyDescent="0.3">
      <c r="A648" s="47">
        <v>44236.583333333336</v>
      </c>
      <c r="B648" s="47">
        <v>44237.319444444445</v>
      </c>
      <c r="C648" s="23"/>
      <c r="D648" s="14"/>
      <c r="E648" s="35" t="s">
        <v>865</v>
      </c>
      <c r="F648" s="641"/>
      <c r="G648" s="110" t="s">
        <v>328</v>
      </c>
      <c r="H648" s="487">
        <f>19632-H649</f>
        <v>12584</v>
      </c>
      <c r="I648" s="433"/>
      <c r="J648" s="433">
        <v>68400</v>
      </c>
      <c r="K648" s="26">
        <f>H648-J648-H649</f>
        <v>-62864</v>
      </c>
      <c r="L648" s="27">
        <f>B648-A648</f>
        <v>0.73611111110949423</v>
      </c>
      <c r="M648" s="27">
        <f>[182]ELLA!$F$44</f>
        <v>0.39409722221171251</v>
      </c>
      <c r="N648" s="434">
        <f>(H648+H649)/L648</f>
        <v>26669.88679251141</v>
      </c>
      <c r="O648" s="434">
        <f>(H648+H649)/M648</f>
        <v>49815.118944059737</v>
      </c>
      <c r="P648" s="434">
        <v>30000</v>
      </c>
      <c r="Q648" s="69">
        <f>(106181/10000)*8.7</f>
        <v>92.377469999999988</v>
      </c>
      <c r="R648" s="69">
        <f>(102122/10000)*8.7</f>
        <v>88.846139999999991</v>
      </c>
      <c r="S648" s="69">
        <f>Q648-R648</f>
        <v>3.531329999999997</v>
      </c>
      <c r="T648" s="435">
        <f>S648/8.7*10000/(H648+H649)</f>
        <v>0.20675427872860622</v>
      </c>
      <c r="U648" s="435">
        <f>S648/8.5*10000/(H648+H649)</f>
        <v>0.2116190852869263</v>
      </c>
      <c r="V648" s="435"/>
      <c r="W648" s="31"/>
      <c r="X648" s="32"/>
      <c r="Y648" s="33">
        <v>2.64</v>
      </c>
      <c r="Z648" s="33">
        <f t="shared" si="116"/>
        <v>33221.760000000002</v>
      </c>
      <c r="AA648" s="33"/>
      <c r="AB648" s="33"/>
      <c r="AC648" s="438"/>
      <c r="AD648" s="33"/>
    </row>
    <row r="649" spans="1:30" x14ac:dyDescent="0.3">
      <c r="A649" s="47"/>
      <c r="B649" s="47"/>
      <c r="C649" s="23"/>
      <c r="D649" s="14"/>
      <c r="E649" s="35" t="s">
        <v>866</v>
      </c>
      <c r="F649" s="641"/>
      <c r="G649" s="110"/>
      <c r="H649" s="487">
        <v>7048</v>
      </c>
      <c r="I649" s="433"/>
      <c r="J649" s="433"/>
      <c r="K649" s="26"/>
      <c r="L649" s="27"/>
      <c r="M649" s="27"/>
      <c r="N649" s="434"/>
      <c r="O649" s="434"/>
      <c r="P649" s="434"/>
      <c r="Q649" s="69"/>
      <c r="R649" s="69"/>
      <c r="S649" s="69"/>
      <c r="T649" s="435"/>
      <c r="U649" s="435"/>
      <c r="V649" s="435"/>
      <c r="W649" s="31"/>
      <c r="X649" s="32"/>
      <c r="Y649" s="33">
        <v>6.5</v>
      </c>
      <c r="Z649" s="33">
        <f t="shared" si="116"/>
        <v>45812</v>
      </c>
      <c r="AA649" s="33"/>
      <c r="AB649" s="33"/>
      <c r="AC649" s="438"/>
      <c r="AD649" s="33"/>
    </row>
    <row r="650" spans="1:30" x14ac:dyDescent="0.3">
      <c r="A650" s="47">
        <v>44237.854166666664</v>
      </c>
      <c r="B650" s="47">
        <v>44240.34375</v>
      </c>
      <c r="C650" s="23"/>
      <c r="D650" s="23"/>
      <c r="E650" s="35" t="s">
        <v>35</v>
      </c>
      <c r="F650" s="641" t="s">
        <v>859</v>
      </c>
      <c r="G650" s="110" t="s">
        <v>328</v>
      </c>
      <c r="H650" s="487">
        <f>65500-H651-H652</f>
        <v>56188</v>
      </c>
      <c r="I650" s="433"/>
      <c r="J650" s="433">
        <v>65500</v>
      </c>
      <c r="K650" s="26">
        <f>H650+H651+H652-J650</f>
        <v>0</v>
      </c>
      <c r="L650" s="27">
        <f>B650-A650</f>
        <v>2.4895833333357587</v>
      </c>
      <c r="M650" s="27">
        <f>'[182]ANDHIKA NARESWARI'!$F$97</f>
        <v>1.8246527777834369</v>
      </c>
      <c r="N650" s="434">
        <f>(H650+H651+H652)/L650</f>
        <v>26309.623430936714</v>
      </c>
      <c r="O650" s="434">
        <f>(H650+H651+H652)/M650</f>
        <v>35897.240723009505</v>
      </c>
      <c r="P650" s="434">
        <v>30000</v>
      </c>
      <c r="Q650" s="69">
        <f>(101219/10000)*8.7</f>
        <v>88.06053</v>
      </c>
      <c r="R650" s="69">
        <f>(87153/10000)*8.7</f>
        <v>75.823109999999986</v>
      </c>
      <c r="S650" s="69">
        <f>Q650-R650</f>
        <v>12.237420000000014</v>
      </c>
      <c r="T650" s="435">
        <f>S650/8.7*10000/(H650+H651+H652)</f>
        <v>0.21474809160305372</v>
      </c>
      <c r="U650" s="435">
        <f>S650/8.5*10000/(H650+H651+H652)</f>
        <v>0.21980098787606669</v>
      </c>
      <c r="V650" s="69"/>
      <c r="W650" s="436"/>
      <c r="X650" s="437"/>
      <c r="Y650" s="33">
        <v>2.64</v>
      </c>
      <c r="Z650" s="33">
        <f t="shared" si="116"/>
        <v>148336.32000000001</v>
      </c>
      <c r="AA650" s="33"/>
      <c r="AB650" s="33"/>
      <c r="AC650" s="438"/>
      <c r="AD650" s="33"/>
    </row>
    <row r="651" spans="1:30" x14ac:dyDescent="0.3">
      <c r="A651" s="146"/>
      <c r="B651" s="146"/>
      <c r="C651" s="23"/>
      <c r="D651" s="23"/>
      <c r="E651" s="35" t="s">
        <v>388</v>
      </c>
      <c r="F651" s="641"/>
      <c r="G651" s="110"/>
      <c r="H651" s="487">
        <v>6183</v>
      </c>
      <c r="I651" s="433"/>
      <c r="J651" s="433"/>
      <c r="K651" s="26"/>
      <c r="L651" s="27"/>
      <c r="M651" s="27"/>
      <c r="N651" s="462"/>
      <c r="O651" s="434"/>
      <c r="P651" s="434"/>
      <c r="Q651" s="69"/>
      <c r="R651" s="69"/>
      <c r="S651" s="69"/>
      <c r="T651" s="435"/>
      <c r="U651" s="435"/>
      <c r="V651" s="435"/>
      <c r="W651" s="436"/>
      <c r="X651" s="437"/>
      <c r="Y651" s="33">
        <v>6.5</v>
      </c>
      <c r="Z651" s="33">
        <f t="shared" si="116"/>
        <v>40189.5</v>
      </c>
      <c r="AA651" s="33"/>
      <c r="AB651" s="33"/>
      <c r="AC651" s="438"/>
      <c r="AD651" s="33"/>
    </row>
    <row r="652" spans="1:30" x14ac:dyDescent="0.3">
      <c r="A652" s="146"/>
      <c r="B652" s="146"/>
      <c r="C652" s="23"/>
      <c r="D652" s="23"/>
      <c r="E652" s="35" t="s">
        <v>388</v>
      </c>
      <c r="F652" s="641"/>
      <c r="G652" s="110"/>
      <c r="H652" s="487">
        <v>3129</v>
      </c>
      <c r="I652" s="433"/>
      <c r="J652" s="433"/>
      <c r="K652" s="26"/>
      <c r="L652" s="27"/>
      <c r="M652" s="27"/>
      <c r="N652" s="434"/>
      <c r="O652" s="434"/>
      <c r="P652" s="434"/>
      <c r="Q652" s="69"/>
      <c r="R652" s="69"/>
      <c r="S652" s="69"/>
      <c r="T652" s="435"/>
      <c r="U652" s="435"/>
      <c r="V652" s="435"/>
      <c r="W652" s="436"/>
      <c r="X652" s="437"/>
      <c r="Y652" s="33">
        <v>6.5</v>
      </c>
      <c r="Z652" s="33">
        <f t="shared" si="116"/>
        <v>20338.5</v>
      </c>
      <c r="AA652" s="33"/>
      <c r="AB652" s="33"/>
      <c r="AC652" s="438"/>
      <c r="AD652" s="33"/>
    </row>
    <row r="653" spans="1:30" x14ac:dyDescent="0.3">
      <c r="A653" s="47">
        <v>44240.604166666664</v>
      </c>
      <c r="B653" s="47">
        <v>44241.805555555555</v>
      </c>
      <c r="C653" s="23"/>
      <c r="D653" s="23"/>
      <c r="E653" s="35" t="s">
        <v>867</v>
      </c>
      <c r="F653" s="641"/>
      <c r="G653" s="110" t="s">
        <v>328</v>
      </c>
      <c r="H653" s="487">
        <f>34504-H654-H655</f>
        <v>19282</v>
      </c>
      <c r="I653" s="433"/>
      <c r="J653" s="433">
        <v>77000</v>
      </c>
      <c r="K653" s="26">
        <f>H653+H654+H655-J653</f>
        <v>-42496</v>
      </c>
      <c r="L653" s="27">
        <f>B653-A653</f>
        <v>1.2013888888905058</v>
      </c>
      <c r="M653" s="27">
        <f>'[182]POS LOGISTICS 2'!$F$63</f>
        <v>0.69965277779071278</v>
      </c>
      <c r="N653" s="434">
        <f>(H653+H654+H655)/L653</f>
        <v>28720.092485510479</v>
      </c>
      <c r="O653" s="434">
        <f>(H653+H654+H655)/M653</f>
        <v>49315.89081794682</v>
      </c>
      <c r="P653" s="434">
        <v>30000</v>
      </c>
      <c r="Q653" s="69">
        <f>(86448/10000)*8.7</f>
        <v>75.209759999999989</v>
      </c>
      <c r="R653" s="69">
        <f>(80083/10000)*8.7</f>
        <v>69.672209999999993</v>
      </c>
      <c r="S653" s="69">
        <f>Q653-R653</f>
        <v>5.537549999999996</v>
      </c>
      <c r="T653" s="435">
        <f>S653/8.7*10000/(H653+H654+H655)</f>
        <v>0.18447136563876643</v>
      </c>
      <c r="U653" s="435">
        <f>S653/8.5*10000/(H653+H654+H655)</f>
        <v>0.18881186835967853</v>
      </c>
      <c r="V653" s="435"/>
      <c r="W653" s="436"/>
      <c r="X653" s="437"/>
      <c r="Y653" s="33">
        <v>2.64</v>
      </c>
      <c r="Z653" s="33">
        <f t="shared" si="116"/>
        <v>50904.480000000003</v>
      </c>
      <c r="AA653" s="33"/>
      <c r="AB653" s="33"/>
      <c r="AC653" s="438"/>
      <c r="AD653" s="33"/>
    </row>
    <row r="654" spans="1:30" x14ac:dyDescent="0.3">
      <c r="A654" s="47"/>
      <c r="B654" s="47"/>
      <c r="C654" s="23"/>
      <c r="D654" s="23"/>
      <c r="E654" s="35" t="s">
        <v>868</v>
      </c>
      <c r="F654" s="641"/>
      <c r="G654" s="110"/>
      <c r="H654" s="487">
        <v>7686</v>
      </c>
      <c r="I654" s="433"/>
      <c r="J654" s="433"/>
      <c r="K654" s="26"/>
      <c r="L654" s="27"/>
      <c r="M654" s="27"/>
      <c r="N654" s="434"/>
      <c r="O654" s="434"/>
      <c r="P654" s="434"/>
      <c r="Q654" s="69"/>
      <c r="R654" s="69"/>
      <c r="S654" s="69"/>
      <c r="T654" s="435"/>
      <c r="U654" s="435"/>
      <c r="V654" s="435"/>
      <c r="W654" s="436"/>
      <c r="X654" s="437"/>
      <c r="Y654" s="33">
        <v>6.5</v>
      </c>
      <c r="Z654" s="33">
        <f t="shared" si="116"/>
        <v>49959</v>
      </c>
      <c r="AA654" s="33"/>
      <c r="AB654" s="33"/>
      <c r="AC654" s="438"/>
      <c r="AD654" s="33"/>
    </row>
    <row r="655" spans="1:30" x14ac:dyDescent="0.3">
      <c r="A655" s="47"/>
      <c r="B655" s="47"/>
      <c r="C655" s="23"/>
      <c r="D655" s="23"/>
      <c r="E655" s="35" t="s">
        <v>868</v>
      </c>
      <c r="F655" s="641"/>
      <c r="G655" s="110"/>
      <c r="H655" s="487">
        <v>7536</v>
      </c>
      <c r="I655" s="433"/>
      <c r="J655" s="433"/>
      <c r="K655" s="26"/>
      <c r="L655" s="27"/>
      <c r="M655" s="27"/>
      <c r="N655" s="434"/>
      <c r="O655" s="434"/>
      <c r="P655" s="434"/>
      <c r="Q655" s="69"/>
      <c r="R655" s="69"/>
      <c r="S655" s="69"/>
      <c r="T655" s="435"/>
      <c r="U655" s="435"/>
      <c r="V655" s="435"/>
      <c r="W655" s="436"/>
      <c r="X655" s="437"/>
      <c r="Y655" s="33">
        <v>6.5</v>
      </c>
      <c r="Z655" s="33">
        <f t="shared" si="116"/>
        <v>48984</v>
      </c>
      <c r="AA655" s="33"/>
      <c r="AB655" s="33"/>
      <c r="AC655" s="438"/>
      <c r="AD655" s="33"/>
    </row>
    <row r="656" spans="1:30" x14ac:dyDescent="0.3">
      <c r="A656" s="47">
        <v>44242.90625</v>
      </c>
      <c r="B656" s="47">
        <v>44243.763888888891</v>
      </c>
      <c r="C656" s="23"/>
      <c r="D656" s="23"/>
      <c r="E656" s="35" t="s">
        <v>869</v>
      </c>
      <c r="F656" s="641"/>
      <c r="G656" s="110" t="s">
        <v>39</v>
      </c>
      <c r="H656" s="487">
        <v>28379</v>
      </c>
      <c r="I656" s="433"/>
      <c r="J656" s="433">
        <v>101045</v>
      </c>
      <c r="K656" s="26">
        <f>H656-J656</f>
        <v>-72666</v>
      </c>
      <c r="L656" s="27">
        <f>B656-A656</f>
        <v>0.85763888889050577</v>
      </c>
      <c r="M656" s="27">
        <f>'[182]JUBILANT SUCCESS'!$F$49</f>
        <v>0.60069444444525288</v>
      </c>
      <c r="N656" s="434">
        <f>(H656)/L656</f>
        <v>33089.684210463936</v>
      </c>
      <c r="O656" s="434">
        <f>(H656)/M656</f>
        <v>47243.65317912717</v>
      </c>
      <c r="P656" s="434">
        <v>30000</v>
      </c>
      <c r="Q656" s="69">
        <f>(78085/10000)*8.7</f>
        <v>67.933949999999996</v>
      </c>
      <c r="R656" s="69">
        <f>(72972/10000)*8.7</f>
        <v>63.485639999999997</v>
      </c>
      <c r="S656" s="69">
        <f>Q656-R656</f>
        <v>4.4483099999999993</v>
      </c>
      <c r="T656" s="435">
        <f>S656/8.7*10000/(H656)</f>
        <v>0.18016843440572256</v>
      </c>
      <c r="U656" s="435">
        <f>S656/8.5*10000/(H656)</f>
        <v>0.18440769168585716</v>
      </c>
      <c r="V656" s="435"/>
      <c r="W656" s="436"/>
      <c r="X656" s="437"/>
      <c r="Y656" s="33">
        <v>2.64</v>
      </c>
      <c r="Z656" s="33">
        <f t="shared" si="116"/>
        <v>74920.56</v>
      </c>
      <c r="AA656" s="33"/>
      <c r="AB656" s="33"/>
      <c r="AC656" s="438"/>
      <c r="AD656" s="33"/>
    </row>
    <row r="657" spans="1:30" x14ac:dyDescent="0.3">
      <c r="A657" s="47">
        <v>44247.916666666664</v>
      </c>
      <c r="B657" s="47">
        <v>44250.520833333336</v>
      </c>
      <c r="C657" s="23"/>
      <c r="D657" s="23"/>
      <c r="E657" s="35" t="s">
        <v>111</v>
      </c>
      <c r="F657" s="641" t="s">
        <v>859</v>
      </c>
      <c r="G657" s="110" t="s">
        <v>328</v>
      </c>
      <c r="H657" s="487">
        <f>65500-H658</f>
        <v>59495</v>
      </c>
      <c r="I657" s="433"/>
      <c r="J657" s="433">
        <v>65500</v>
      </c>
      <c r="K657" s="26">
        <f>H657-J657-H658</f>
        <v>-12010</v>
      </c>
      <c r="L657" s="27">
        <f>B657-A657</f>
        <v>2.6041666666715173</v>
      </c>
      <c r="M657" s="27">
        <f>'[182]ANDHIKA PARAMESTI'!$F$102</f>
        <v>1.5798611111301095</v>
      </c>
      <c r="N657" s="434">
        <f>(H657+H658)/L657</f>
        <v>25151.99999995315</v>
      </c>
      <c r="O657" s="434">
        <f>(H657+H658)/M657</f>
        <v>41459.340658842098</v>
      </c>
      <c r="P657" s="434">
        <v>30000</v>
      </c>
      <c r="Q657" s="69">
        <f>(273403/10000)*8.7</f>
        <v>237.86060999999998</v>
      </c>
      <c r="R657" s="69">
        <f>(259212/10000)*8.7</f>
        <v>225.51443999999998</v>
      </c>
      <c r="S657" s="69">
        <f>Q657-R657</f>
        <v>12.346170000000001</v>
      </c>
      <c r="T657" s="435">
        <f>S657/8.7*10000/(H657+H658)</f>
        <v>0.21665648854961836</v>
      </c>
      <c r="U657" s="435">
        <f>S657/8.5*10000/(H657+H658)</f>
        <v>0.22175428828019761</v>
      </c>
      <c r="V657" s="435"/>
      <c r="W657" s="436"/>
      <c r="X657" s="437"/>
      <c r="Y657" s="33">
        <v>2.64</v>
      </c>
      <c r="Z657" s="33">
        <f t="shared" si="116"/>
        <v>157066.80000000002</v>
      </c>
      <c r="AA657" s="33"/>
      <c r="AB657" s="33"/>
      <c r="AC657" s="438"/>
      <c r="AD657" s="33"/>
    </row>
    <row r="658" spans="1:30" x14ac:dyDescent="0.3">
      <c r="A658" s="47"/>
      <c r="B658" s="47"/>
      <c r="C658" s="23"/>
      <c r="D658" s="23"/>
      <c r="E658" s="35" t="s">
        <v>161</v>
      </c>
      <c r="F658" s="641"/>
      <c r="G658" s="110"/>
      <c r="H658" s="487">
        <v>6005</v>
      </c>
      <c r="I658" s="433"/>
      <c r="J658" s="433"/>
      <c r="K658" s="26"/>
      <c r="L658" s="27"/>
      <c r="M658" s="27"/>
      <c r="N658" s="434"/>
      <c r="O658" s="434"/>
      <c r="P658" s="434"/>
      <c r="Q658" s="69"/>
      <c r="R658" s="69"/>
      <c r="S658" s="69"/>
      <c r="T658" s="435"/>
      <c r="U658" s="435"/>
      <c r="V658" s="435"/>
      <c r="W658" s="436"/>
      <c r="X658" s="437"/>
      <c r="Y658" s="33">
        <v>6.5</v>
      </c>
      <c r="Z658" s="33">
        <f t="shared" si="116"/>
        <v>39032.5</v>
      </c>
      <c r="AA658" s="33"/>
      <c r="AB658" s="33"/>
      <c r="AC658" s="438"/>
      <c r="AD658" s="33"/>
    </row>
    <row r="659" spans="1:30" x14ac:dyDescent="0.3">
      <c r="A659" s="47">
        <v>44250.770833333336</v>
      </c>
      <c r="B659" s="47">
        <v>44253.451388888891</v>
      </c>
      <c r="C659" s="23"/>
      <c r="D659" s="23"/>
      <c r="E659" s="35" t="s">
        <v>870</v>
      </c>
      <c r="F659" s="641"/>
      <c r="G659" s="110" t="s">
        <v>212</v>
      </c>
      <c r="H659" s="487">
        <v>35842</v>
      </c>
      <c r="I659" s="433"/>
      <c r="J659" s="433">
        <v>56100</v>
      </c>
      <c r="K659" s="26">
        <f>H659-J659</f>
        <v>-20258</v>
      </c>
      <c r="L659" s="27">
        <f>B659-A659</f>
        <v>2.6805555555547471</v>
      </c>
      <c r="M659" s="27">
        <f>'[182]VOSCO SUNRISE'!$F$78</f>
        <v>1.215277777768885</v>
      </c>
      <c r="N659" s="567">
        <f>(H659)/L659</f>
        <v>13371.108808294188</v>
      </c>
      <c r="O659" s="567">
        <f>(H659)/M659</f>
        <v>29492.845714501527</v>
      </c>
      <c r="P659" s="434">
        <v>30000</v>
      </c>
      <c r="Q659" s="69">
        <f>(258747/10000)*8.7</f>
        <v>225.10988999999998</v>
      </c>
      <c r="R659" s="69">
        <f>(246101/10000)*8.7</f>
        <v>214.10786999999996</v>
      </c>
      <c r="S659" s="69">
        <f>Q659-R659</f>
        <v>11.002020000000016</v>
      </c>
      <c r="T659" s="435">
        <f>S659/8.7*10000/(H659)</f>
        <v>0.3528262931756046</v>
      </c>
      <c r="U659" s="435">
        <f>S659/8.5*10000/(H659)</f>
        <v>0.36112808830914811</v>
      </c>
      <c r="V659" s="435"/>
      <c r="W659" s="436"/>
      <c r="X659" s="437"/>
      <c r="Y659" s="33">
        <v>2.64</v>
      </c>
      <c r="Z659" s="33">
        <f t="shared" si="116"/>
        <v>94622.88</v>
      </c>
      <c r="AA659" s="33"/>
      <c r="AB659" s="33"/>
      <c r="AC659" s="438"/>
      <c r="AD659" s="33"/>
    </row>
    <row r="660" spans="1:30" x14ac:dyDescent="0.3">
      <c r="A660" s="47">
        <v>44254.666666666664</v>
      </c>
      <c r="B660" s="47">
        <v>44255.71875</v>
      </c>
      <c r="C660" s="23"/>
      <c r="D660" s="23"/>
      <c r="E660" s="35" t="s">
        <v>871</v>
      </c>
      <c r="F660" s="641"/>
      <c r="G660" s="110" t="s">
        <v>212</v>
      </c>
      <c r="H660" s="487">
        <f>17232-H661</f>
        <v>9784</v>
      </c>
      <c r="I660" s="433"/>
      <c r="J660" s="433">
        <v>42300</v>
      </c>
      <c r="K660" s="26">
        <f>H660-J660</f>
        <v>-32516</v>
      </c>
      <c r="L660" s="27">
        <f>B660-A660</f>
        <v>1.0520833333357587</v>
      </c>
      <c r="M660" s="27">
        <f>'[182]LUMOSO ALAM'!$F$49</f>
        <v>0.8003472222286897</v>
      </c>
      <c r="N660" s="434">
        <f>(H660+H661)/L660</f>
        <v>16378.930693031549</v>
      </c>
      <c r="O660" s="434">
        <f>(H660+H661)/M660</f>
        <v>21530.655097439896</v>
      </c>
      <c r="P660" s="434">
        <v>30000</v>
      </c>
      <c r="Q660" s="69">
        <f>(244103/10000)*8.7</f>
        <v>212.36960999999997</v>
      </c>
      <c r="R660" s="69">
        <f>(237863/10000)*8.7</f>
        <v>206.94081</v>
      </c>
      <c r="S660" s="69">
        <f>Q660-R660</f>
        <v>5.428799999999967</v>
      </c>
      <c r="T660" s="435">
        <f>S660/8.7*10000/(H660+H661)</f>
        <v>0.36211699164345185</v>
      </c>
      <c r="U660" s="435">
        <f>S660/8.5*10000/(H660+H661)</f>
        <v>0.37063739144682717</v>
      </c>
      <c r="V660" s="435"/>
      <c r="W660" s="436"/>
      <c r="X660" s="437"/>
      <c r="Y660" s="33">
        <v>2.64</v>
      </c>
      <c r="Z660" s="33">
        <f t="shared" si="116"/>
        <v>25829.760000000002</v>
      </c>
      <c r="AA660" s="33"/>
      <c r="AB660" s="33"/>
      <c r="AC660" s="438"/>
      <c r="AD660" s="33"/>
    </row>
    <row r="661" spans="1:30" x14ac:dyDescent="0.3">
      <c r="A661" s="47"/>
      <c r="B661" s="47"/>
      <c r="C661" s="23"/>
      <c r="D661" s="23"/>
      <c r="E661" s="35" t="s">
        <v>872</v>
      </c>
      <c r="F661" s="641"/>
      <c r="G661" s="110"/>
      <c r="H661" s="487">
        <v>7448</v>
      </c>
      <c r="I661" s="433"/>
      <c r="J661" s="433"/>
      <c r="K661" s="26"/>
      <c r="L661" s="27"/>
      <c r="M661" s="27"/>
      <c r="N661" s="434"/>
      <c r="O661" s="434"/>
      <c r="P661" s="434"/>
      <c r="Q661" s="69"/>
      <c r="R661" s="69"/>
      <c r="S661" s="69"/>
      <c r="T661" s="435"/>
      <c r="U661" s="435"/>
      <c r="V661" s="435"/>
      <c r="W661" s="436"/>
      <c r="X661" s="437"/>
      <c r="Y661" s="33">
        <v>6.5</v>
      </c>
      <c r="Z661" s="33">
        <f t="shared" si="116"/>
        <v>48412</v>
      </c>
      <c r="AA661" s="33"/>
      <c r="AB661" s="33"/>
      <c r="AC661" s="438"/>
      <c r="AD661" s="33"/>
    </row>
    <row r="662" spans="1:30" x14ac:dyDescent="0.3">
      <c r="A662" s="47"/>
      <c r="B662" s="47"/>
      <c r="C662" s="23"/>
      <c r="D662" s="23"/>
      <c r="E662" s="39" t="s">
        <v>29</v>
      </c>
      <c r="F662" s="642"/>
      <c r="G662" s="169"/>
      <c r="H662" s="619">
        <f>375000-SUM(H644:H661)</f>
        <v>16852</v>
      </c>
      <c r="I662" s="433"/>
      <c r="J662" s="433"/>
      <c r="K662" s="26"/>
      <c r="L662" s="27"/>
      <c r="M662" s="27"/>
      <c r="N662" s="434"/>
      <c r="O662" s="434"/>
      <c r="P662" s="434"/>
      <c r="Q662" s="69"/>
      <c r="R662" s="69"/>
      <c r="S662" s="69"/>
      <c r="T662" s="435"/>
      <c r="U662" s="435"/>
      <c r="V662" s="435"/>
      <c r="W662" s="436"/>
      <c r="X662" s="437"/>
      <c r="Y662" s="19">
        <v>2.64</v>
      </c>
      <c r="Z662" s="19">
        <f t="shared" si="116"/>
        <v>44489.279999999999</v>
      </c>
      <c r="AA662" s="33"/>
      <c r="AB662" s="33"/>
      <c r="AC662" s="438"/>
      <c r="AD662" s="33"/>
    </row>
    <row r="663" spans="1:30" x14ac:dyDescent="0.3">
      <c r="A663" s="146"/>
      <c r="B663" s="146"/>
      <c r="C663" s="23"/>
      <c r="D663" s="23"/>
      <c r="E663" s="39"/>
      <c r="F663" s="642"/>
      <c r="G663" s="169"/>
      <c r="H663" s="619"/>
      <c r="I663" s="433"/>
      <c r="J663" s="433"/>
      <c r="K663" s="26"/>
      <c r="L663" s="27"/>
      <c r="M663" s="27"/>
      <c r="N663" s="434"/>
      <c r="O663" s="434"/>
      <c r="P663" s="434"/>
      <c r="Q663" s="69"/>
      <c r="R663" s="69"/>
      <c r="S663" s="69"/>
      <c r="T663" s="435"/>
      <c r="U663" s="435"/>
      <c r="V663" s="435"/>
      <c r="W663" s="436"/>
      <c r="X663" s="437"/>
      <c r="Y663" s="19"/>
      <c r="Z663" s="19"/>
      <c r="AA663" s="33"/>
      <c r="AB663" s="33"/>
      <c r="AC663" s="438"/>
      <c r="AD663" s="33"/>
    </row>
    <row r="664" spans="1:30" x14ac:dyDescent="0.3">
      <c r="A664" s="20"/>
      <c r="B664" s="20"/>
      <c r="C664" s="20">
        <v>1000000001</v>
      </c>
      <c r="D664" s="20"/>
      <c r="E664" s="21" t="s">
        <v>37</v>
      </c>
      <c r="F664" s="643"/>
      <c r="G664" s="644"/>
      <c r="H664" s="485">
        <f>SUM(H644:H661)</f>
        <v>358148</v>
      </c>
      <c r="I664" s="431"/>
      <c r="J664" s="431"/>
      <c r="K664" s="431"/>
      <c r="L664" s="431"/>
      <c r="M664" s="431"/>
      <c r="N664" s="431">
        <f>AVERAGE(N643:N662)</f>
        <v>23356.151465088638</v>
      </c>
      <c r="O664" s="431">
        <f>AVERAGE(O643:O662)</f>
        <v>40516.184846126584</v>
      </c>
      <c r="P664" s="431"/>
      <c r="Q664" s="431"/>
      <c r="R664" s="431"/>
      <c r="S664" s="440">
        <f>SUM(S644:S660)</f>
        <v>74.36672999999999</v>
      </c>
      <c r="T664" s="441">
        <f>S664/8.7*10000/H664</f>
        <v>0.23866948859130863</v>
      </c>
      <c r="U664" s="440"/>
      <c r="V664" s="440"/>
      <c r="W664" s="442"/>
      <c r="X664" s="22"/>
      <c r="Y664" s="22"/>
      <c r="Z664" s="432">
        <f>SUM(Z644:Z662)</f>
        <v>1211934.56</v>
      </c>
      <c r="AA664" s="432"/>
      <c r="AB664" s="432"/>
      <c r="AC664" s="432"/>
      <c r="AD664" s="432"/>
    </row>
    <row r="665" spans="1:30" x14ac:dyDescent="0.3">
      <c r="A665" s="146"/>
      <c r="B665" s="146"/>
      <c r="C665" s="23"/>
      <c r="D665" s="14"/>
      <c r="E665" s="35"/>
      <c r="F665" s="641"/>
      <c r="G665" s="110"/>
      <c r="H665" s="487"/>
      <c r="I665" s="433"/>
      <c r="J665" s="433"/>
      <c r="K665" s="26"/>
      <c r="L665" s="27"/>
      <c r="M665" s="27"/>
      <c r="N665" s="434"/>
      <c r="O665" s="434"/>
      <c r="P665" s="434"/>
      <c r="Q665" s="69"/>
      <c r="R665" s="69"/>
      <c r="S665" s="69"/>
      <c r="T665" s="435"/>
      <c r="U665" s="435"/>
      <c r="V665" s="435"/>
      <c r="W665" s="436"/>
      <c r="X665" s="437"/>
      <c r="Y665" s="33"/>
      <c r="Z665" s="33"/>
      <c r="AA665" s="33"/>
      <c r="AB665" s="33"/>
      <c r="AC665" s="438"/>
      <c r="AD665" s="33"/>
    </row>
    <row r="666" spans="1:30" x14ac:dyDescent="0.3">
      <c r="A666" s="47">
        <v>44256.576388888891</v>
      </c>
      <c r="B666" s="47">
        <v>44258.75</v>
      </c>
      <c r="C666" s="23"/>
      <c r="D666" s="14"/>
      <c r="E666" s="35" t="s">
        <v>873</v>
      </c>
      <c r="F666" s="641"/>
      <c r="G666" s="110" t="s">
        <v>328</v>
      </c>
      <c r="H666" s="487">
        <v>37910</v>
      </c>
      <c r="I666" s="433"/>
      <c r="J666" s="433">
        <v>94600</v>
      </c>
      <c r="K666" s="26">
        <f>H666-J666</f>
        <v>-56690</v>
      </c>
      <c r="L666" s="27">
        <f>B666-A666</f>
        <v>2.1736111111094942</v>
      </c>
      <c r="M666" s="27">
        <f>'[183]CEMTEX RAINESSANCE'!$F$81</f>
        <v>1.3055555555644485</v>
      </c>
      <c r="N666" s="434">
        <f>(H666)/L666</f>
        <v>17441.022364230226</v>
      </c>
      <c r="O666" s="434">
        <f>(H666)/M666</f>
        <v>29037.446808312849</v>
      </c>
      <c r="P666" s="434">
        <v>30000</v>
      </c>
      <c r="Q666" s="69">
        <f>(236376/10000)*8.7</f>
        <v>205.64711999999997</v>
      </c>
      <c r="R666" s="69">
        <f>(224345/10000)*8.7</f>
        <v>195.18014999999997</v>
      </c>
      <c r="S666" s="69">
        <f>Q666-R666</f>
        <v>10.466970000000003</v>
      </c>
      <c r="T666" s="435">
        <f>S666/8.7*10000/(H666)</f>
        <v>0.31735689791611726</v>
      </c>
      <c r="U666" s="435">
        <f>S666/8.5*10000/(H666)</f>
        <v>0.32482411904355529</v>
      </c>
      <c r="V666" s="435"/>
      <c r="W666" s="436"/>
      <c r="X666" s="32"/>
      <c r="Y666" s="33">
        <v>2.64</v>
      </c>
      <c r="Z666" s="33">
        <f t="shared" ref="Z666:Z684" si="117">H666*Y666</f>
        <v>100082.40000000001</v>
      </c>
      <c r="AA666" s="33"/>
      <c r="AB666" s="33"/>
      <c r="AC666" s="438"/>
      <c r="AD666" s="33"/>
    </row>
    <row r="667" spans="1:30" x14ac:dyDescent="0.3">
      <c r="A667" s="47">
        <v>44259.708333333336</v>
      </c>
      <c r="B667" s="47">
        <v>44262.291666666664</v>
      </c>
      <c r="C667" s="23"/>
      <c r="D667" s="14"/>
      <c r="E667" s="35" t="s">
        <v>278</v>
      </c>
      <c r="F667" s="641" t="s">
        <v>859</v>
      </c>
      <c r="G667" s="110" t="s">
        <v>328</v>
      </c>
      <c r="H667" s="487">
        <f>65500-H668-H669-H670</f>
        <v>46375</v>
      </c>
      <c r="I667" s="433"/>
      <c r="J667" s="433">
        <v>65500</v>
      </c>
      <c r="K667" s="26">
        <f>H667+H668+H669+H670-J667</f>
        <v>0</v>
      </c>
      <c r="L667" s="27">
        <f>B667-A667</f>
        <v>2.5833333333284827</v>
      </c>
      <c r="M667" s="27">
        <f>'[183]ANDHIKA KANISHKA'!$F$108</f>
        <v>1.583333333341822</v>
      </c>
      <c r="N667" s="434">
        <f>(H667+H668+H669+H670)/L667</f>
        <v>25354.838709725027</v>
      </c>
      <c r="O667" s="434">
        <f>(H667+H668+H669+H670)/M667</f>
        <v>41368.421052409794</v>
      </c>
      <c r="P667" s="434">
        <v>30000</v>
      </c>
      <c r="Q667" s="69">
        <f>(222785/10000)*8.7</f>
        <v>193.82294999999999</v>
      </c>
      <c r="R667" s="69">
        <f>(208427/10000)*8.7</f>
        <v>181.33149</v>
      </c>
      <c r="S667" s="69">
        <f>Q667-R667</f>
        <v>12.491459999999989</v>
      </c>
      <c r="T667" s="435">
        <f>S667/8.7*10000/(H667+H668+H669+H670)</f>
        <v>0.21920610687022885</v>
      </c>
      <c r="U667" s="435">
        <f>S667/8.5*10000/(H667+H668+H669+H670)</f>
        <v>0.22436389762011655</v>
      </c>
      <c r="V667" s="435"/>
      <c r="W667" s="436"/>
      <c r="X667" s="32"/>
      <c r="Y667" s="33">
        <v>2.64</v>
      </c>
      <c r="Z667" s="33">
        <f t="shared" si="117"/>
        <v>122430</v>
      </c>
      <c r="AA667" s="33"/>
      <c r="AB667" s="33"/>
      <c r="AC667" s="438"/>
      <c r="AD667" s="33"/>
    </row>
    <row r="668" spans="1:30" x14ac:dyDescent="0.3">
      <c r="A668" s="146"/>
      <c r="B668" s="146"/>
      <c r="C668" s="23"/>
      <c r="D668" s="14"/>
      <c r="E668" s="35" t="s">
        <v>874</v>
      </c>
      <c r="F668" s="641"/>
      <c r="G668" s="110"/>
      <c r="H668" s="487">
        <v>6970</v>
      </c>
      <c r="I668" s="433"/>
      <c r="J668" s="433"/>
      <c r="K668" s="26"/>
      <c r="L668" s="27"/>
      <c r="M668" s="27"/>
      <c r="N668" s="462"/>
      <c r="O668" s="434"/>
      <c r="P668" s="434"/>
      <c r="Q668" s="69"/>
      <c r="R668" s="69"/>
      <c r="S668" s="69"/>
      <c r="T668" s="435"/>
      <c r="U668" s="435"/>
      <c r="V668" s="435"/>
      <c r="W668" s="436"/>
      <c r="X668" s="32"/>
      <c r="Y668" s="33">
        <v>6.5</v>
      </c>
      <c r="Z668" s="33">
        <f t="shared" si="117"/>
        <v>45305</v>
      </c>
      <c r="AA668" s="33"/>
      <c r="AB668" s="33"/>
      <c r="AC668" s="438"/>
      <c r="AD668" s="33"/>
    </row>
    <row r="669" spans="1:30" x14ac:dyDescent="0.3">
      <c r="A669" s="146"/>
      <c r="B669" s="146"/>
      <c r="C669" s="23"/>
      <c r="D669" s="14"/>
      <c r="E669" s="35" t="s">
        <v>874</v>
      </c>
      <c r="F669" s="641"/>
      <c r="G669" s="110"/>
      <c r="H669" s="487">
        <v>6131</v>
      </c>
      <c r="I669" s="433"/>
      <c r="J669" s="433"/>
      <c r="K669" s="26"/>
      <c r="L669" s="27"/>
      <c r="M669" s="27"/>
      <c r="N669" s="462"/>
      <c r="O669" s="434"/>
      <c r="P669" s="434"/>
      <c r="Q669" s="69"/>
      <c r="R669" s="69"/>
      <c r="S669" s="69"/>
      <c r="T669" s="435"/>
      <c r="U669" s="435"/>
      <c r="V669" s="435"/>
      <c r="W669" s="436"/>
      <c r="X669" s="32"/>
      <c r="Y669" s="33">
        <v>6.5</v>
      </c>
      <c r="Z669" s="33">
        <f t="shared" si="117"/>
        <v>39851.5</v>
      </c>
      <c r="AA669" s="33"/>
      <c r="AB669" s="33"/>
      <c r="AC669" s="438"/>
      <c r="AD669" s="33"/>
    </row>
    <row r="670" spans="1:30" x14ac:dyDescent="0.3">
      <c r="A670" s="146"/>
      <c r="B670" s="146"/>
      <c r="C670" s="23"/>
      <c r="D670" s="14"/>
      <c r="E670" s="35" t="s">
        <v>874</v>
      </c>
      <c r="F670" s="641"/>
      <c r="G670" s="110"/>
      <c r="H670" s="487">
        <v>6024</v>
      </c>
      <c r="I670" s="433"/>
      <c r="J670" s="433"/>
      <c r="K670" s="26"/>
      <c r="L670" s="27"/>
      <c r="M670" s="27"/>
      <c r="N670" s="462"/>
      <c r="O670" s="434"/>
      <c r="P670" s="434"/>
      <c r="Q670" s="69"/>
      <c r="R670" s="69"/>
      <c r="S670" s="69"/>
      <c r="T670" s="435"/>
      <c r="U670" s="435"/>
      <c r="V670" s="435"/>
      <c r="W670" s="436"/>
      <c r="X670" s="32"/>
      <c r="Y670" s="33">
        <v>6.5</v>
      </c>
      <c r="Z670" s="33">
        <f t="shared" si="117"/>
        <v>39156</v>
      </c>
      <c r="AA670" s="33"/>
      <c r="AB670" s="33"/>
      <c r="AC670" s="438"/>
      <c r="AD670" s="33"/>
    </row>
    <row r="671" spans="1:30" x14ac:dyDescent="0.3">
      <c r="A671" s="47">
        <v>44262.868055555555</v>
      </c>
      <c r="B671" s="47">
        <v>44265.416666666664</v>
      </c>
      <c r="C671" s="23"/>
      <c r="D671" s="14"/>
      <c r="E671" s="35" t="s">
        <v>35</v>
      </c>
      <c r="F671" s="641" t="s">
        <v>859</v>
      </c>
      <c r="G671" s="110" t="s">
        <v>328</v>
      </c>
      <c r="H671" s="487">
        <f>65500-H672</f>
        <v>58579</v>
      </c>
      <c r="I671" s="433"/>
      <c r="J671" s="433">
        <v>65500</v>
      </c>
      <c r="K671" s="26">
        <f>H671-J671-H672</f>
        <v>-13842</v>
      </c>
      <c r="L671" s="27">
        <f>B671-A671</f>
        <v>2.5486111111094942</v>
      </c>
      <c r="M671" s="27">
        <f>'[183]ANDHIKA NARESWARI'!$F$95</f>
        <v>1.5069444444695062</v>
      </c>
      <c r="N671" s="434">
        <f>(H671+H672)/L671</f>
        <v>25700.272479580337</v>
      </c>
      <c r="O671" s="434">
        <f>(H671+H672)/M671</f>
        <v>43465.437787295567</v>
      </c>
      <c r="P671" s="434">
        <v>30000</v>
      </c>
      <c r="Q671" s="69">
        <f>(207451/10000)*8.7</f>
        <v>180.48237</v>
      </c>
      <c r="R671" s="69">
        <f>(194491/10000)*8.7</f>
        <v>169.20716999999999</v>
      </c>
      <c r="S671" s="69">
        <f>Q671-R671</f>
        <v>11.275200000000012</v>
      </c>
      <c r="T671" s="435">
        <f>S671/8.7*10000/(H671+H672)</f>
        <v>0.19786259541984758</v>
      </c>
      <c r="U671" s="435">
        <f>S671/8.5*10000/(H671+H672)</f>
        <v>0.20251818590031456</v>
      </c>
      <c r="V671" s="435"/>
      <c r="W671" s="436"/>
      <c r="X671" s="32"/>
      <c r="Y671" s="33">
        <v>2.64</v>
      </c>
      <c r="Z671" s="33">
        <f t="shared" si="117"/>
        <v>154648.56</v>
      </c>
      <c r="AA671" s="33"/>
      <c r="AB671" s="33"/>
      <c r="AC671" s="438"/>
      <c r="AD671" s="33"/>
    </row>
    <row r="672" spans="1:30" x14ac:dyDescent="0.3">
      <c r="A672" s="146"/>
      <c r="B672" s="146"/>
      <c r="C672" s="23"/>
      <c r="D672" s="14"/>
      <c r="E672" s="35" t="s">
        <v>388</v>
      </c>
      <c r="F672" s="641"/>
      <c r="G672" s="110"/>
      <c r="H672" s="487">
        <v>6921</v>
      </c>
      <c r="I672" s="433"/>
      <c r="J672" s="433"/>
      <c r="K672" s="26"/>
      <c r="L672" s="27"/>
      <c r="M672" s="27"/>
      <c r="N672" s="462"/>
      <c r="O672" s="434"/>
      <c r="P672" s="434"/>
      <c r="Q672" s="69"/>
      <c r="R672" s="69"/>
      <c r="S672" s="69"/>
      <c r="T672" s="435"/>
      <c r="U672" s="435"/>
      <c r="V672" s="435"/>
      <c r="W672" s="436"/>
      <c r="X672" s="32"/>
      <c r="Y672" s="33">
        <v>6.5</v>
      </c>
      <c r="Z672" s="33">
        <f t="shared" si="117"/>
        <v>44986.5</v>
      </c>
      <c r="AA672" s="33"/>
      <c r="AB672" s="33"/>
      <c r="AC672" s="438"/>
      <c r="AD672" s="33"/>
    </row>
    <row r="673" spans="1:30" x14ac:dyDescent="0.3">
      <c r="A673" s="47">
        <v>44266.805555555555</v>
      </c>
      <c r="B673" s="47">
        <v>44267.916666666664</v>
      </c>
      <c r="C673" s="23"/>
      <c r="D673" s="14"/>
      <c r="E673" s="35" t="s">
        <v>875</v>
      </c>
      <c r="F673" s="641"/>
      <c r="G673" s="110" t="s">
        <v>328</v>
      </c>
      <c r="H673" s="487">
        <v>27136</v>
      </c>
      <c r="I673" s="433"/>
      <c r="J673" s="433">
        <v>50100</v>
      </c>
      <c r="K673" s="26">
        <f>H673-J673</f>
        <v>-22964</v>
      </c>
      <c r="L673" s="27">
        <f>B673-A673</f>
        <v>1.1111111111094942</v>
      </c>
      <c r="M673" s="27">
        <f>'[183]ZHONG HAI CHANG YUN 6'!$F$60</f>
        <v>0.5989583333090801</v>
      </c>
      <c r="N673" s="434">
        <f>(H673)/L673</f>
        <v>24422.400000035541</v>
      </c>
      <c r="O673" s="434">
        <f>(H673)/M673</f>
        <v>45305.321740964951</v>
      </c>
      <c r="P673" s="434">
        <v>30000</v>
      </c>
      <c r="Q673" s="69">
        <f>(191902/10000)*8.7</f>
        <v>166.95473999999999</v>
      </c>
      <c r="R673" s="69">
        <f>(185349/10000)*8.7</f>
        <v>161.25362999999999</v>
      </c>
      <c r="S673" s="69">
        <f>Q673-R673</f>
        <v>5.7011099999999999</v>
      </c>
      <c r="T673" s="435">
        <f>S673/8.7*10000/(H673)</f>
        <v>0.24148732311320756</v>
      </c>
      <c r="U673" s="435">
        <f>S673/8.5*10000/(H673)</f>
        <v>0.24716937777469475</v>
      </c>
      <c r="V673" s="435"/>
      <c r="W673" s="436"/>
      <c r="X673" s="32"/>
      <c r="Y673" s="33">
        <v>2.64</v>
      </c>
      <c r="Z673" s="33">
        <f t="shared" si="117"/>
        <v>71639.040000000008</v>
      </c>
      <c r="AA673" s="33"/>
      <c r="AB673" s="33"/>
      <c r="AC673" s="438"/>
      <c r="AD673" s="33"/>
    </row>
    <row r="674" spans="1:30" x14ac:dyDescent="0.3">
      <c r="A674" s="47">
        <v>44268.159722222219</v>
      </c>
      <c r="B674" s="47">
        <v>44269.527777777781</v>
      </c>
      <c r="C674" s="23"/>
      <c r="D674" s="14"/>
      <c r="E674" s="35" t="s">
        <v>44</v>
      </c>
      <c r="F674" s="641"/>
      <c r="G674" s="110" t="s">
        <v>32</v>
      </c>
      <c r="H674" s="487">
        <f>40300-H675</f>
        <v>32521</v>
      </c>
      <c r="I674" s="433"/>
      <c r="J674" s="433">
        <v>89900</v>
      </c>
      <c r="K674" s="26">
        <f>H674-J674-H675</f>
        <v>-65158</v>
      </c>
      <c r="L674" s="27">
        <f>B674-A674</f>
        <v>1.3680555555620231</v>
      </c>
      <c r="M674" s="27">
        <f>'[183]TAIPOWER PROSPERITY VIII'!$F$64</f>
        <v>0.83680555557172431</v>
      </c>
      <c r="N674" s="434">
        <f>(H674+H675)/L674</f>
        <v>29457.868020165304</v>
      </c>
      <c r="O674" s="434">
        <f>(H674+H675)/M674</f>
        <v>48159.33609865453</v>
      </c>
      <c r="P674" s="434">
        <v>30000</v>
      </c>
      <c r="Q674" s="69">
        <f>(184957/10000)*8.7</f>
        <v>160.91258999999999</v>
      </c>
      <c r="R674" s="69">
        <f>(177392/10000)*8.7</f>
        <v>154.33104</v>
      </c>
      <c r="S674" s="69">
        <f>Q674-R674</f>
        <v>6.5815499999999929</v>
      </c>
      <c r="T674" s="435">
        <f>S674/8.7*10000/(H674+H675)</f>
        <v>0.18771712158808915</v>
      </c>
      <c r="U674" s="435">
        <f>S674/8.5*10000/(H674+H675)</f>
        <v>0.19213399503722065</v>
      </c>
      <c r="V674" s="435"/>
      <c r="W674" s="436"/>
      <c r="X674" s="32"/>
      <c r="Y674" s="33">
        <v>2.64</v>
      </c>
      <c r="Z674" s="33">
        <f t="shared" si="117"/>
        <v>85855.44</v>
      </c>
      <c r="AA674" s="33"/>
      <c r="AB674" s="33"/>
      <c r="AC674" s="438"/>
      <c r="AD674" s="33"/>
    </row>
    <row r="675" spans="1:30" x14ac:dyDescent="0.3">
      <c r="A675" s="146"/>
      <c r="B675" s="146"/>
      <c r="C675" s="23"/>
      <c r="D675" s="14"/>
      <c r="E675" s="35" t="s">
        <v>876</v>
      </c>
      <c r="F675" s="641"/>
      <c r="G675" s="110"/>
      <c r="H675" s="487">
        <v>7779</v>
      </c>
      <c r="I675" s="433"/>
      <c r="J675" s="433"/>
      <c r="K675" s="26"/>
      <c r="L675" s="27"/>
      <c r="M675" s="27"/>
      <c r="N675" s="462"/>
      <c r="O675" s="434"/>
      <c r="P675" s="434"/>
      <c r="Q675" s="69"/>
      <c r="R675" s="69"/>
      <c r="S675" s="69"/>
      <c r="T675" s="435"/>
      <c r="U675" s="435"/>
      <c r="V675" s="435"/>
      <c r="W675" s="436"/>
      <c r="X675" s="32"/>
      <c r="Y675" s="33">
        <v>6.5</v>
      </c>
      <c r="Z675" s="33">
        <f t="shared" si="117"/>
        <v>50563.5</v>
      </c>
      <c r="AA675" s="33"/>
      <c r="AB675" s="33"/>
      <c r="AC675" s="438"/>
      <c r="AD675" s="33"/>
    </row>
    <row r="676" spans="1:30" x14ac:dyDescent="0.3">
      <c r="A676" s="47">
        <v>44270.659722222219</v>
      </c>
      <c r="B676" s="47">
        <v>44273.979166666664</v>
      </c>
      <c r="C676" s="23"/>
      <c r="D676" s="14"/>
      <c r="E676" s="35" t="s">
        <v>877</v>
      </c>
      <c r="F676" s="641"/>
      <c r="G676" s="45" t="s">
        <v>328</v>
      </c>
      <c r="H676" s="487">
        <f>60500-H677</f>
        <v>53202</v>
      </c>
      <c r="I676" s="433"/>
      <c r="J676" s="433">
        <v>60500</v>
      </c>
      <c r="K676" s="26">
        <f>H676+H677-J676</f>
        <v>0</v>
      </c>
      <c r="L676" s="27">
        <f>B676-A676</f>
        <v>3.3194444444452529</v>
      </c>
      <c r="M676" s="27">
        <f>'[183]PORTO LEONE'!$F$95</f>
        <v>1.1718750000097014</v>
      </c>
      <c r="N676" s="434">
        <f>(H676+H677)/L676</f>
        <v>18225.941422589702</v>
      </c>
      <c r="O676" s="434">
        <f>(H676+H677)/M676</f>
        <v>51626.666666239274</v>
      </c>
      <c r="P676" s="434">
        <v>30000</v>
      </c>
      <c r="Q676" s="69">
        <f>(175859/10000)*8.7</f>
        <v>152.99732999999998</v>
      </c>
      <c r="R676" s="69">
        <f>(161930/10000)*8.7</f>
        <v>140.87909999999999</v>
      </c>
      <c r="S676" s="69">
        <f>Q676-R676</f>
        <v>12.118229999999983</v>
      </c>
      <c r="T676" s="435">
        <f>S676/8.7*10000/(H676+H677)</f>
        <v>0.23023140495867736</v>
      </c>
      <c r="U676" s="435">
        <f>S676/8.5*10000/(H676+H677)</f>
        <v>0.23564861448711683</v>
      </c>
      <c r="V676" s="435"/>
      <c r="W676" s="31"/>
      <c r="X676" s="32"/>
      <c r="Y676" s="33">
        <v>2.64</v>
      </c>
      <c r="Z676" s="33">
        <f t="shared" si="117"/>
        <v>140453.28</v>
      </c>
      <c r="AA676" s="33"/>
      <c r="AB676" s="33"/>
      <c r="AC676" s="438"/>
      <c r="AD676" s="33"/>
    </row>
    <row r="677" spans="1:30" x14ac:dyDescent="0.3">
      <c r="A677" s="146"/>
      <c r="B677" s="146"/>
      <c r="C677" s="23"/>
      <c r="D677" s="14"/>
      <c r="E677" s="35" t="s">
        <v>878</v>
      </c>
      <c r="F677" s="641"/>
      <c r="G677" s="45"/>
      <c r="H677" s="487">
        <v>7298</v>
      </c>
      <c r="I677" s="433"/>
      <c r="J677" s="433"/>
      <c r="K677" s="26"/>
      <c r="L677" s="27"/>
      <c r="M677" s="27"/>
      <c r="N677" s="434"/>
      <c r="O677" s="434"/>
      <c r="P677" s="434"/>
      <c r="Q677" s="69"/>
      <c r="R677" s="69"/>
      <c r="S677" s="69"/>
      <c r="T677" s="435"/>
      <c r="U677" s="435"/>
      <c r="V677" s="435"/>
      <c r="W677" s="31"/>
      <c r="X677" s="32"/>
      <c r="Y677" s="33">
        <v>6.5</v>
      </c>
      <c r="Z677" s="33">
        <f t="shared" si="117"/>
        <v>47437</v>
      </c>
      <c r="AA677" s="33"/>
      <c r="AB677" s="33"/>
      <c r="AC677" s="438"/>
      <c r="AD677" s="33"/>
    </row>
    <row r="678" spans="1:30" x14ac:dyDescent="0.3">
      <c r="A678" s="47">
        <v>44274.270833333336</v>
      </c>
      <c r="B678" s="47">
        <v>44277.131944444445</v>
      </c>
      <c r="C678" s="23"/>
      <c r="D678" s="14"/>
      <c r="E678" s="35" t="s">
        <v>879</v>
      </c>
      <c r="F678" s="641"/>
      <c r="G678" s="45" t="s">
        <v>328</v>
      </c>
      <c r="H678" s="487">
        <v>61050</v>
      </c>
      <c r="I678" s="433"/>
      <c r="J678" s="433">
        <v>61050</v>
      </c>
      <c r="K678" s="26">
        <f>H678-J678</f>
        <v>0</v>
      </c>
      <c r="L678" s="27">
        <f>B678-A678</f>
        <v>2.8611111111094942</v>
      </c>
      <c r="M678" s="27">
        <f>'[183]LEO OCEAN'!$F$93</f>
        <v>1.2465277777834369</v>
      </c>
      <c r="N678" s="434">
        <f>(H678)/L678</f>
        <v>21337.864077681963</v>
      </c>
      <c r="O678" s="434">
        <f>(H678)/M678</f>
        <v>48976.044568022779</v>
      </c>
      <c r="P678" s="434">
        <v>30000</v>
      </c>
      <c r="Q678" s="69">
        <f>(161319/10000)*8.7</f>
        <v>140.34753000000001</v>
      </c>
      <c r="R678" s="69">
        <f>(148360/10000)*8.7</f>
        <v>129.07319999999999</v>
      </c>
      <c r="S678" s="69">
        <f>Q678-R678</f>
        <v>11.27433000000002</v>
      </c>
      <c r="T678" s="435">
        <f>S678/8.7*10000/(H678)</f>
        <v>0.21226863226863268</v>
      </c>
      <c r="U678" s="435">
        <f>S678/8.5*10000/(H678)</f>
        <v>0.21726318832201222</v>
      </c>
      <c r="V678" s="435"/>
      <c r="W678" s="31"/>
      <c r="X678" s="32"/>
      <c r="Y678" s="33">
        <v>2.64</v>
      </c>
      <c r="Z678" s="33">
        <f t="shared" si="117"/>
        <v>161172</v>
      </c>
      <c r="AA678" s="33"/>
      <c r="AB678" s="33"/>
      <c r="AC678" s="438"/>
      <c r="AD678" s="33"/>
    </row>
    <row r="679" spans="1:30" x14ac:dyDescent="0.3">
      <c r="A679" s="47">
        <v>44277.4375</v>
      </c>
      <c r="B679" s="47">
        <v>44278.888888888891</v>
      </c>
      <c r="C679" s="23"/>
      <c r="D679" s="14"/>
      <c r="E679" s="35" t="s">
        <v>880</v>
      </c>
      <c r="F679" s="641"/>
      <c r="G679" s="110" t="s">
        <v>91</v>
      </c>
      <c r="H679" s="487">
        <f>22101-H680</f>
        <v>14792</v>
      </c>
      <c r="I679" s="433"/>
      <c r="J679" s="433">
        <v>162700</v>
      </c>
      <c r="K679" s="26">
        <f>H679-J679-H680</f>
        <v>-155217</v>
      </c>
      <c r="L679" s="27">
        <f>B679-A679</f>
        <v>1.4513888888905058</v>
      </c>
      <c r="M679" s="27">
        <f>[183]AQUABELLA!$F$47</f>
        <v>0.46701388889050577</v>
      </c>
      <c r="N679" s="434">
        <f>(H679+H680)/L679</f>
        <v>15227.483253571552</v>
      </c>
      <c r="O679" s="434">
        <f>(H679+H680)/M679</f>
        <v>47324.074349278533</v>
      </c>
      <c r="P679" s="434">
        <v>30000</v>
      </c>
      <c r="Q679" s="69">
        <f>(147822/10000)*8.7</f>
        <v>128.60513999999998</v>
      </c>
      <c r="R679" s="69">
        <f>(140957/10000)*8.7</f>
        <v>122.63258999999999</v>
      </c>
      <c r="S679" s="69">
        <f>Q679-R679</f>
        <v>5.972549999999984</v>
      </c>
      <c r="T679" s="435">
        <f>S679/8.7*10000/(H679+H680)</f>
        <v>0.31061942898511297</v>
      </c>
      <c r="U679" s="435">
        <f>S679/8.5*10000/(H679+H680)</f>
        <v>0.31792812143182153</v>
      </c>
      <c r="V679" s="435"/>
      <c r="W679" s="31"/>
      <c r="X679" s="32"/>
      <c r="Y679" s="33">
        <v>2.64</v>
      </c>
      <c r="Z679" s="33">
        <f t="shared" si="117"/>
        <v>39050.880000000005</v>
      </c>
      <c r="AA679" s="33"/>
      <c r="AB679" s="33"/>
      <c r="AC679" s="438"/>
      <c r="AD679" s="33"/>
    </row>
    <row r="680" spans="1:30" x14ac:dyDescent="0.3">
      <c r="A680" s="146"/>
      <c r="B680" s="146"/>
      <c r="C680" s="23"/>
      <c r="D680" s="14"/>
      <c r="E680" s="35" t="s">
        <v>881</v>
      </c>
      <c r="F680" s="641"/>
      <c r="G680" s="45"/>
      <c r="H680" s="487">
        <v>7309</v>
      </c>
      <c r="I680" s="433"/>
      <c r="J680" s="433"/>
      <c r="K680" s="26"/>
      <c r="L680" s="27"/>
      <c r="M680" s="27"/>
      <c r="N680" s="434"/>
      <c r="O680" s="434"/>
      <c r="P680" s="434"/>
      <c r="Q680" s="69"/>
      <c r="R680" s="69"/>
      <c r="S680" s="69"/>
      <c r="T680" s="435"/>
      <c r="U680" s="435"/>
      <c r="V680" s="435"/>
      <c r="W680" s="31"/>
      <c r="X680" s="32"/>
      <c r="Y680" s="33">
        <v>6.5</v>
      </c>
      <c r="Z680" s="33">
        <f t="shared" si="117"/>
        <v>47508.5</v>
      </c>
      <c r="AA680" s="33"/>
      <c r="AB680" s="33"/>
      <c r="AC680" s="438"/>
      <c r="AD680" s="33"/>
    </row>
    <row r="681" spans="1:30" x14ac:dyDescent="0.3">
      <c r="A681" s="47">
        <v>44279.770833333336</v>
      </c>
      <c r="B681" s="47">
        <v>44283.5</v>
      </c>
      <c r="C681" s="23"/>
      <c r="D681" s="23"/>
      <c r="E681" s="35" t="s">
        <v>111</v>
      </c>
      <c r="F681" s="641" t="s">
        <v>859</v>
      </c>
      <c r="G681" s="110" t="s">
        <v>32</v>
      </c>
      <c r="H681" s="487">
        <f>65500-H682</f>
        <v>59492</v>
      </c>
      <c r="I681" s="433"/>
      <c r="J681" s="433">
        <v>65500</v>
      </c>
      <c r="K681" s="26">
        <f>H681+H682-J681</f>
        <v>0</v>
      </c>
      <c r="L681" s="27">
        <f>B681-A681</f>
        <v>3.7291666666642413</v>
      </c>
      <c r="M681" s="27">
        <f>'[183]ANDHIKA PARAMESTI'!$F$102</f>
        <v>1.3784722222141379</v>
      </c>
      <c r="N681" s="434">
        <f>(H681+H682)/L681</f>
        <v>17564.245810067288</v>
      </c>
      <c r="O681" s="434">
        <f>(H681+H682)/M681</f>
        <v>47516.372796248441</v>
      </c>
      <c r="P681" s="434">
        <v>30000</v>
      </c>
      <c r="Q681" s="69">
        <f>(140127/10000)*8.7</f>
        <v>121.91049</v>
      </c>
      <c r="R681" s="69">
        <f>(124967/10000)*8.7</f>
        <v>108.72129</v>
      </c>
      <c r="S681" s="69">
        <f>Q681-R681</f>
        <v>13.1892</v>
      </c>
      <c r="T681" s="435">
        <f>S681/8.7*10000/(H681+H682)</f>
        <v>0.23145038167938931</v>
      </c>
      <c r="U681" s="435">
        <f>S681/8.5*10000/(H681+H682)</f>
        <v>0.23689627301302199</v>
      </c>
      <c r="V681" s="69"/>
      <c r="W681" s="436"/>
      <c r="X681" s="437"/>
      <c r="Y681" s="33">
        <v>2.64</v>
      </c>
      <c r="Z681" s="33">
        <f t="shared" si="117"/>
        <v>157058.88</v>
      </c>
      <c r="AA681" s="33"/>
      <c r="AB681" s="33"/>
      <c r="AC681" s="438"/>
      <c r="AD681" s="33"/>
    </row>
    <row r="682" spans="1:30" x14ac:dyDescent="0.3">
      <c r="A682" s="439"/>
      <c r="B682" s="439"/>
      <c r="C682" s="23"/>
      <c r="D682" s="23"/>
      <c r="E682" s="35" t="s">
        <v>161</v>
      </c>
      <c r="F682" s="641"/>
      <c r="G682" s="110"/>
      <c r="H682" s="487">
        <v>6008</v>
      </c>
      <c r="I682" s="433"/>
      <c r="J682" s="433"/>
      <c r="K682" s="26"/>
      <c r="L682" s="27"/>
      <c r="M682" s="27"/>
      <c r="N682" s="434"/>
      <c r="O682" s="434"/>
      <c r="P682" s="434"/>
      <c r="Q682" s="69"/>
      <c r="R682" s="69"/>
      <c r="S682" s="69"/>
      <c r="T682" s="435"/>
      <c r="U682" s="435"/>
      <c r="V682" s="435"/>
      <c r="W682" s="436"/>
      <c r="X682" s="437"/>
      <c r="Y682" s="33">
        <v>6.5</v>
      </c>
      <c r="Z682" s="33">
        <f t="shared" si="117"/>
        <v>39052</v>
      </c>
      <c r="AA682" s="33"/>
      <c r="AB682" s="33"/>
      <c r="AC682" s="438"/>
      <c r="AD682" s="33"/>
    </row>
    <row r="683" spans="1:30" x14ac:dyDescent="0.3">
      <c r="A683" s="47">
        <v>44284.090277777781</v>
      </c>
      <c r="B683" s="47">
        <v>44285.875</v>
      </c>
      <c r="C683" s="23"/>
      <c r="D683" s="23"/>
      <c r="E683" s="35" t="s">
        <v>678</v>
      </c>
      <c r="F683" s="641"/>
      <c r="G683" s="110" t="s">
        <v>328</v>
      </c>
      <c r="H683" s="487">
        <f>52010-H684</f>
        <v>47370</v>
      </c>
      <c r="I683" s="433"/>
      <c r="J683" s="433">
        <v>52000</v>
      </c>
      <c r="K683" s="26">
        <f>H683+H684-J683</f>
        <v>10</v>
      </c>
      <c r="L683" s="27">
        <f>B683-A683</f>
        <v>1.7847222222189885</v>
      </c>
      <c r="M683" s="27">
        <f>'[183]SARAH S'!$F$119</f>
        <v>1.0069444444731441</v>
      </c>
      <c r="N683" s="434">
        <f>(H683+H684)/L683</f>
        <v>29141.789883321286</v>
      </c>
      <c r="O683" s="434">
        <f>(H683+H684)/M683</f>
        <v>51651.310343355435</v>
      </c>
      <c r="P683" s="434">
        <v>30000</v>
      </c>
      <c r="Q683" s="69">
        <f>(123845/10000)*8.7</f>
        <v>107.74514999999998</v>
      </c>
      <c r="R683" s="69">
        <f>(113285/10000)*8.7</f>
        <v>98.557949999999991</v>
      </c>
      <c r="S683" s="69">
        <f>Q683-R683</f>
        <v>9.18719999999999</v>
      </c>
      <c r="T683" s="435">
        <f>S683/8.7*10000/(H683+H684)</f>
        <v>0.20303787733128223</v>
      </c>
      <c r="U683" s="435">
        <f>S683/8.5*10000/(H683+H684)</f>
        <v>0.20781523915084177</v>
      </c>
      <c r="V683" s="435"/>
      <c r="W683" s="436"/>
      <c r="X683" s="437"/>
      <c r="Y683" s="33">
        <v>2.64</v>
      </c>
      <c r="Z683" s="33">
        <f t="shared" si="117"/>
        <v>125056.8</v>
      </c>
      <c r="AA683" s="33"/>
      <c r="AB683" s="33"/>
      <c r="AC683" s="438"/>
      <c r="AD683" s="33"/>
    </row>
    <row r="684" spans="1:30" x14ac:dyDescent="0.3">
      <c r="A684" s="439"/>
      <c r="B684" s="439"/>
      <c r="C684" s="23"/>
      <c r="D684" s="23"/>
      <c r="E684" s="35" t="s">
        <v>882</v>
      </c>
      <c r="F684" s="641"/>
      <c r="G684" s="110"/>
      <c r="H684" s="487">
        <v>4640</v>
      </c>
      <c r="I684" s="433"/>
      <c r="J684" s="433"/>
      <c r="K684" s="26"/>
      <c r="L684" s="27"/>
      <c r="M684" s="27"/>
      <c r="N684" s="434"/>
      <c r="O684" s="434"/>
      <c r="P684" s="434"/>
      <c r="Q684" s="69"/>
      <c r="R684" s="69"/>
      <c r="S684" s="69"/>
      <c r="T684" s="435"/>
      <c r="U684" s="435"/>
      <c r="V684" s="435"/>
      <c r="W684" s="436"/>
      <c r="X684" s="437"/>
      <c r="Y684" s="33">
        <v>6.5</v>
      </c>
      <c r="Z684" s="33">
        <f t="shared" si="117"/>
        <v>30160</v>
      </c>
      <c r="AA684" s="33"/>
      <c r="AB684" s="33"/>
      <c r="AC684" s="438"/>
      <c r="AD684" s="33"/>
    </row>
    <row r="685" spans="1:30" x14ac:dyDescent="0.3">
      <c r="A685" s="439"/>
      <c r="B685" s="439"/>
      <c r="C685" s="23"/>
      <c r="D685" s="23"/>
      <c r="E685" s="39"/>
      <c r="F685" s="642"/>
      <c r="G685" s="169"/>
      <c r="H685" s="619"/>
      <c r="I685" s="433"/>
      <c r="J685" s="433"/>
      <c r="K685" s="26"/>
      <c r="L685" s="27"/>
      <c r="M685" s="27"/>
      <c r="N685" s="434"/>
      <c r="O685" s="434"/>
      <c r="P685" s="434"/>
      <c r="Q685" s="69"/>
      <c r="R685" s="69"/>
      <c r="S685" s="69"/>
      <c r="T685" s="435"/>
      <c r="U685" s="435"/>
      <c r="V685" s="435"/>
      <c r="W685" s="436"/>
      <c r="X685" s="437"/>
      <c r="Y685" s="19"/>
      <c r="Z685" s="19"/>
      <c r="AA685" s="33"/>
      <c r="AB685" s="33"/>
      <c r="AC685" s="438"/>
      <c r="AD685" s="33"/>
    </row>
    <row r="686" spans="1:30" x14ac:dyDescent="0.3">
      <c r="A686" s="20"/>
      <c r="B686" s="20"/>
      <c r="C686" s="20">
        <v>1000000001</v>
      </c>
      <c r="D686" s="20"/>
      <c r="E686" s="21" t="s">
        <v>42</v>
      </c>
      <c r="F686" s="643"/>
      <c r="G686" s="644"/>
      <c r="H686" s="485">
        <f>SUM(H665:H685)</f>
        <v>497507</v>
      </c>
      <c r="I686" s="431"/>
      <c r="J686" s="431"/>
      <c r="K686" s="431"/>
      <c r="L686" s="431"/>
      <c r="M686" s="431"/>
      <c r="N686" s="431">
        <f>AVERAGE(N665:N684)</f>
        <v>22387.372602096824</v>
      </c>
      <c r="O686" s="431">
        <f>AVERAGE(O665:O684)</f>
        <v>45443.043221078209</v>
      </c>
      <c r="P686" s="431"/>
      <c r="Q686" s="431"/>
      <c r="R686" s="431"/>
      <c r="S686" s="440">
        <f>SUM(S665:S685)</f>
        <v>98.257799999999975</v>
      </c>
      <c r="T686" s="441">
        <f>S686/8.7*10000/H686</f>
        <v>0.22701188123986193</v>
      </c>
      <c r="U686" s="440"/>
      <c r="V686" s="440"/>
      <c r="W686" s="442"/>
      <c r="X686" s="22"/>
      <c r="Y686" s="22"/>
      <c r="Z686" s="432">
        <f>SUM(Z666:Z685)</f>
        <v>1541467.28</v>
      </c>
      <c r="AA686" s="432"/>
      <c r="AB686" s="432"/>
      <c r="AC686" s="432"/>
      <c r="AD686" s="432"/>
    </row>
    <row r="687" spans="1:30" x14ac:dyDescent="0.3">
      <c r="A687" s="439"/>
      <c r="B687" s="439"/>
      <c r="C687" s="23"/>
      <c r="D687" s="23"/>
      <c r="E687" s="35"/>
      <c r="F687" s="641"/>
      <c r="G687" s="110"/>
      <c r="H687" s="487"/>
      <c r="I687" s="433"/>
      <c r="J687" s="433"/>
      <c r="K687" s="26"/>
      <c r="L687" s="27"/>
      <c r="M687" s="27"/>
      <c r="N687" s="434"/>
      <c r="O687" s="434"/>
      <c r="P687" s="434"/>
      <c r="Q687" s="69"/>
      <c r="R687" s="69"/>
      <c r="S687" s="69"/>
      <c r="T687" s="435"/>
      <c r="U687" s="435"/>
      <c r="V687" s="435"/>
      <c r="W687" s="436"/>
      <c r="X687" s="437"/>
      <c r="Y687" s="33"/>
      <c r="Z687" s="33"/>
      <c r="AA687" s="33"/>
      <c r="AB687" s="33"/>
      <c r="AC687" s="438"/>
      <c r="AD687" s="33"/>
    </row>
    <row r="688" spans="1:30" x14ac:dyDescent="0.3">
      <c r="A688" s="47">
        <v>44286.208333333336</v>
      </c>
      <c r="B688" s="47">
        <v>44287.479166666664</v>
      </c>
      <c r="C688" s="23"/>
      <c r="D688" s="23"/>
      <c r="E688" s="35" t="s">
        <v>883</v>
      </c>
      <c r="F688" s="641"/>
      <c r="G688" s="110" t="s">
        <v>91</v>
      </c>
      <c r="H688" s="487">
        <f>29627-H689</f>
        <v>22476</v>
      </c>
      <c r="I688" s="433"/>
      <c r="J688" s="433">
        <v>160568</v>
      </c>
      <c r="K688" s="26">
        <f>H688-J688-H689</f>
        <v>-145243</v>
      </c>
      <c r="L688" s="27">
        <f>B688-A688</f>
        <v>1.2708333333284827</v>
      </c>
      <c r="M688" s="27">
        <f>'[184]FALCON CONFIDENCE'!$F$57</f>
        <v>0.69618055556566105</v>
      </c>
      <c r="N688" s="434">
        <f>(H688+H689)/L688</f>
        <v>23313.049180416852</v>
      </c>
      <c r="O688" s="434">
        <f>(H688+H689)/M688</f>
        <v>42556.488777437131</v>
      </c>
      <c r="P688" s="434">
        <v>30000</v>
      </c>
      <c r="Q688" s="69">
        <f>(112747/10000)*8.7</f>
        <v>98.089889999999983</v>
      </c>
      <c r="R688" s="69">
        <f>(105725/10000)*8.7</f>
        <v>91.980749999999986</v>
      </c>
      <c r="S688" s="69">
        <f>Q688-R688</f>
        <v>6.1091399999999965</v>
      </c>
      <c r="T688" s="435">
        <f>S688/8.7*10000/(H688+H689)</f>
        <v>0.23701353495122679</v>
      </c>
      <c r="U688" s="435">
        <f>S688/8.5*10000/(H688+H689)</f>
        <v>0.24259032400890268</v>
      </c>
      <c r="V688" s="435"/>
      <c r="W688" s="436"/>
      <c r="X688" s="437"/>
      <c r="Y688" s="33">
        <v>2.64</v>
      </c>
      <c r="Z688" s="33">
        <f t="shared" ref="Z688:Z707" si="118">H688*Y688</f>
        <v>59336.639999999999</v>
      </c>
      <c r="AA688" s="33"/>
      <c r="AB688" s="33"/>
      <c r="AC688" s="438"/>
      <c r="AD688" s="33"/>
    </row>
    <row r="689" spans="1:30" x14ac:dyDescent="0.3">
      <c r="A689" s="47"/>
      <c r="B689" s="47"/>
      <c r="C689" s="23"/>
      <c r="D689" s="23"/>
      <c r="E689" s="35" t="s">
        <v>884</v>
      </c>
      <c r="F689" s="641"/>
      <c r="G689" s="110"/>
      <c r="H689" s="487">
        <v>7151</v>
      </c>
      <c r="I689" s="433"/>
      <c r="J689" s="433"/>
      <c r="K689" s="26"/>
      <c r="L689" s="27"/>
      <c r="M689" s="27"/>
      <c r="N689" s="434"/>
      <c r="O689" s="434"/>
      <c r="P689" s="434"/>
      <c r="Q689" s="69"/>
      <c r="R689" s="69"/>
      <c r="S689" s="69"/>
      <c r="T689" s="435"/>
      <c r="U689" s="435"/>
      <c r="V689" s="435"/>
      <c r="W689" s="436"/>
      <c r="X689" s="437"/>
      <c r="Y689" s="33">
        <v>6.5</v>
      </c>
      <c r="Z689" s="33">
        <f t="shared" si="118"/>
        <v>46481.5</v>
      </c>
      <c r="AA689" s="33"/>
      <c r="AB689" s="33"/>
      <c r="AC689" s="438"/>
      <c r="AD689" s="33"/>
    </row>
    <row r="690" spans="1:30" x14ac:dyDescent="0.3">
      <c r="A690" s="47">
        <v>44288.715277777781</v>
      </c>
      <c r="B690" s="47">
        <v>44291.958333333336</v>
      </c>
      <c r="C690" s="23"/>
      <c r="D690" s="14"/>
      <c r="E690" s="35" t="s">
        <v>885</v>
      </c>
      <c r="F690" s="641"/>
      <c r="G690" s="45" t="s">
        <v>328</v>
      </c>
      <c r="H690" s="645">
        <f>62900-H691-H692</f>
        <v>50202</v>
      </c>
      <c r="I690" s="433"/>
      <c r="J690" s="433">
        <v>62900</v>
      </c>
      <c r="K690" s="26">
        <f>H690+H691+H692-J690</f>
        <v>0</v>
      </c>
      <c r="L690" s="27">
        <f>B690-A690</f>
        <v>3.2430555555547471</v>
      </c>
      <c r="M690" s="27">
        <f>'[184]AFRICAN PARROT'!$F$99</f>
        <v>1.3090277777907129</v>
      </c>
      <c r="N690" s="434">
        <f>(H690+H691+H692)/L690</f>
        <v>19395.289079233957</v>
      </c>
      <c r="O690" s="434">
        <f>(H690+H691+H692)/M690</f>
        <v>48050.928381488055</v>
      </c>
      <c r="P690" s="434">
        <v>30000</v>
      </c>
      <c r="Q690" s="69">
        <f>(104019/10000)*8.7</f>
        <v>90.496529999999993</v>
      </c>
      <c r="R690" s="69">
        <f>(89902/10000)*8.7</f>
        <v>78.214739999999992</v>
      </c>
      <c r="S690" s="69">
        <f>Q690-R690</f>
        <v>12.281790000000001</v>
      </c>
      <c r="T690" s="435">
        <f>S690/8.7*10000/(H690+H691+H692)</f>
        <v>0.22443561208267093</v>
      </c>
      <c r="U690" s="435">
        <f>S690/8.5*10000/(H690+H691+H692)</f>
        <v>0.22971645001402788</v>
      </c>
      <c r="V690" s="435"/>
      <c r="W690" s="31"/>
      <c r="X690" s="32"/>
      <c r="Y690" s="33">
        <v>2.64</v>
      </c>
      <c r="Z690" s="33">
        <f t="shared" si="118"/>
        <v>132533.28</v>
      </c>
      <c r="AA690" s="33"/>
      <c r="AB690" s="33"/>
      <c r="AC690" s="438"/>
      <c r="AD690" s="33"/>
    </row>
    <row r="691" spans="1:30" x14ac:dyDescent="0.3">
      <c r="A691" s="439"/>
      <c r="B691" s="439"/>
      <c r="C691" s="23"/>
      <c r="D691" s="14"/>
      <c r="E691" s="35" t="s">
        <v>886</v>
      </c>
      <c r="F691" s="641"/>
      <c r="G691" s="45"/>
      <c r="H691" s="645">
        <v>7595</v>
      </c>
      <c r="I691" s="433"/>
      <c r="J691" s="433"/>
      <c r="K691" s="26"/>
      <c r="L691" s="27"/>
      <c r="M691" s="27"/>
      <c r="N691" s="462"/>
      <c r="O691" s="462"/>
      <c r="P691" s="434"/>
      <c r="Q691" s="69"/>
      <c r="R691" s="69"/>
      <c r="S691" s="69"/>
      <c r="T691" s="435"/>
      <c r="U691" s="435"/>
      <c r="V691" s="435"/>
      <c r="W691" s="31"/>
      <c r="X691" s="32"/>
      <c r="Y691" s="33">
        <v>6.5</v>
      </c>
      <c r="Z691" s="33">
        <f t="shared" si="118"/>
        <v>49367.5</v>
      </c>
      <c r="AA691" s="33"/>
      <c r="AB691" s="33"/>
      <c r="AC691" s="438"/>
      <c r="AD691" s="33"/>
    </row>
    <row r="692" spans="1:30" x14ac:dyDescent="0.3">
      <c r="A692" s="439"/>
      <c r="B692" s="439"/>
      <c r="C692" s="23"/>
      <c r="D692" s="14"/>
      <c r="E692" s="35" t="s">
        <v>886</v>
      </c>
      <c r="F692" s="641"/>
      <c r="G692" s="45"/>
      <c r="H692" s="487">
        <v>5103</v>
      </c>
      <c r="I692" s="433"/>
      <c r="J692" s="433"/>
      <c r="K692" s="26"/>
      <c r="L692" s="27"/>
      <c r="M692" s="27"/>
      <c r="N692" s="462"/>
      <c r="O692" s="462"/>
      <c r="P692" s="434"/>
      <c r="Q692" s="69"/>
      <c r="R692" s="69"/>
      <c r="S692" s="69"/>
      <c r="T692" s="435"/>
      <c r="U692" s="435"/>
      <c r="V692" s="435"/>
      <c r="W692" s="31"/>
      <c r="X692" s="32"/>
      <c r="Y692" s="33">
        <v>6.5</v>
      </c>
      <c r="Z692" s="33">
        <f t="shared" si="118"/>
        <v>33169.5</v>
      </c>
      <c r="AA692" s="33"/>
      <c r="AB692" s="33"/>
      <c r="AC692" s="438"/>
      <c r="AD692" s="33"/>
    </row>
    <row r="693" spans="1:30" x14ac:dyDescent="0.3">
      <c r="A693" s="47">
        <v>44294.8125</v>
      </c>
      <c r="B693" s="47">
        <v>44297.388888888891</v>
      </c>
      <c r="C693" s="23"/>
      <c r="D693" s="14"/>
      <c r="E693" s="35" t="s">
        <v>887</v>
      </c>
      <c r="F693" s="641" t="s">
        <v>859</v>
      </c>
      <c r="G693" s="45" t="s">
        <v>328</v>
      </c>
      <c r="H693" s="487">
        <f>65500-H694-H695</f>
        <v>56532</v>
      </c>
      <c r="I693" s="433"/>
      <c r="J693" s="433">
        <v>65500</v>
      </c>
      <c r="K693" s="26">
        <f>H693+H694+H695-J693</f>
        <v>0</v>
      </c>
      <c r="L693" s="27">
        <f>B693-A693</f>
        <v>2.5763888888905058</v>
      </c>
      <c r="M693" s="27">
        <f>'[184]ANDHIKA ATHALIA'!$F$100</f>
        <v>1.5156249999987874</v>
      </c>
      <c r="N693" s="434">
        <f>(H693+H694+H695)/L693</f>
        <v>25423.180592975958</v>
      </c>
      <c r="O693" s="434">
        <f>(H693+H694+H695)/M693</f>
        <v>43216.494845395398</v>
      </c>
      <c r="P693" s="434">
        <v>30000</v>
      </c>
      <c r="Q693" s="69">
        <f>(84765/10000)*8.7</f>
        <v>73.745549999999994</v>
      </c>
      <c r="R693" s="69">
        <f>(70715/10000)*8.7</f>
        <v>61.52205</v>
      </c>
      <c r="S693" s="69">
        <f>Q693-R693</f>
        <v>12.223499999999994</v>
      </c>
      <c r="T693" s="435">
        <f>S693/8.7*10000/(H693+H694+H695)</f>
        <v>0.21450381679389302</v>
      </c>
      <c r="U693" s="435">
        <f>S693/8.5*10000/(H693+H694+H695)</f>
        <v>0.21955096542433758</v>
      </c>
      <c r="V693" s="435"/>
      <c r="W693" s="31"/>
      <c r="X693" s="32"/>
      <c r="Y693" s="33">
        <v>2.64</v>
      </c>
      <c r="Z693" s="33">
        <f t="shared" si="118"/>
        <v>149244.48000000001</v>
      </c>
      <c r="AA693" s="33"/>
      <c r="AB693" s="33"/>
      <c r="AC693" s="438"/>
      <c r="AD693" s="33"/>
    </row>
    <row r="694" spans="1:30" x14ac:dyDescent="0.3">
      <c r="A694" s="439"/>
      <c r="B694" s="439"/>
      <c r="C694" s="23"/>
      <c r="D694" s="14"/>
      <c r="E694" s="35" t="s">
        <v>888</v>
      </c>
      <c r="F694" s="641"/>
      <c r="G694" s="45"/>
      <c r="H694" s="487">
        <v>1096</v>
      </c>
      <c r="I694" s="433"/>
      <c r="J694" s="433"/>
      <c r="K694" s="26"/>
      <c r="L694" s="27"/>
      <c r="M694" s="27"/>
      <c r="N694" s="462"/>
      <c r="O694" s="462"/>
      <c r="P694" s="434"/>
      <c r="Q694" s="69"/>
      <c r="R694" s="69"/>
      <c r="S694" s="69"/>
      <c r="T694" s="435"/>
      <c r="U694" s="435"/>
      <c r="V694" s="435"/>
      <c r="W694" s="31"/>
      <c r="X694" s="32"/>
      <c r="Y694" s="33">
        <v>6.5</v>
      </c>
      <c r="Z694" s="33">
        <f t="shared" si="118"/>
        <v>7124</v>
      </c>
      <c r="AA694" s="33"/>
      <c r="AB694" s="33"/>
      <c r="AC694" s="438"/>
      <c r="AD694" s="33"/>
    </row>
    <row r="695" spans="1:30" x14ac:dyDescent="0.3">
      <c r="A695" s="439"/>
      <c r="B695" s="439"/>
      <c r="C695" s="23"/>
      <c r="D695" s="14"/>
      <c r="E695" s="35" t="s">
        <v>888</v>
      </c>
      <c r="F695" s="641"/>
      <c r="G695" s="45"/>
      <c r="H695" s="487">
        <v>7872</v>
      </c>
      <c r="I695" s="433"/>
      <c r="J695" s="433"/>
      <c r="K695" s="26"/>
      <c r="L695" s="27"/>
      <c r="M695" s="27"/>
      <c r="N695" s="462"/>
      <c r="O695" s="462"/>
      <c r="P695" s="434"/>
      <c r="Q695" s="69"/>
      <c r="R695" s="69"/>
      <c r="S695" s="69"/>
      <c r="T695" s="435"/>
      <c r="U695" s="435"/>
      <c r="V695" s="435"/>
      <c r="W695" s="31"/>
      <c r="X695" s="32"/>
      <c r="Y695" s="33">
        <v>6.5</v>
      </c>
      <c r="Z695" s="33">
        <f t="shared" si="118"/>
        <v>51168</v>
      </c>
      <c r="AA695" s="33"/>
      <c r="AB695" s="33"/>
      <c r="AC695" s="438"/>
      <c r="AD695" s="33"/>
    </row>
    <row r="696" spans="1:30" x14ac:dyDescent="0.3">
      <c r="A696" s="47">
        <v>44298.479166666664</v>
      </c>
      <c r="B696" s="47">
        <v>44300.263888888891</v>
      </c>
      <c r="C696" s="23"/>
      <c r="D696" s="14"/>
      <c r="E696" s="35" t="s">
        <v>889</v>
      </c>
      <c r="F696" s="641"/>
      <c r="G696" s="45" t="s">
        <v>32</v>
      </c>
      <c r="H696" s="487">
        <f>46689-H697-H698</f>
        <v>31475</v>
      </c>
      <c r="I696" s="433"/>
      <c r="J696" s="433">
        <v>60500</v>
      </c>
      <c r="K696" s="26">
        <f>H696+H697+H698-J696</f>
        <v>-13811</v>
      </c>
      <c r="L696" s="27">
        <f>B696-A696</f>
        <v>1.7847222222262644</v>
      </c>
      <c r="M696" s="27">
        <f>'[184]CALYPSO N'!$F$83</f>
        <v>0.93923611113738537</v>
      </c>
      <c r="N696" s="434">
        <f>(H696+H697+H698)/L696</f>
        <v>26160.37354079678</v>
      </c>
      <c r="O696" s="434">
        <f>(H696+H697+H698)/M696</f>
        <v>49709.545285115892</v>
      </c>
      <c r="P696" s="434">
        <v>30000</v>
      </c>
      <c r="Q696" s="69">
        <f>(68863/10000)*8.7</f>
        <v>59.910809999999998</v>
      </c>
      <c r="R696" s="69">
        <f>(58491/10000)*8.7</f>
        <v>50.887169999999998</v>
      </c>
      <c r="S696" s="69">
        <f>Q696-R696</f>
        <v>9.0236400000000003</v>
      </c>
      <c r="T696" s="435">
        <f>S696/8.7*10000/(H696+H697+H698)</f>
        <v>0.22215082781811565</v>
      </c>
      <c r="U696" s="435">
        <f>S696/8.5*10000/(H696+H697+H698)</f>
        <v>0.22737790611971834</v>
      </c>
      <c r="V696" s="435"/>
      <c r="W696" s="31"/>
      <c r="X696" s="32"/>
      <c r="Y696" s="33">
        <v>2.64</v>
      </c>
      <c r="Z696" s="33">
        <f t="shared" si="118"/>
        <v>83094</v>
      </c>
      <c r="AA696" s="33"/>
      <c r="AB696" s="33"/>
      <c r="AC696" s="438"/>
      <c r="AD696" s="33"/>
    </row>
    <row r="697" spans="1:30" x14ac:dyDescent="0.3">
      <c r="A697" s="439"/>
      <c r="B697" s="439"/>
      <c r="C697" s="23"/>
      <c r="D697" s="14"/>
      <c r="E697" s="35" t="s">
        <v>890</v>
      </c>
      <c r="F697" s="641"/>
      <c r="G697" s="45"/>
      <c r="H697" s="487">
        <v>7767</v>
      </c>
      <c r="I697" s="433"/>
      <c r="J697" s="433"/>
      <c r="K697" s="26"/>
      <c r="L697" s="27"/>
      <c r="M697" s="27"/>
      <c r="N697" s="462"/>
      <c r="O697" s="462"/>
      <c r="P697" s="434"/>
      <c r="Q697" s="69"/>
      <c r="R697" s="69"/>
      <c r="S697" s="69"/>
      <c r="T697" s="435"/>
      <c r="U697" s="435"/>
      <c r="V697" s="435"/>
      <c r="W697" s="31"/>
      <c r="X697" s="32"/>
      <c r="Y697" s="33">
        <v>6.5</v>
      </c>
      <c r="Z697" s="33">
        <f t="shared" si="118"/>
        <v>50485.5</v>
      </c>
      <c r="AA697" s="33"/>
      <c r="AB697" s="33"/>
      <c r="AC697" s="438"/>
      <c r="AD697" s="33"/>
    </row>
    <row r="698" spans="1:30" x14ac:dyDescent="0.3">
      <c r="A698" s="439"/>
      <c r="B698" s="439"/>
      <c r="C698" s="23"/>
      <c r="D698" s="14"/>
      <c r="E698" s="35" t="s">
        <v>890</v>
      </c>
      <c r="F698" s="641"/>
      <c r="G698" s="45"/>
      <c r="H698" s="487">
        <v>7447</v>
      </c>
      <c r="I698" s="433"/>
      <c r="J698" s="433"/>
      <c r="K698" s="26"/>
      <c r="L698" s="27"/>
      <c r="M698" s="27"/>
      <c r="N698" s="462"/>
      <c r="O698" s="462"/>
      <c r="P698" s="434"/>
      <c r="Q698" s="69"/>
      <c r="R698" s="69"/>
      <c r="S698" s="69"/>
      <c r="T698" s="435"/>
      <c r="U698" s="435"/>
      <c r="V698" s="435"/>
      <c r="W698" s="31"/>
      <c r="X698" s="32"/>
      <c r="Y698" s="33">
        <v>6.5</v>
      </c>
      <c r="Z698" s="33">
        <f t="shared" si="118"/>
        <v>48405.5</v>
      </c>
      <c r="AA698" s="33"/>
      <c r="AB698" s="33"/>
      <c r="AC698" s="438"/>
      <c r="AD698" s="33"/>
    </row>
    <row r="699" spans="1:30" x14ac:dyDescent="0.3">
      <c r="A699" s="47">
        <v>44301.604166666664</v>
      </c>
      <c r="B699" s="47">
        <v>44302.263888888891</v>
      </c>
      <c r="C699" s="23"/>
      <c r="D699" s="14"/>
      <c r="E699" s="35" t="s">
        <v>891</v>
      </c>
      <c r="F699" s="641"/>
      <c r="G699" s="45" t="s">
        <v>328</v>
      </c>
      <c r="H699" s="487">
        <v>21645</v>
      </c>
      <c r="I699" s="433"/>
      <c r="J699" s="433">
        <v>82500</v>
      </c>
      <c r="K699" s="26">
        <f>H699-J699</f>
        <v>-60855</v>
      </c>
      <c r="L699" s="27">
        <f>B699-A699</f>
        <v>0.65972222222626442</v>
      </c>
      <c r="M699" s="27">
        <f>'[184]MARAN BRILLIANCE'!$F$44</f>
        <v>0.47743055555474712</v>
      </c>
      <c r="N699" s="434">
        <f>(H699)/L699</f>
        <v>32809.263157693713</v>
      </c>
      <c r="O699" s="434">
        <f>(H699)/M699</f>
        <v>45336.436363713132</v>
      </c>
      <c r="P699" s="434">
        <v>30000</v>
      </c>
      <c r="Q699" s="69">
        <f>(56649/10000)*8.7</f>
        <v>49.28463</v>
      </c>
      <c r="R699" s="69">
        <f>(52119/10000)*8.7</f>
        <v>45.343529999999994</v>
      </c>
      <c r="S699" s="69">
        <f>Q699-R699</f>
        <v>3.9411000000000058</v>
      </c>
      <c r="T699" s="435">
        <f>S699/8.7*10000/(H699)</f>
        <v>0.20928620928620958</v>
      </c>
      <c r="U699" s="435">
        <f>S699/8.5*10000/(H699)</f>
        <v>0.21421059068117923</v>
      </c>
      <c r="V699" s="435"/>
      <c r="W699" s="31"/>
      <c r="X699" s="32"/>
      <c r="Y699" s="33">
        <v>2.64</v>
      </c>
      <c r="Z699" s="33">
        <f t="shared" si="118"/>
        <v>57142.8</v>
      </c>
      <c r="AA699" s="33"/>
      <c r="AB699" s="33"/>
      <c r="AC699" s="438"/>
      <c r="AD699" s="33"/>
    </row>
    <row r="700" spans="1:30" x14ac:dyDescent="0.3">
      <c r="A700" s="47">
        <v>44303.375</v>
      </c>
      <c r="B700" s="47">
        <v>44308.895833333336</v>
      </c>
      <c r="C700" s="23"/>
      <c r="D700" s="14"/>
      <c r="E700" s="35" t="s">
        <v>892</v>
      </c>
      <c r="F700" s="641"/>
      <c r="G700" s="45" t="s">
        <v>328</v>
      </c>
      <c r="H700" s="487">
        <f>73059-H701-H702</f>
        <v>58654.797000000006</v>
      </c>
      <c r="I700" s="433"/>
      <c r="J700" s="433">
        <v>160800</v>
      </c>
      <c r="K700" s="26">
        <f>H700+H701+H702-J700</f>
        <v>-87741</v>
      </c>
      <c r="L700" s="27">
        <f>B700-A700</f>
        <v>5.5208333333357587</v>
      </c>
      <c r="M700" s="27">
        <f>'[184]MINERAL DESTELBERGEN'!$F$125</f>
        <v>2.6423611110937295</v>
      </c>
      <c r="N700" s="434">
        <f>(H700+H701+H702)/L700</f>
        <v>13233.32830188098</v>
      </c>
      <c r="O700" s="462">
        <f>(H700+H701+H702)/M700</f>
        <v>27649.135348407897</v>
      </c>
      <c r="P700" s="434">
        <v>30000</v>
      </c>
      <c r="Q700" s="69">
        <f>(257773/10000)*8.7</f>
        <v>224.26250999999999</v>
      </c>
      <c r="R700" s="69">
        <f>(232554/10000)*8.7</f>
        <v>202.32198</v>
      </c>
      <c r="S700" s="69">
        <f>Q700-R700</f>
        <v>21.940529999999995</v>
      </c>
      <c r="T700" s="435">
        <f>S700/8.7*10000/(H700+H701+H702)</f>
        <v>0.34518676685966132</v>
      </c>
      <c r="U700" s="435">
        <f>S700/8.5*10000/(H700+H701+H702)</f>
        <v>0.3533088084328298</v>
      </c>
      <c r="V700" s="435"/>
      <c r="W700" s="31"/>
      <c r="X700" s="32"/>
      <c r="Y700" s="33">
        <v>2.64</v>
      </c>
      <c r="Z700" s="33">
        <f t="shared" si="118"/>
        <v>154848.66408000002</v>
      </c>
      <c r="AA700" s="33"/>
      <c r="AB700" s="33"/>
      <c r="AC700" s="438"/>
      <c r="AD700" s="33"/>
    </row>
    <row r="701" spans="1:30" x14ac:dyDescent="0.3">
      <c r="A701" s="439"/>
      <c r="B701" s="439"/>
      <c r="C701" s="23"/>
      <c r="D701" s="14"/>
      <c r="E701" s="35" t="s">
        <v>893</v>
      </c>
      <c r="F701" s="641"/>
      <c r="G701" s="45"/>
      <c r="H701" s="487">
        <v>7172.7370000000001</v>
      </c>
      <c r="I701" s="433"/>
      <c r="J701" s="433"/>
      <c r="K701" s="26"/>
      <c r="L701" s="27"/>
      <c r="M701" s="27"/>
      <c r="N701" s="462"/>
      <c r="O701" s="462"/>
      <c r="P701" s="434"/>
      <c r="Q701" s="69"/>
      <c r="R701" s="69"/>
      <c r="S701" s="69"/>
      <c r="T701" s="435"/>
      <c r="U701" s="435"/>
      <c r="V701" s="435"/>
      <c r="W701" s="31"/>
      <c r="X701" s="32"/>
      <c r="Y701" s="33">
        <v>6.5</v>
      </c>
      <c r="Z701" s="33">
        <f t="shared" si="118"/>
        <v>46622.790500000003</v>
      </c>
      <c r="AA701" s="33"/>
      <c r="AB701" s="33"/>
      <c r="AC701" s="438"/>
      <c r="AD701" s="33"/>
    </row>
    <row r="702" spans="1:30" x14ac:dyDescent="0.3">
      <c r="A702" s="439"/>
      <c r="B702" s="439"/>
      <c r="C702" s="23"/>
      <c r="D702" s="14"/>
      <c r="E702" s="35" t="s">
        <v>893</v>
      </c>
      <c r="F702" s="641"/>
      <c r="G702" s="45"/>
      <c r="H702" s="487">
        <v>7231.4660000000003</v>
      </c>
      <c r="I702" s="433"/>
      <c r="J702" s="433"/>
      <c r="K702" s="26"/>
      <c r="L702" s="27"/>
      <c r="M702" s="27"/>
      <c r="N702" s="462"/>
      <c r="O702" s="462"/>
      <c r="P702" s="434"/>
      <c r="Q702" s="69"/>
      <c r="R702" s="69"/>
      <c r="S702" s="69"/>
      <c r="T702" s="435"/>
      <c r="U702" s="435"/>
      <c r="V702" s="435"/>
      <c r="W702" s="31"/>
      <c r="X702" s="32"/>
      <c r="Y702" s="33">
        <v>6.5</v>
      </c>
      <c r="Z702" s="33">
        <f t="shared" si="118"/>
        <v>47004.529000000002</v>
      </c>
      <c r="AA702" s="33"/>
      <c r="AB702" s="33"/>
      <c r="AC702" s="438"/>
      <c r="AD702" s="33"/>
    </row>
    <row r="703" spans="1:30" x14ac:dyDescent="0.3">
      <c r="A703" s="47">
        <v>44309.125</v>
      </c>
      <c r="B703" s="47">
        <v>44311.263888888891</v>
      </c>
      <c r="C703" s="23"/>
      <c r="D703" s="14"/>
      <c r="E703" s="35" t="s">
        <v>331</v>
      </c>
      <c r="F703" s="641"/>
      <c r="G703" s="45" t="s">
        <v>328</v>
      </c>
      <c r="H703" s="487">
        <f>48457-H704</f>
        <v>46866.008999999998</v>
      </c>
      <c r="I703" s="433"/>
      <c r="J703" s="433">
        <v>75300</v>
      </c>
      <c r="K703" s="26">
        <f>H703-J703-H704</f>
        <v>-30024.982000000004</v>
      </c>
      <c r="L703" s="27">
        <f>B703-A703</f>
        <v>2.1388888888905058</v>
      </c>
      <c r="M703" s="27">
        <f>'[184]NENG YUAN'!$F$89</f>
        <v>1.3020833333090802</v>
      </c>
      <c r="N703" s="434">
        <f>(H703+H704)/L703</f>
        <v>22655.220779203653</v>
      </c>
      <c r="O703" s="462">
        <f>(H703+H704)/M703</f>
        <v>37214.976000693183</v>
      </c>
      <c r="P703" s="434">
        <v>30000</v>
      </c>
      <c r="Q703" s="69">
        <f>(232162/10000)*8.7</f>
        <v>201.98093999999998</v>
      </c>
      <c r="R703" s="69">
        <f>(219536/10000)*8.7</f>
        <v>190.99632</v>
      </c>
      <c r="S703" s="69">
        <f>Q703-R703</f>
        <v>10.984619999999978</v>
      </c>
      <c r="T703" s="435">
        <f>S703/8.7*10000/(H703+H704)</f>
        <v>0.26056090967249262</v>
      </c>
      <c r="U703" s="435">
        <f>S703/8.5*10000/(H703+H704)</f>
        <v>0.26669175460596301</v>
      </c>
      <c r="V703" s="435"/>
      <c r="W703" s="31"/>
      <c r="X703" s="32"/>
      <c r="Y703" s="33">
        <v>2.64</v>
      </c>
      <c r="Z703" s="33">
        <f t="shared" si="118"/>
        <v>123726.26376</v>
      </c>
      <c r="AA703" s="33"/>
      <c r="AB703" s="33"/>
      <c r="AC703" s="438"/>
      <c r="AD703" s="33"/>
    </row>
    <row r="704" spans="1:30" x14ac:dyDescent="0.3">
      <c r="A704" s="439"/>
      <c r="B704" s="439"/>
      <c r="C704" s="23"/>
      <c r="D704" s="14"/>
      <c r="E704" s="35" t="s">
        <v>406</v>
      </c>
      <c r="F704" s="641"/>
      <c r="G704" s="45"/>
      <c r="H704" s="487">
        <v>1590.991</v>
      </c>
      <c r="I704" s="433"/>
      <c r="J704" s="433"/>
      <c r="K704" s="26"/>
      <c r="L704" s="27"/>
      <c r="M704" s="27"/>
      <c r="N704" s="462"/>
      <c r="O704" s="462"/>
      <c r="P704" s="434"/>
      <c r="Q704" s="69"/>
      <c r="R704" s="69"/>
      <c r="S704" s="69"/>
      <c r="T704" s="435"/>
      <c r="U704" s="435"/>
      <c r="V704" s="435"/>
      <c r="W704" s="31"/>
      <c r="X704" s="32"/>
      <c r="Y704" s="33">
        <v>6.5</v>
      </c>
      <c r="Z704" s="33">
        <f t="shared" si="118"/>
        <v>10341.441500000001</v>
      </c>
      <c r="AA704" s="33"/>
      <c r="AB704" s="33"/>
      <c r="AC704" s="438"/>
      <c r="AD704" s="33"/>
    </row>
    <row r="705" spans="1:30" x14ac:dyDescent="0.3">
      <c r="A705" s="47">
        <v>44311.569444444445</v>
      </c>
      <c r="B705" s="47">
        <v>44313.024305555555</v>
      </c>
      <c r="C705" s="23"/>
      <c r="D705" s="23"/>
      <c r="E705" s="35" t="s">
        <v>894</v>
      </c>
      <c r="F705" s="641"/>
      <c r="G705" s="110" t="s">
        <v>328</v>
      </c>
      <c r="H705" s="487">
        <v>26434</v>
      </c>
      <c r="I705" s="433"/>
      <c r="J705" s="433">
        <v>66200</v>
      </c>
      <c r="K705" s="26">
        <f>H705-J705</f>
        <v>-39766</v>
      </c>
      <c r="L705" s="27">
        <f>B705-A705</f>
        <v>1.4548611111094942</v>
      </c>
      <c r="M705" s="27">
        <f>'[184]JIAN XIANG'!$F$66</f>
        <v>0.95138888887110318</v>
      </c>
      <c r="N705" s="434">
        <f>(H705)/L705</f>
        <v>18169.431980927115</v>
      </c>
      <c r="O705" s="462">
        <f>(H705)/M705</f>
        <v>27784.642336285844</v>
      </c>
      <c r="P705" s="434">
        <v>30000</v>
      </c>
      <c r="Q705" s="69">
        <f>(219144/10000)*8.7</f>
        <v>190.65527999999998</v>
      </c>
      <c r="R705" s="69">
        <f>(210191/10000)*8.7</f>
        <v>182.86617000000001</v>
      </c>
      <c r="S705" s="69">
        <f>Q705-R705</f>
        <v>7.7891099999999653</v>
      </c>
      <c r="T705" s="435">
        <f>S705/8.7*10000/(H705)</f>
        <v>0.33869259287281389</v>
      </c>
      <c r="U705" s="435">
        <f>S705/8.5*10000/(H705)</f>
        <v>0.34666183035217413</v>
      </c>
      <c r="V705" s="69"/>
      <c r="W705" s="436"/>
      <c r="X705" s="437"/>
      <c r="Y705" s="33">
        <v>2.64</v>
      </c>
      <c r="Z705" s="33">
        <f t="shared" si="118"/>
        <v>69785.760000000009</v>
      </c>
      <c r="AA705" s="33"/>
      <c r="AB705" s="33"/>
      <c r="AC705" s="438"/>
      <c r="AD705" s="33"/>
    </row>
    <row r="706" spans="1:30" x14ac:dyDescent="0.3">
      <c r="A706" s="47">
        <v>44313.340277777781</v>
      </c>
      <c r="B706" s="47">
        <v>44315.895833333336</v>
      </c>
      <c r="C706" s="23"/>
      <c r="D706" s="23"/>
      <c r="E706" s="35" t="s">
        <v>109</v>
      </c>
      <c r="F706" s="641"/>
      <c r="G706" s="45" t="s">
        <v>32</v>
      </c>
      <c r="H706" s="487">
        <f>39815-H707</f>
        <v>34056</v>
      </c>
      <c r="I706" s="433"/>
      <c r="J706" s="433">
        <v>67020</v>
      </c>
      <c r="K706" s="26">
        <f>H706+H707-J706</f>
        <v>-27205</v>
      </c>
      <c r="L706" s="27">
        <f>B706-A706</f>
        <v>2.5555555555547471</v>
      </c>
      <c r="M706" s="27">
        <f>'[184]YUE DIAN 81'!$F$86</f>
        <v>1.7447916666848566</v>
      </c>
      <c r="N706" s="434">
        <f>(H706+H707)/L706</f>
        <v>15579.782608700581</v>
      </c>
      <c r="O706" s="462">
        <f>(H706+H707)/M706</f>
        <v>22819.343283344191</v>
      </c>
      <c r="P706" s="434">
        <v>30000</v>
      </c>
      <c r="Q706" s="69">
        <f>(209753/10000)*8.7</f>
        <v>182.48510999999999</v>
      </c>
      <c r="R706" s="69">
        <f>(194933/10000)*8.7</f>
        <v>169.59171000000001</v>
      </c>
      <c r="S706" s="69">
        <f>Q706-R706</f>
        <v>12.893399999999986</v>
      </c>
      <c r="T706" s="435">
        <f>S706/8.7*10000/(H706+H707)</f>
        <v>0.37222152455104818</v>
      </c>
      <c r="U706" s="435">
        <f>S706/8.5*10000/(H706+H707)</f>
        <v>0.38097967806989635</v>
      </c>
      <c r="V706" s="435"/>
      <c r="W706" s="436"/>
      <c r="X706" s="437"/>
      <c r="Y706" s="33">
        <v>2.64</v>
      </c>
      <c r="Z706" s="33">
        <f t="shared" si="118"/>
        <v>89907.840000000011</v>
      </c>
      <c r="AA706" s="33"/>
      <c r="AB706" s="33"/>
      <c r="AC706" s="438"/>
      <c r="AD706" s="33"/>
    </row>
    <row r="707" spans="1:30" x14ac:dyDescent="0.3">
      <c r="A707" s="439"/>
      <c r="B707" s="439"/>
      <c r="C707" s="23"/>
      <c r="D707" s="23"/>
      <c r="E707" s="35" t="s">
        <v>721</v>
      </c>
      <c r="F707" s="641"/>
      <c r="G707" s="110"/>
      <c r="H707" s="487">
        <v>5759</v>
      </c>
      <c r="I707" s="24"/>
      <c r="J707" s="24"/>
      <c r="K707" s="24"/>
      <c r="L707" s="27"/>
      <c r="M707" s="27"/>
      <c r="N707" s="434"/>
      <c r="O707" s="434"/>
      <c r="P707" s="434"/>
      <c r="Q707" s="69"/>
      <c r="R707" s="69"/>
      <c r="S707" s="69"/>
      <c r="T707" s="435"/>
      <c r="U707" s="435"/>
      <c r="V707" s="435"/>
      <c r="W707" s="436"/>
      <c r="X707" s="437"/>
      <c r="Y707" s="33">
        <v>6.5</v>
      </c>
      <c r="Z707" s="33">
        <f t="shared" si="118"/>
        <v>37433.5</v>
      </c>
      <c r="AA707" s="33"/>
      <c r="AB707" s="33"/>
      <c r="AC707" s="438"/>
      <c r="AD707" s="33"/>
    </row>
    <row r="708" spans="1:30" x14ac:dyDescent="0.3">
      <c r="A708" s="439"/>
      <c r="B708" s="439"/>
      <c r="C708" s="23"/>
      <c r="D708" s="23"/>
      <c r="E708" s="35"/>
      <c r="F708" s="641"/>
      <c r="G708" s="110"/>
      <c r="H708" s="487"/>
      <c r="I708" s="433"/>
      <c r="J708" s="433"/>
      <c r="K708" s="26"/>
      <c r="L708" s="27"/>
      <c r="M708" s="27"/>
      <c r="N708" s="434"/>
      <c r="O708" s="434"/>
      <c r="P708" s="434"/>
      <c r="Q708" s="69"/>
      <c r="R708" s="69"/>
      <c r="S708" s="69"/>
      <c r="T708" s="435"/>
      <c r="U708" s="435"/>
      <c r="V708" s="435"/>
      <c r="W708" s="436"/>
      <c r="X708" s="437"/>
      <c r="Y708" s="33"/>
      <c r="Z708" s="33"/>
      <c r="AA708" s="33"/>
      <c r="AB708" s="33"/>
      <c r="AC708" s="438"/>
      <c r="AD708" s="33"/>
    </row>
    <row r="709" spans="1:30" x14ac:dyDescent="0.3">
      <c r="A709" s="20"/>
      <c r="B709" s="20"/>
      <c r="C709" s="20">
        <v>1000000001</v>
      </c>
      <c r="D709" s="20"/>
      <c r="E709" s="21" t="s">
        <v>43</v>
      </c>
      <c r="F709" s="643"/>
      <c r="G709" s="644"/>
      <c r="H709" s="485">
        <f>SUM(H687:H708)</f>
        <v>414126.00000000006</v>
      </c>
      <c r="I709" s="431"/>
      <c r="J709" s="431"/>
      <c r="K709" s="431"/>
      <c r="L709" s="431"/>
      <c r="M709" s="431"/>
      <c r="N709" s="431">
        <f>AVERAGE(N688:N707)</f>
        <v>21859.879913536624</v>
      </c>
      <c r="O709" s="431">
        <f>AVERAGE(O688:O707)</f>
        <v>38259.776735764521</v>
      </c>
      <c r="P709" s="431"/>
      <c r="Q709" s="431"/>
      <c r="R709" s="431"/>
      <c r="S709" s="440">
        <f>SUM(S687:S708)</f>
        <v>97.186829999999929</v>
      </c>
      <c r="T709" s="441">
        <f>S709/8.7*10000/H709</f>
        <v>0.26974640568329422</v>
      </c>
      <c r="U709" s="440"/>
      <c r="V709" s="440"/>
      <c r="W709" s="442"/>
      <c r="X709" s="22"/>
      <c r="Y709" s="22"/>
      <c r="Z709" s="432">
        <f>SUM(Z688:Z708)</f>
        <v>1347223.48884</v>
      </c>
      <c r="AA709" s="432"/>
      <c r="AB709" s="432"/>
      <c r="AC709" s="432"/>
      <c r="AD709" s="432"/>
    </row>
    <row r="710" spans="1:30" x14ac:dyDescent="0.3">
      <c r="A710" s="146"/>
      <c r="B710" s="146"/>
      <c r="C710" s="23"/>
      <c r="D710" s="14"/>
      <c r="E710" s="35"/>
      <c r="F710" s="641"/>
      <c r="G710" s="110"/>
      <c r="H710" s="487"/>
      <c r="I710" s="433"/>
      <c r="J710" s="433"/>
      <c r="K710" s="26"/>
      <c r="L710" s="27"/>
      <c r="M710" s="27"/>
      <c r="N710" s="434"/>
      <c r="O710" s="434"/>
      <c r="P710" s="434"/>
      <c r="Q710" s="69"/>
      <c r="R710" s="69"/>
      <c r="S710" s="69"/>
      <c r="T710" s="435"/>
      <c r="U710" s="435"/>
      <c r="V710" s="435"/>
      <c r="W710" s="436"/>
      <c r="X710" s="437"/>
      <c r="Y710" s="33"/>
      <c r="Z710" s="33"/>
      <c r="AA710" s="33"/>
      <c r="AB710" s="33"/>
      <c r="AC710" s="438"/>
      <c r="AD710" s="33"/>
    </row>
    <row r="711" spans="1:30" x14ac:dyDescent="0.3">
      <c r="A711" s="47">
        <v>44316.111111111109</v>
      </c>
      <c r="B711" s="47">
        <v>44317.739583333336</v>
      </c>
      <c r="C711" s="23"/>
      <c r="D711" s="14"/>
      <c r="E711" s="35" t="s">
        <v>895</v>
      </c>
      <c r="F711" s="641"/>
      <c r="G711" s="110" t="s">
        <v>328</v>
      </c>
      <c r="H711" s="487">
        <v>10777</v>
      </c>
      <c r="I711" s="433"/>
      <c r="J711" s="433">
        <v>82200</v>
      </c>
      <c r="K711" s="26">
        <f>H711-J711</f>
        <v>-71423</v>
      </c>
      <c r="L711" s="27">
        <f>B711-A711</f>
        <v>1.6284722222262644</v>
      </c>
      <c r="M711" s="27">
        <f>[185]RHEA!$F$49</f>
        <v>0.43750000001455192</v>
      </c>
      <c r="N711" s="434">
        <f>(H711)/L711</f>
        <v>6617.859275036878</v>
      </c>
      <c r="O711" s="462">
        <f>(H711)/M711</f>
        <v>24633.14285632352</v>
      </c>
      <c r="P711" s="434">
        <v>30000</v>
      </c>
      <c r="Q711" s="69">
        <f>(194641/10000)*8.7</f>
        <v>169.33766999999997</v>
      </c>
      <c r="R711" s="69">
        <f>(189148/10000)*8.7</f>
        <v>164.55875999999998</v>
      </c>
      <c r="S711" s="69">
        <f>Q711-R711</f>
        <v>4.7789099999999962</v>
      </c>
      <c r="T711" s="435">
        <f>S711/8.7*10000/(H711)</f>
        <v>0.50969657604156959</v>
      </c>
      <c r="U711" s="435">
        <f>S711/8.5*10000/(H711)</f>
        <v>0.52168943665431244</v>
      </c>
      <c r="V711" s="435"/>
      <c r="W711" s="436"/>
      <c r="X711" s="32"/>
      <c r="Y711" s="33">
        <v>2.64</v>
      </c>
      <c r="Z711" s="33">
        <f t="shared" ref="Z711:Z729" si="119">H711*Y711</f>
        <v>28451.280000000002</v>
      </c>
      <c r="AA711" s="33"/>
      <c r="AB711" s="33"/>
      <c r="AC711" s="438"/>
      <c r="AD711" s="33"/>
    </row>
    <row r="712" spans="1:30" x14ac:dyDescent="0.3">
      <c r="A712" s="47">
        <v>44318.0625</v>
      </c>
      <c r="B712" s="47">
        <v>44318.416666666664</v>
      </c>
      <c r="C712" s="23"/>
      <c r="D712" s="14"/>
      <c r="E712" s="35" t="s">
        <v>498</v>
      </c>
      <c r="F712" s="641"/>
      <c r="G712" s="110" t="s">
        <v>328</v>
      </c>
      <c r="H712" s="487">
        <v>7541</v>
      </c>
      <c r="I712" s="433"/>
      <c r="J712" s="26">
        <v>73816</v>
      </c>
      <c r="K712" s="26">
        <f>H712-J712</f>
        <v>-66275</v>
      </c>
      <c r="L712" s="27">
        <f>B712-A712</f>
        <v>0.35416666666424135</v>
      </c>
      <c r="M712" s="27">
        <f>'[185]SEACON 9'!$F$28</f>
        <v>0.30729166666060337</v>
      </c>
      <c r="N712" s="434">
        <f>(H712)/L712</f>
        <v>21292.235294263457</v>
      </c>
      <c r="O712" s="462">
        <f>(H712)/M712</f>
        <v>24540.20339031472</v>
      </c>
      <c r="P712" s="434">
        <v>30000</v>
      </c>
      <c r="Q712" s="69">
        <f>(188597/10000)*8.7</f>
        <v>164.07938999999999</v>
      </c>
      <c r="R712" s="69">
        <f>(185957/10000)*8.7</f>
        <v>161.78259</v>
      </c>
      <c r="S712" s="69">
        <f>Q712-R712</f>
        <v>2.2967999999999904</v>
      </c>
      <c r="T712" s="435">
        <f>S712/8.7*10000/(H712)</f>
        <v>0.35008619546479103</v>
      </c>
      <c r="U712" s="435">
        <f>S712/8.5*10000/(H712)</f>
        <v>0.35832351771102133</v>
      </c>
      <c r="V712" s="435"/>
      <c r="W712" s="31"/>
      <c r="X712" s="32"/>
      <c r="Y712" s="33">
        <v>2.64</v>
      </c>
      <c r="Z712" s="33">
        <f t="shared" si="119"/>
        <v>19908.240000000002</v>
      </c>
      <c r="AA712" s="33"/>
      <c r="AB712" s="33"/>
      <c r="AC712" s="438"/>
      <c r="AD712" s="33"/>
    </row>
    <row r="713" spans="1:30" x14ac:dyDescent="0.3">
      <c r="A713" s="47">
        <v>44318.840277777781</v>
      </c>
      <c r="B713" s="47">
        <v>44321.006944444445</v>
      </c>
      <c r="C713" s="23"/>
      <c r="D713" s="23"/>
      <c r="E713" s="35" t="s">
        <v>896</v>
      </c>
      <c r="F713" s="641"/>
      <c r="G713" s="45" t="s">
        <v>328</v>
      </c>
      <c r="H713" s="487">
        <f>43555-H714</f>
        <v>41395.048999999999</v>
      </c>
      <c r="I713" s="433"/>
      <c r="J713" s="433">
        <v>82500</v>
      </c>
      <c r="K713" s="26">
        <f>H713+H714-J713</f>
        <v>-38945</v>
      </c>
      <c r="L713" s="27">
        <f>B713-A713</f>
        <v>2.1666666666642413</v>
      </c>
      <c r="M713" s="27">
        <f>'[185]JIA MAY'!$F$88</f>
        <v>1.114583333338184</v>
      </c>
      <c r="N713" s="434">
        <f>(H713+H714)/L713</f>
        <v>20102.307692330196</v>
      </c>
      <c r="O713" s="462">
        <f>(H713+H714)/M713</f>
        <v>39077.383177400028</v>
      </c>
      <c r="P713" s="434">
        <v>30000</v>
      </c>
      <c r="Q713" s="69">
        <f>(185306/10000)*8.7</f>
        <v>161.21621999999999</v>
      </c>
      <c r="R713" s="69">
        <f>(174167/10000)*8.7</f>
        <v>151.52528999999998</v>
      </c>
      <c r="S713" s="69">
        <f>Q713-R713</f>
        <v>9.6909300000000087</v>
      </c>
      <c r="T713" s="435">
        <f>S713/8.7*10000/(H713+H714)</f>
        <v>0.25574560900011506</v>
      </c>
      <c r="U713" s="435">
        <f>S713/8.5*10000/(H713+H714)</f>
        <v>0.26176315274129419</v>
      </c>
      <c r="V713" s="69"/>
      <c r="W713" s="436"/>
      <c r="X713" s="437"/>
      <c r="Y713" s="33">
        <v>2.64</v>
      </c>
      <c r="Z713" s="33">
        <f t="shared" si="119"/>
        <v>109282.92936000001</v>
      </c>
      <c r="AA713" s="33"/>
      <c r="AB713" s="33"/>
      <c r="AC713" s="438"/>
      <c r="AD713" s="33"/>
    </row>
    <row r="714" spans="1:30" x14ac:dyDescent="0.3">
      <c r="A714" s="146"/>
      <c r="B714" s="439"/>
      <c r="C714" s="23"/>
      <c r="D714" s="23"/>
      <c r="E714" s="35" t="s">
        <v>897</v>
      </c>
      <c r="F714" s="641"/>
      <c r="G714" s="110"/>
      <c r="H714" s="487">
        <v>2159.951</v>
      </c>
      <c r="I714" s="433"/>
      <c r="J714" s="433"/>
      <c r="K714" s="26"/>
      <c r="L714" s="27"/>
      <c r="M714" s="27"/>
      <c r="N714" s="434"/>
      <c r="O714" s="434"/>
      <c r="P714" s="434"/>
      <c r="Q714" s="69"/>
      <c r="R714" s="69"/>
      <c r="S714" s="69"/>
      <c r="T714" s="435"/>
      <c r="U714" s="435"/>
      <c r="V714" s="69"/>
      <c r="W714" s="436"/>
      <c r="X714" s="437"/>
      <c r="Y714" s="33">
        <v>6.5</v>
      </c>
      <c r="Z714" s="33">
        <f t="shared" si="119"/>
        <v>14039.681500000001</v>
      </c>
      <c r="AA714" s="33"/>
      <c r="AB714" s="33"/>
      <c r="AC714" s="438"/>
      <c r="AD714" s="33"/>
    </row>
    <row r="715" spans="1:30" x14ac:dyDescent="0.3">
      <c r="A715" s="47">
        <v>44321.979166666664</v>
      </c>
      <c r="B715" s="47">
        <v>44324.854166666664</v>
      </c>
      <c r="C715" s="23"/>
      <c r="D715" s="23"/>
      <c r="E715" s="35" t="s">
        <v>751</v>
      </c>
      <c r="F715" s="641"/>
      <c r="G715" s="110" t="s">
        <v>328</v>
      </c>
      <c r="H715" s="645">
        <f>52185-H716-H717-H718</f>
        <v>30211</v>
      </c>
      <c r="I715" s="433"/>
      <c r="J715" s="433">
        <v>66900</v>
      </c>
      <c r="K715" s="26">
        <f>H715+H716+H717+H718-J715</f>
        <v>-14715</v>
      </c>
      <c r="L715" s="27">
        <f>B715-A715</f>
        <v>2.875</v>
      </c>
      <c r="M715" s="27">
        <f>'[185]DE YUAN'!$F$101</f>
        <v>1.0972222222432417</v>
      </c>
      <c r="N715" s="434">
        <f>(H715+H716+H717+H718)/L715</f>
        <v>18151.304347826088</v>
      </c>
      <c r="O715" s="434">
        <f>(H715+H716+H717+H718)/M715</f>
        <v>47561.012657316722</v>
      </c>
      <c r="P715" s="434">
        <v>30000</v>
      </c>
      <c r="Q715" s="69">
        <f>(172562/10000)*8.7</f>
        <v>150.12893999999997</v>
      </c>
      <c r="R715" s="69">
        <f>(158900/10000)*8.7</f>
        <v>138.24299999999999</v>
      </c>
      <c r="S715" s="69">
        <f>Q715-R715</f>
        <v>11.885939999999977</v>
      </c>
      <c r="T715" s="435">
        <f>S715/8.7*10000/(H715+H716+H717+H718)</f>
        <v>0.26179936763437722</v>
      </c>
      <c r="U715" s="435">
        <f>S715/8.5*10000/(H715+H716+H717+H718)</f>
        <v>0.26795935275518606</v>
      </c>
      <c r="V715" s="69"/>
      <c r="W715" s="436"/>
      <c r="X715" s="437"/>
      <c r="Y715" s="33">
        <v>2.64</v>
      </c>
      <c r="Z715" s="33">
        <f t="shared" si="119"/>
        <v>79757.040000000008</v>
      </c>
      <c r="AA715" s="33"/>
      <c r="AB715" s="33"/>
      <c r="AC715" s="438"/>
      <c r="AD715" s="33"/>
    </row>
    <row r="716" spans="1:30" x14ac:dyDescent="0.3">
      <c r="A716" s="146"/>
      <c r="B716" s="439"/>
      <c r="C716" s="23"/>
      <c r="D716" s="23"/>
      <c r="E716" s="35" t="s">
        <v>898</v>
      </c>
      <c r="F716" s="641"/>
      <c r="G716" s="110"/>
      <c r="H716" s="645">
        <v>7014</v>
      </c>
      <c r="I716" s="24"/>
      <c r="J716" s="24"/>
      <c r="K716" s="24"/>
      <c r="L716" s="27"/>
      <c r="M716" s="27"/>
      <c r="N716" s="434"/>
      <c r="O716" s="434"/>
      <c r="P716" s="434"/>
      <c r="Q716" s="69"/>
      <c r="R716" s="69"/>
      <c r="S716" s="69"/>
      <c r="T716" s="435"/>
      <c r="U716" s="435"/>
      <c r="V716" s="69"/>
      <c r="W716" s="436"/>
      <c r="X716" s="437"/>
      <c r="Y716" s="33">
        <v>6.5</v>
      </c>
      <c r="Z716" s="33">
        <f t="shared" si="119"/>
        <v>45591</v>
      </c>
      <c r="AA716" s="33"/>
      <c r="AB716" s="33"/>
      <c r="AC716" s="438"/>
      <c r="AD716" s="33"/>
    </row>
    <row r="717" spans="1:30" x14ac:dyDescent="0.3">
      <c r="A717" s="439"/>
      <c r="B717" s="439"/>
      <c r="C717" s="23"/>
      <c r="D717" s="23"/>
      <c r="E717" s="35" t="s">
        <v>898</v>
      </c>
      <c r="F717" s="641"/>
      <c r="G717" s="110"/>
      <c r="H717" s="487">
        <v>7388</v>
      </c>
      <c r="I717" s="433"/>
      <c r="J717" s="433"/>
      <c r="K717" s="26"/>
      <c r="L717" s="27"/>
      <c r="M717" s="27"/>
      <c r="N717" s="434"/>
      <c r="O717" s="434"/>
      <c r="P717" s="434"/>
      <c r="Q717" s="69"/>
      <c r="R717" s="69"/>
      <c r="S717" s="69"/>
      <c r="T717" s="435"/>
      <c r="U717" s="435"/>
      <c r="V717" s="435"/>
      <c r="W717" s="436"/>
      <c r="X717" s="437"/>
      <c r="Y717" s="33">
        <v>6.5</v>
      </c>
      <c r="Z717" s="33">
        <f t="shared" si="119"/>
        <v>48022</v>
      </c>
      <c r="AA717" s="33"/>
      <c r="AB717" s="33"/>
      <c r="AC717" s="438"/>
      <c r="AD717" s="33"/>
    </row>
    <row r="718" spans="1:30" x14ac:dyDescent="0.3">
      <c r="A718" s="439"/>
      <c r="B718" s="439"/>
      <c r="C718" s="23"/>
      <c r="D718" s="23"/>
      <c r="E718" s="35" t="s">
        <v>898</v>
      </c>
      <c r="F718" s="641"/>
      <c r="G718" s="110"/>
      <c r="H718" s="487">
        <v>7572</v>
      </c>
      <c r="I718" s="433"/>
      <c r="J718" s="433"/>
      <c r="K718" s="26"/>
      <c r="L718" s="27"/>
      <c r="M718" s="27"/>
      <c r="N718" s="434"/>
      <c r="O718" s="434"/>
      <c r="P718" s="434"/>
      <c r="Q718" s="69"/>
      <c r="R718" s="69"/>
      <c r="S718" s="69"/>
      <c r="T718" s="435"/>
      <c r="U718" s="435"/>
      <c r="V718" s="435"/>
      <c r="W718" s="436"/>
      <c r="X718" s="437"/>
      <c r="Y718" s="33">
        <v>6.5</v>
      </c>
      <c r="Z718" s="33">
        <f t="shared" si="119"/>
        <v>49218</v>
      </c>
      <c r="AA718" s="33"/>
      <c r="AB718" s="33"/>
      <c r="AC718" s="438"/>
      <c r="AD718" s="33"/>
    </row>
    <row r="719" spans="1:30" x14ac:dyDescent="0.3">
      <c r="A719" s="47">
        <v>44325.791666666664</v>
      </c>
      <c r="B719" s="47">
        <v>44327</v>
      </c>
      <c r="C719" s="23"/>
      <c r="D719" s="23"/>
      <c r="E719" s="35" t="s">
        <v>899</v>
      </c>
      <c r="F719" s="641"/>
      <c r="G719" s="110" t="s">
        <v>328</v>
      </c>
      <c r="H719" s="487">
        <v>21479</v>
      </c>
      <c r="I719" s="433"/>
      <c r="J719" s="433">
        <v>87900</v>
      </c>
      <c r="K719" s="26">
        <f>H719-J719</f>
        <v>-66421</v>
      </c>
      <c r="L719" s="27">
        <f>B719-A719</f>
        <v>1.2083333333357587</v>
      </c>
      <c r="M719" s="27">
        <f>'[185]MBA GIOVANNI'!$F$48</f>
        <v>0.44097222221898846</v>
      </c>
      <c r="N719" s="434">
        <f>(H719)/L719</f>
        <v>17775.724137895355</v>
      </c>
      <c r="O719" s="434">
        <f>(H719)/M719</f>
        <v>48708.283464924119</v>
      </c>
      <c r="P719" s="434">
        <v>30000</v>
      </c>
      <c r="Q719" s="69">
        <f>(158170/10000)*8.7</f>
        <v>137.6079</v>
      </c>
      <c r="R719" s="69">
        <f>(152892/10000)*8.7</f>
        <v>133.01603999999998</v>
      </c>
      <c r="S719" s="69">
        <f>Q719-R719</f>
        <v>4.5918600000000254</v>
      </c>
      <c r="T719" s="435">
        <f>S719/8.7*10000/(H719)</f>
        <v>0.2457283858652651</v>
      </c>
      <c r="U719" s="435">
        <f>S719/8.5*10000/(H719)</f>
        <v>0.25151023023856545</v>
      </c>
      <c r="V719" s="435"/>
      <c r="W719" s="436"/>
      <c r="X719" s="437"/>
      <c r="Y719" s="33">
        <v>2.64</v>
      </c>
      <c r="Z719" s="33">
        <f t="shared" si="119"/>
        <v>56704.560000000005</v>
      </c>
      <c r="AA719" s="33"/>
      <c r="AB719" s="33"/>
      <c r="AC719" s="438"/>
      <c r="AD719" s="33"/>
    </row>
    <row r="720" spans="1:30" x14ac:dyDescent="0.3">
      <c r="A720" s="47">
        <v>44327.736111111109</v>
      </c>
      <c r="B720" s="47">
        <v>44334.371527777781</v>
      </c>
      <c r="C720" s="23"/>
      <c r="D720" s="23"/>
      <c r="E720" s="35" t="s">
        <v>782</v>
      </c>
      <c r="F720" s="641"/>
      <c r="G720" s="110" t="s">
        <v>328</v>
      </c>
      <c r="H720" s="487">
        <f>67008-H721</f>
        <v>59501.767999999996</v>
      </c>
      <c r="I720" s="433"/>
      <c r="J720" s="433">
        <v>67000</v>
      </c>
      <c r="K720" s="26">
        <f>H720+H721-J720</f>
        <v>8</v>
      </c>
      <c r="L720" s="27">
        <f>B720-A720</f>
        <v>6.6354166666715173</v>
      </c>
      <c r="M720" s="27">
        <f>'[185]LUMOSO PRATAMA'!$F$166</f>
        <v>1.2326388888892932</v>
      </c>
      <c r="N720" s="434">
        <f>(H720+H721)/L720</f>
        <v>10098.536891672367</v>
      </c>
      <c r="O720" s="567">
        <f>(H720+H721)/M720</f>
        <v>54361.419718292032</v>
      </c>
      <c r="P720" s="434">
        <v>30000</v>
      </c>
      <c r="Q720" s="69">
        <f>(151651/10000)*8.7</f>
        <v>131.93636999999998</v>
      </c>
      <c r="R720" s="69">
        <f>(130273/10000)*8.7</f>
        <v>113.33750999999999</v>
      </c>
      <c r="S720" s="69">
        <f>Q720-R720</f>
        <v>18.598859999999988</v>
      </c>
      <c r="T720" s="435">
        <f>S720/8.7*10000/(H720+H721)</f>
        <v>0.3190365329512892</v>
      </c>
      <c r="U720" s="435">
        <f>S720/8.5*10000/(H720+H721)</f>
        <v>0.32654327490308416</v>
      </c>
      <c r="V720" s="435"/>
      <c r="W720" s="436"/>
      <c r="X720" s="437"/>
      <c r="Y720" s="33">
        <v>2.64</v>
      </c>
      <c r="Z720" s="33">
        <f t="shared" si="119"/>
        <v>157084.66751999999</v>
      </c>
      <c r="AA720" s="33"/>
      <c r="AB720" s="33"/>
      <c r="AC720" s="438"/>
      <c r="AD720" s="33"/>
    </row>
    <row r="721" spans="1:30" x14ac:dyDescent="0.3">
      <c r="A721" s="439"/>
      <c r="B721" s="439"/>
      <c r="C721" s="23"/>
      <c r="D721" s="23"/>
      <c r="E721" s="35" t="s">
        <v>900</v>
      </c>
      <c r="F721" s="641"/>
      <c r="G721" s="110"/>
      <c r="H721" s="487">
        <v>7506.232</v>
      </c>
      <c r="I721" s="433"/>
      <c r="J721" s="433"/>
      <c r="K721" s="26"/>
      <c r="L721" s="27"/>
      <c r="M721" s="27"/>
      <c r="N721" s="434"/>
      <c r="O721" s="434"/>
      <c r="P721" s="434"/>
      <c r="Q721" s="69"/>
      <c r="R721" s="69"/>
      <c r="S721" s="69"/>
      <c r="T721" s="435"/>
      <c r="U721" s="435"/>
      <c r="V721" s="435"/>
      <c r="W721" s="436"/>
      <c r="X721" s="437"/>
      <c r="Y721" s="33">
        <v>6.5</v>
      </c>
      <c r="Z721" s="33">
        <f t="shared" si="119"/>
        <v>48790.508000000002</v>
      </c>
      <c r="AA721" s="33"/>
      <c r="AB721" s="33"/>
      <c r="AC721" s="438"/>
      <c r="AD721" s="33"/>
    </row>
    <row r="722" spans="1:30" x14ac:dyDescent="0.3">
      <c r="A722" s="47">
        <v>44338.611111111109</v>
      </c>
      <c r="B722" s="47">
        <v>44339.420138888891</v>
      </c>
      <c r="C722" s="23"/>
      <c r="D722" s="14"/>
      <c r="E722" s="35" t="s">
        <v>901</v>
      </c>
      <c r="F722" s="641"/>
      <c r="G722" s="45" t="s">
        <v>328</v>
      </c>
      <c r="H722" s="487">
        <v>21413</v>
      </c>
      <c r="I722" s="433"/>
      <c r="J722" s="433">
        <v>71500</v>
      </c>
      <c r="K722" s="26">
        <f>H722-J722</f>
        <v>-50087</v>
      </c>
      <c r="L722" s="27">
        <f>B722-A722</f>
        <v>0.80902777778101154</v>
      </c>
      <c r="M722" s="27">
        <f>'[185]GRACE MILD'!$F$52</f>
        <v>0.43923611111555755</v>
      </c>
      <c r="N722" s="434">
        <f>(H722)/L722</f>
        <v>26467.57081534485</v>
      </c>
      <c r="O722" s="434">
        <f>(H722)/M722</f>
        <v>48750.545454051949</v>
      </c>
      <c r="P722" s="434">
        <v>30000</v>
      </c>
      <c r="Q722" s="69">
        <f>(122900/10000)*8.7</f>
        <v>106.92299999999999</v>
      </c>
      <c r="R722" s="69">
        <f>(118601/10000)*8.7</f>
        <v>103.18286999999998</v>
      </c>
      <c r="S722" s="69">
        <f>Q722-R722</f>
        <v>3.7401300000000077</v>
      </c>
      <c r="T722" s="435">
        <f>S722/8.7*10000/(H722)</f>
        <v>0.20076588987997987</v>
      </c>
      <c r="U722" s="435">
        <f>S722/8.5*10000/(H722)</f>
        <v>0.2054897931712735</v>
      </c>
      <c r="V722" s="435"/>
      <c r="W722" s="436"/>
      <c r="X722" s="32"/>
      <c r="Y722" s="33">
        <v>2.64</v>
      </c>
      <c r="Z722" s="33">
        <f t="shared" si="119"/>
        <v>56530.32</v>
      </c>
      <c r="AA722" s="33"/>
      <c r="AB722" s="33"/>
      <c r="AC722" s="438"/>
      <c r="AD722" s="33"/>
    </row>
    <row r="723" spans="1:30" x14ac:dyDescent="0.3">
      <c r="A723" s="47">
        <v>44339.694444444445</v>
      </c>
      <c r="B723" s="47">
        <v>44341.572916666664</v>
      </c>
      <c r="C723" s="23"/>
      <c r="D723" s="14"/>
      <c r="E723" s="35" t="s">
        <v>902</v>
      </c>
      <c r="F723" s="641"/>
      <c r="G723" s="45" t="s">
        <v>212</v>
      </c>
      <c r="H723" s="645">
        <f>46121-H724</f>
        <v>38541.993000000002</v>
      </c>
      <c r="I723" s="433"/>
      <c r="J723" s="433">
        <v>46120</v>
      </c>
      <c r="K723" s="26">
        <f>H723+H724-J723</f>
        <v>1</v>
      </c>
      <c r="L723" s="27">
        <f>B723-A723</f>
        <v>1.8784722222189885</v>
      </c>
      <c r="M723" s="27">
        <f>'[185]BAO RUI LING'!$F$77</f>
        <v>0.96701388889656903</v>
      </c>
      <c r="N723" s="434">
        <f>(H723+H724)/L723</f>
        <v>24552.399260670732</v>
      </c>
      <c r="O723" s="567">
        <f>(H723+H724)/M723</f>
        <v>47694.247755456039</v>
      </c>
      <c r="P723" s="434">
        <v>30000</v>
      </c>
      <c r="Q723" s="69">
        <f>(118090/10000)*8.7</f>
        <v>102.73829999999998</v>
      </c>
      <c r="R723" s="69">
        <f>(108351/10000)*8.7</f>
        <v>94.265370000000004</v>
      </c>
      <c r="S723" s="69">
        <f>Q723-R723</f>
        <v>8.4729299999999768</v>
      </c>
      <c r="T723" s="435">
        <f>S723/8.7*10000/(H723+H724)</f>
        <v>0.21116194358318283</v>
      </c>
      <c r="U723" s="435">
        <f>S723/8.5*10000/(H723+H724)</f>
        <v>0.21613045990278709</v>
      </c>
      <c r="V723" s="435"/>
      <c r="W723" s="436"/>
      <c r="X723" s="32"/>
      <c r="Y723" s="33">
        <v>2.64</v>
      </c>
      <c r="Z723" s="33">
        <f t="shared" si="119"/>
        <v>101750.86152000001</v>
      </c>
      <c r="AA723" s="33"/>
      <c r="AB723" s="33"/>
      <c r="AC723" s="438"/>
      <c r="AD723" s="33"/>
    </row>
    <row r="724" spans="1:30" x14ac:dyDescent="0.3">
      <c r="A724" s="146"/>
      <c r="B724" s="146"/>
      <c r="C724" s="23"/>
      <c r="D724" s="14"/>
      <c r="E724" s="35" t="s">
        <v>903</v>
      </c>
      <c r="F724" s="641"/>
      <c r="G724" s="45"/>
      <c r="H724" s="645">
        <v>7579.0069999999996</v>
      </c>
      <c r="I724" s="433"/>
      <c r="J724" s="433"/>
      <c r="K724" s="26"/>
      <c r="L724" s="27"/>
      <c r="M724" s="27"/>
      <c r="N724" s="434"/>
      <c r="O724" s="434"/>
      <c r="P724" s="434"/>
      <c r="Q724" s="69"/>
      <c r="R724" s="69"/>
      <c r="S724" s="69"/>
      <c r="T724" s="435"/>
      <c r="U724" s="435"/>
      <c r="V724" s="435"/>
      <c r="W724" s="436"/>
      <c r="X724" s="32"/>
      <c r="Y724" s="33">
        <v>6.5</v>
      </c>
      <c r="Z724" s="33">
        <f t="shared" si="119"/>
        <v>49263.5455</v>
      </c>
      <c r="AA724" s="33"/>
      <c r="AB724" s="33"/>
      <c r="AC724" s="438"/>
      <c r="AD724" s="33"/>
    </row>
    <row r="725" spans="1:30" x14ac:dyDescent="0.3">
      <c r="A725" s="47">
        <v>44341.868055555555</v>
      </c>
      <c r="B725" s="47">
        <v>44342.395833333336</v>
      </c>
      <c r="C725" s="23"/>
      <c r="D725" s="14"/>
      <c r="E725" s="35" t="s">
        <v>904</v>
      </c>
      <c r="F725" s="641"/>
      <c r="G725" s="45" t="s">
        <v>328</v>
      </c>
      <c r="H725" s="487">
        <v>12943</v>
      </c>
      <c r="I725" s="433"/>
      <c r="J725" s="433">
        <v>71445</v>
      </c>
      <c r="K725" s="26">
        <f>H725-J725</f>
        <v>-58502</v>
      </c>
      <c r="L725" s="27">
        <f>B725-A725</f>
        <v>0.52777777778101154</v>
      </c>
      <c r="M725" s="27">
        <f>'[185]OCEAN LOONG'!$F$52</f>
        <v>0.30381944444040226</v>
      </c>
      <c r="N725" s="434">
        <f>(H725)/L725</f>
        <v>24523.57894721816</v>
      </c>
      <c r="O725" s="434">
        <f>(H725)/M725</f>
        <v>42600.960000566789</v>
      </c>
      <c r="P725" s="434">
        <v>30000</v>
      </c>
      <c r="Q725" s="69">
        <f>(107986/10000)*8.7</f>
        <v>93.947819999999993</v>
      </c>
      <c r="R725" s="69">
        <f>(104626/10000)*8.7</f>
        <v>91.024619999999999</v>
      </c>
      <c r="S725" s="69">
        <f>Q725-R725</f>
        <v>2.9231999999999942</v>
      </c>
      <c r="T725" s="435">
        <f>S725/8.7*10000/(H725)</f>
        <v>0.25959978366684644</v>
      </c>
      <c r="U725" s="435">
        <f>S725/8.5*10000/(H725)</f>
        <v>0.2657080138707722</v>
      </c>
      <c r="V725" s="435"/>
      <c r="W725" s="436"/>
      <c r="X725" s="32"/>
      <c r="Y725" s="33">
        <v>2.64</v>
      </c>
      <c r="Z725" s="33">
        <f t="shared" si="119"/>
        <v>34169.520000000004</v>
      </c>
      <c r="AA725" s="33"/>
      <c r="AB725" s="33"/>
      <c r="AC725" s="438"/>
      <c r="AD725" s="33"/>
    </row>
    <row r="726" spans="1:30" x14ac:dyDescent="0.3">
      <c r="A726" s="47">
        <v>44343.822916666664</v>
      </c>
      <c r="B726" s="47">
        <v>44345.215277777781</v>
      </c>
      <c r="C726" s="23"/>
      <c r="D726" s="14"/>
      <c r="E726" s="35" t="s">
        <v>262</v>
      </c>
      <c r="F726" s="641"/>
      <c r="G726" s="45" t="s">
        <v>328</v>
      </c>
      <c r="H726" s="645">
        <f>33407-H727-H728</f>
        <v>27840</v>
      </c>
      <c r="I726" s="433"/>
      <c r="J726" s="433">
        <v>61000</v>
      </c>
      <c r="K726" s="26">
        <f>H726+H727+H728-J726</f>
        <v>-27593</v>
      </c>
      <c r="L726" s="27">
        <f>B726-A726</f>
        <v>1.3923611111167702</v>
      </c>
      <c r="M726" s="27">
        <f>'[185]XIN DONG GUAN 3'!$F$70</f>
        <v>0.68750000000970124</v>
      </c>
      <c r="N726" s="434">
        <f>(H726+H727+H728)/L726</f>
        <v>23993.057356510963</v>
      </c>
      <c r="O726" s="434">
        <f>(H726+H727+H728)/M726</f>
        <v>48591.999999314321</v>
      </c>
      <c r="P726" s="434">
        <v>30000</v>
      </c>
      <c r="Q726" s="69">
        <f>(99445/10000)*8.7</f>
        <v>86.517149999999987</v>
      </c>
      <c r="R726" s="69">
        <f>(92545/10000)*8.7</f>
        <v>80.514150000000001</v>
      </c>
      <c r="S726" s="69">
        <f>Q726-R726</f>
        <v>6.0029999999999859</v>
      </c>
      <c r="T726" s="435">
        <f>S726/8.7*10000/(H726+H727+H728)</f>
        <v>0.20654353877929726</v>
      </c>
      <c r="U726" s="435">
        <f>S726/8.5*10000/(H726+H727+H728)</f>
        <v>0.21140338675057485</v>
      </c>
      <c r="V726" s="435"/>
      <c r="W726" s="436"/>
      <c r="X726" s="32"/>
      <c r="Y726" s="33">
        <v>2.64</v>
      </c>
      <c r="Z726" s="33">
        <f t="shared" si="119"/>
        <v>73497.600000000006</v>
      </c>
      <c r="AA726" s="33"/>
      <c r="AB726" s="33"/>
      <c r="AC726" s="438"/>
      <c r="AD726" s="33"/>
    </row>
    <row r="727" spans="1:30" x14ac:dyDescent="0.3">
      <c r="A727" s="47"/>
      <c r="B727" s="47"/>
      <c r="C727" s="23"/>
      <c r="D727" s="14"/>
      <c r="E727" s="35" t="s">
        <v>905</v>
      </c>
      <c r="F727" s="641"/>
      <c r="G727" s="45"/>
      <c r="H727" s="487">
        <v>1278</v>
      </c>
      <c r="I727" s="433"/>
      <c r="J727" s="433"/>
      <c r="K727" s="26"/>
      <c r="L727" s="27"/>
      <c r="M727" s="27"/>
      <c r="N727" s="434"/>
      <c r="O727" s="434"/>
      <c r="P727" s="434"/>
      <c r="Q727" s="69"/>
      <c r="R727" s="69"/>
      <c r="S727" s="69"/>
      <c r="T727" s="435"/>
      <c r="U727" s="435"/>
      <c r="V727" s="435"/>
      <c r="W727" s="436"/>
      <c r="X727" s="32"/>
      <c r="Y727" s="33">
        <v>6.5</v>
      </c>
      <c r="Z727" s="33">
        <f t="shared" si="119"/>
        <v>8307</v>
      </c>
      <c r="AA727" s="33"/>
      <c r="AB727" s="33"/>
      <c r="AC727" s="438"/>
      <c r="AD727" s="33"/>
    </row>
    <row r="728" spans="1:30" x14ac:dyDescent="0.3">
      <c r="A728" s="47"/>
      <c r="B728" s="47"/>
      <c r="C728" s="23"/>
      <c r="D728" s="14"/>
      <c r="E728" s="35" t="s">
        <v>905</v>
      </c>
      <c r="F728" s="641"/>
      <c r="G728" s="45"/>
      <c r="H728" s="645">
        <v>4289</v>
      </c>
      <c r="I728" s="433"/>
      <c r="J728" s="433"/>
      <c r="K728" s="26"/>
      <c r="L728" s="27"/>
      <c r="M728" s="27"/>
      <c r="N728" s="434"/>
      <c r="O728" s="434"/>
      <c r="P728" s="434"/>
      <c r="Q728" s="69"/>
      <c r="R728" s="69"/>
      <c r="S728" s="69"/>
      <c r="T728" s="435"/>
      <c r="U728" s="435"/>
      <c r="V728" s="435"/>
      <c r="W728" s="436"/>
      <c r="X728" s="32"/>
      <c r="Y728" s="33">
        <v>6.5</v>
      </c>
      <c r="Z728" s="33">
        <f t="shared" si="119"/>
        <v>27878.5</v>
      </c>
      <c r="AA728" s="33"/>
      <c r="AB728" s="33"/>
      <c r="AC728" s="438"/>
      <c r="AD728" s="33"/>
    </row>
    <row r="729" spans="1:30" x14ac:dyDescent="0.3">
      <c r="A729" s="47"/>
      <c r="B729" s="47"/>
      <c r="C729" s="23"/>
      <c r="D729" s="14"/>
      <c r="E729" s="39" t="s">
        <v>29</v>
      </c>
      <c r="F729" s="642"/>
      <c r="G729" s="424"/>
      <c r="H729" s="619">
        <f>375000-SUM(H711:H728)</f>
        <v>58571.000000000058</v>
      </c>
      <c r="I729" s="433"/>
      <c r="J729" s="433"/>
      <c r="K729" s="26"/>
      <c r="L729" s="27"/>
      <c r="M729" s="27"/>
      <c r="N729" s="434"/>
      <c r="O729" s="434"/>
      <c r="P729" s="434"/>
      <c r="Q729" s="69"/>
      <c r="R729" s="69"/>
      <c r="S729" s="69"/>
      <c r="T729" s="435"/>
      <c r="U729" s="435"/>
      <c r="V729" s="435"/>
      <c r="W729" s="436"/>
      <c r="X729" s="32"/>
      <c r="Y729" s="19">
        <v>2.64</v>
      </c>
      <c r="Z729" s="19">
        <f t="shared" si="119"/>
        <v>154627.44000000015</v>
      </c>
      <c r="AA729" s="33"/>
      <c r="AB729" s="33"/>
      <c r="AC729" s="438"/>
      <c r="AD729" s="33"/>
    </row>
    <row r="730" spans="1:30" x14ac:dyDescent="0.3">
      <c r="A730" s="146"/>
      <c r="B730" s="146"/>
      <c r="C730" s="23"/>
      <c r="D730" s="14"/>
      <c r="E730" s="39"/>
      <c r="F730" s="642"/>
      <c r="G730" s="424"/>
      <c r="H730" s="619"/>
      <c r="I730" s="433"/>
      <c r="J730" s="433"/>
      <c r="K730" s="26"/>
      <c r="L730" s="27"/>
      <c r="M730" s="27"/>
      <c r="N730" s="434"/>
      <c r="O730" s="434"/>
      <c r="P730" s="434"/>
      <c r="Q730" s="69"/>
      <c r="R730" s="69"/>
      <c r="S730" s="69"/>
      <c r="T730" s="435"/>
      <c r="U730" s="435"/>
      <c r="V730" s="435"/>
      <c r="W730" s="436"/>
      <c r="X730" s="32"/>
      <c r="Y730" s="19"/>
      <c r="Z730" s="19"/>
      <c r="AA730" s="33"/>
      <c r="AB730" s="33"/>
      <c r="AC730" s="438"/>
      <c r="AD730" s="33"/>
    </row>
    <row r="731" spans="1:30" x14ac:dyDescent="0.3">
      <c r="A731" s="20"/>
      <c r="B731" s="20"/>
      <c r="C731" s="20">
        <v>1000000001</v>
      </c>
      <c r="D731" s="20"/>
      <c r="E731" s="21" t="s">
        <v>52</v>
      </c>
      <c r="F731" s="643"/>
      <c r="G731" s="644"/>
      <c r="H731" s="485">
        <f>SUM(H711:H728)</f>
        <v>316428.99999999994</v>
      </c>
      <c r="I731" s="431"/>
      <c r="J731" s="431"/>
      <c r="K731" s="431"/>
      <c r="L731" s="431"/>
      <c r="M731" s="431"/>
      <c r="N731" s="431">
        <f>AVERAGE(N711:N729)</f>
        <v>19357.457401876905</v>
      </c>
      <c r="O731" s="431">
        <f>AVERAGE(O711:O729)</f>
        <v>42651.919847396013</v>
      </c>
      <c r="P731" s="431"/>
      <c r="Q731" s="431"/>
      <c r="R731" s="431"/>
      <c r="S731" s="440">
        <f>SUM(S710:S730)</f>
        <v>72.98255999999995</v>
      </c>
      <c r="T731" s="441">
        <f>S731/8.7*10000/H731</f>
        <v>0.26510844454838195</v>
      </c>
      <c r="U731" s="440"/>
      <c r="V731" s="440"/>
      <c r="W731" s="442"/>
      <c r="X731" s="22"/>
      <c r="Y731" s="22"/>
      <c r="Z731" s="432">
        <f>SUM(Z711:Z730)</f>
        <v>1162874.6934000002</v>
      </c>
      <c r="AA731" s="432"/>
      <c r="AB731" s="432"/>
      <c r="AC731" s="432"/>
      <c r="AD731" s="432"/>
    </row>
    <row r="732" spans="1:30" x14ac:dyDescent="0.3">
      <c r="A732" s="47">
        <v>44342.9375</v>
      </c>
      <c r="B732" s="47">
        <v>44343.548611111109</v>
      </c>
      <c r="C732" s="23"/>
      <c r="D732" s="14"/>
      <c r="E732" s="35" t="s">
        <v>906</v>
      </c>
      <c r="F732" s="641"/>
      <c r="G732" s="45" t="s">
        <v>328</v>
      </c>
      <c r="H732" s="487">
        <v>18030</v>
      </c>
      <c r="I732" s="487"/>
      <c r="J732" s="433">
        <v>60500</v>
      </c>
      <c r="K732" s="26">
        <f>H732-J732</f>
        <v>-42470</v>
      </c>
      <c r="L732" s="27">
        <f>B732-A732</f>
        <v>0.61111111110949423</v>
      </c>
      <c r="M732" s="27">
        <f>'[186]HUA XU'!$F$43</f>
        <v>0.38715277778464952</v>
      </c>
      <c r="N732" s="434">
        <f>(H732)/L732</f>
        <v>29503.636363714424</v>
      </c>
      <c r="O732" s="434">
        <f>(H732)/M732</f>
        <v>46570.76233101196</v>
      </c>
      <c r="P732" s="434">
        <v>30000</v>
      </c>
      <c r="Q732" s="69">
        <f>(103650/10000)*8.7</f>
        <v>90.1755</v>
      </c>
      <c r="R732" s="69">
        <f>(99810/10000)*8.7</f>
        <v>86.834699999999998</v>
      </c>
      <c r="S732" s="69">
        <f>Q732-R732</f>
        <v>3.3408000000000015</v>
      </c>
      <c r="T732" s="435">
        <f>S732/8.7*10000/(H732)</f>
        <v>0.21297836938435952</v>
      </c>
      <c r="U732" s="435">
        <f>S732/8.5*10000/(H732)</f>
        <v>0.21798962513457973</v>
      </c>
      <c r="V732" s="435"/>
      <c r="W732" s="436"/>
      <c r="X732" s="32"/>
      <c r="Y732" s="33">
        <v>2.64</v>
      </c>
      <c r="Z732" s="33">
        <f t="shared" ref="Z732:Z753" si="120">H732*Y732</f>
        <v>47599.200000000004</v>
      </c>
      <c r="AA732" s="33"/>
      <c r="AB732" s="33"/>
      <c r="AC732" s="438"/>
      <c r="AD732" s="33"/>
    </row>
    <row r="733" spans="1:30" x14ac:dyDescent="0.3">
      <c r="A733" s="47">
        <v>44346.625</v>
      </c>
      <c r="B733" s="47">
        <v>44349.097222222219</v>
      </c>
      <c r="E733" s="35" t="s">
        <v>907</v>
      </c>
      <c r="F733" s="641"/>
      <c r="G733" s="45" t="s">
        <v>328</v>
      </c>
      <c r="H733" s="487">
        <f>77000-H734-H735</f>
        <v>62089</v>
      </c>
      <c r="I733" s="433"/>
      <c r="J733" s="433">
        <v>77000</v>
      </c>
      <c r="K733" s="26">
        <f>H733+H734+H735-J733</f>
        <v>0</v>
      </c>
      <c r="L733" s="27">
        <f>B733-A733</f>
        <v>2.4722222222189885</v>
      </c>
      <c r="M733" s="27">
        <f>'[186]STAR PEACE'!$F$110</f>
        <v>1.5468749999951494</v>
      </c>
      <c r="N733" s="434">
        <f>(H733+H734+H735)/L733</f>
        <v>31146.067415771078</v>
      </c>
      <c r="O733" s="434">
        <f>(H733+H734+H735)/M733</f>
        <v>49777.777777933865</v>
      </c>
      <c r="P733" s="434">
        <v>30000</v>
      </c>
      <c r="Q733" s="69">
        <f>(90045/10000)*8.7</f>
        <v>78.339149999999989</v>
      </c>
      <c r="R733" s="69">
        <f>(75332/10000)*8.7</f>
        <v>65.538839999999993</v>
      </c>
      <c r="S733" s="69">
        <f>Q733-R733</f>
        <v>12.800309999999996</v>
      </c>
      <c r="T733" s="435">
        <f>S733/8.7*10000/(H733+H734+H735)</f>
        <v>0.19107792207792204</v>
      </c>
      <c r="U733" s="435">
        <f>S733/8.5*10000/(H733+H734+H735)</f>
        <v>0.19557387318563782</v>
      </c>
      <c r="Y733" s="33">
        <v>2.64</v>
      </c>
      <c r="Z733" s="33">
        <f t="shared" si="120"/>
        <v>163914.96000000002</v>
      </c>
      <c r="AC733" s="3"/>
      <c r="AD733" s="3"/>
    </row>
    <row r="734" spans="1:30" x14ac:dyDescent="0.3">
      <c r="A734" s="146"/>
      <c r="B734" s="146"/>
      <c r="E734" s="35" t="s">
        <v>908</v>
      </c>
      <c r="F734" s="641"/>
      <c r="G734" s="45"/>
      <c r="H734" s="487">
        <v>7547</v>
      </c>
      <c r="I734" s="433"/>
      <c r="J734" s="433"/>
      <c r="K734" s="26"/>
      <c r="L734" s="27"/>
      <c r="M734" s="27"/>
      <c r="N734" s="434"/>
      <c r="O734" s="434"/>
      <c r="P734" s="434"/>
      <c r="Q734" s="69"/>
      <c r="R734" s="69"/>
      <c r="S734" s="69"/>
      <c r="T734" s="435"/>
      <c r="U734" s="435"/>
      <c r="Y734" s="33">
        <v>6.5</v>
      </c>
      <c r="Z734" s="33">
        <f t="shared" si="120"/>
        <v>49055.5</v>
      </c>
      <c r="AC734" s="3"/>
      <c r="AD734" s="3"/>
    </row>
    <row r="735" spans="1:30" x14ac:dyDescent="0.3">
      <c r="A735" s="146"/>
      <c r="B735" s="146"/>
      <c r="E735" s="35" t="s">
        <v>908</v>
      </c>
      <c r="F735" s="641"/>
      <c r="G735" s="45"/>
      <c r="H735" s="487">
        <v>7364</v>
      </c>
      <c r="I735" s="433"/>
      <c r="J735" s="433"/>
      <c r="K735" s="26"/>
      <c r="L735" s="27"/>
      <c r="M735" s="27"/>
      <c r="N735" s="434"/>
      <c r="O735" s="434"/>
      <c r="P735" s="434"/>
      <c r="Q735" s="69"/>
      <c r="R735" s="69"/>
      <c r="S735" s="69"/>
      <c r="T735" s="435"/>
      <c r="U735" s="435"/>
      <c r="Y735" s="33">
        <v>6.5</v>
      </c>
      <c r="Z735" s="33">
        <f t="shared" si="120"/>
        <v>47866</v>
      </c>
      <c r="AC735" s="3"/>
      <c r="AD735" s="3"/>
    </row>
    <row r="736" spans="1:30" x14ac:dyDescent="0.3">
      <c r="A736" s="47">
        <v>44349.388888888891</v>
      </c>
      <c r="B736" s="47">
        <v>44349.895833333336</v>
      </c>
      <c r="E736" s="35" t="s">
        <v>133</v>
      </c>
      <c r="F736" s="641"/>
      <c r="G736" s="45" t="s">
        <v>32</v>
      </c>
      <c r="H736" s="487">
        <v>14556</v>
      </c>
      <c r="I736" s="433"/>
      <c r="J736" s="433">
        <v>70710</v>
      </c>
      <c r="K736" s="26">
        <f t="shared" ref="K736" si="121">H736-J736</f>
        <v>-56154</v>
      </c>
      <c r="L736" s="27">
        <f>B736-A736</f>
        <v>0.50694444444525288</v>
      </c>
      <c r="M736" s="27">
        <f>'[186]YUE DIAN 82'!$F$49</f>
        <v>0.30555555556444841</v>
      </c>
      <c r="N736" s="434">
        <f>(H736)/L736</f>
        <v>28713.205479406264</v>
      </c>
      <c r="O736" s="434">
        <f>(H736)/M736</f>
        <v>47637.818180431736</v>
      </c>
      <c r="P736" s="434">
        <v>30000</v>
      </c>
      <c r="Q736" s="69">
        <f>(75040/10000)*8.7</f>
        <v>65.28479999999999</v>
      </c>
      <c r="R736" s="69">
        <f>(71534/10000)*8.7</f>
        <v>62.234580000000001</v>
      </c>
      <c r="S736" s="69">
        <f>Q736-R736</f>
        <v>3.0502199999999888</v>
      </c>
      <c r="T736" s="435">
        <f>S736/8.7*10000/(H736)</f>
        <v>0.24086287441604748</v>
      </c>
      <c r="U736" s="435">
        <f>S736/8.5*10000/(H736)</f>
        <v>0.24653023616701331</v>
      </c>
      <c r="Y736" s="33">
        <v>2.64</v>
      </c>
      <c r="Z736" s="33">
        <f t="shared" si="120"/>
        <v>38427.840000000004</v>
      </c>
      <c r="AC736" s="3"/>
      <c r="AD736" s="3"/>
    </row>
    <row r="737" spans="1:30" x14ac:dyDescent="0.3">
      <c r="A737" s="47">
        <v>44351.055555555555</v>
      </c>
      <c r="B737" s="47">
        <v>44353.097222222219</v>
      </c>
      <c r="E737" s="35" t="s">
        <v>909</v>
      </c>
      <c r="F737" s="641"/>
      <c r="G737" s="45" t="s">
        <v>212</v>
      </c>
      <c r="H737" s="487">
        <f>48521-H738</f>
        <v>40941</v>
      </c>
      <c r="I737" s="433"/>
      <c r="J737" s="433">
        <v>48521</v>
      </c>
      <c r="K737" s="26">
        <f>H737+H738-J737</f>
        <v>0</v>
      </c>
      <c r="L737" s="27">
        <f>B737-A737</f>
        <v>2.0416666666642413</v>
      </c>
      <c r="M737" s="27">
        <f>'[186]GONG YIN 1'!$F$80</f>
        <v>0.95312500000606326</v>
      </c>
      <c r="N737" s="434">
        <f>(H737+H738)/L737</f>
        <v>23765.387755130272</v>
      </c>
      <c r="O737" s="567">
        <f>(H737+H738)/M737</f>
        <v>50907.278688200749</v>
      </c>
      <c r="P737" s="434">
        <v>30000</v>
      </c>
      <c r="Q737" s="69">
        <f>(69709/10000)*8.7</f>
        <v>60.646830000000001</v>
      </c>
      <c r="R737" s="69">
        <f>(59233/10000)*8.7</f>
        <v>51.532709999999994</v>
      </c>
      <c r="S737" s="69">
        <f>Q737-R737</f>
        <v>9.1141200000000069</v>
      </c>
      <c r="T737" s="435">
        <f>S737/8.7*10000/(H737+H738)</f>
        <v>0.2159065147049733</v>
      </c>
      <c r="U737" s="435">
        <f>S737/8.5*10000/(H737+H738)</f>
        <v>0.22098666799214911</v>
      </c>
      <c r="Y737" s="33">
        <v>2.64</v>
      </c>
      <c r="Z737" s="33">
        <f t="shared" si="120"/>
        <v>108084.24</v>
      </c>
      <c r="AC737" s="3"/>
      <c r="AD737" s="3"/>
    </row>
    <row r="738" spans="1:30" x14ac:dyDescent="0.3">
      <c r="A738" s="146"/>
      <c r="B738" s="146"/>
      <c r="E738" s="35" t="s">
        <v>910</v>
      </c>
      <c r="F738" s="641"/>
      <c r="G738" s="45"/>
      <c r="H738" s="487">
        <v>7580</v>
      </c>
      <c r="I738" s="433"/>
      <c r="J738" s="433"/>
      <c r="K738" s="26"/>
      <c r="L738" s="27"/>
      <c r="M738" s="27"/>
      <c r="N738" s="434"/>
      <c r="O738" s="434"/>
      <c r="P738" s="434"/>
      <c r="Q738" s="69"/>
      <c r="R738" s="69"/>
      <c r="S738" s="69"/>
      <c r="T738" s="435"/>
      <c r="U738" s="435"/>
      <c r="Y738" s="33">
        <v>6.5</v>
      </c>
      <c r="Z738" s="33">
        <f t="shared" si="120"/>
        <v>49270</v>
      </c>
      <c r="AC738" s="3"/>
      <c r="AD738" s="3"/>
    </row>
    <row r="739" spans="1:30" x14ac:dyDescent="0.3">
      <c r="A739" s="47">
        <v>44355.888888888891</v>
      </c>
      <c r="B739" s="47">
        <v>44357.229166666664</v>
      </c>
      <c r="E739" s="35" t="s">
        <v>527</v>
      </c>
      <c r="F739" s="641"/>
      <c r="G739" s="45" t="s">
        <v>328</v>
      </c>
      <c r="H739" s="645">
        <f>30357-H740</f>
        <v>23738</v>
      </c>
      <c r="I739" s="433"/>
      <c r="J739" s="433">
        <v>67000</v>
      </c>
      <c r="K739" s="26">
        <f>H739+H740-J739</f>
        <v>-36643</v>
      </c>
      <c r="L739" s="27">
        <f>B739-A739</f>
        <v>1.3402777777737356</v>
      </c>
      <c r="M739" s="27">
        <f>'[186]MANALAGI PRITA'!$F$80</f>
        <v>0.57638888888929307</v>
      </c>
      <c r="N739" s="434">
        <f>(H739+H740)/L739</f>
        <v>22649.782383488</v>
      </c>
      <c r="O739" s="567">
        <f>(H739+H740)/M739</f>
        <v>52667.566265023306</v>
      </c>
      <c r="P739" s="434">
        <v>30000</v>
      </c>
      <c r="Q739" s="69">
        <f>(179240/10000)*8.7</f>
        <v>155.93879999999999</v>
      </c>
      <c r="R739" s="69">
        <f>(172082/10000)*8.7</f>
        <v>149.71134000000001</v>
      </c>
      <c r="S739" s="69">
        <f>Q739-R739</f>
        <v>6.2274599999999793</v>
      </c>
      <c r="T739" s="435">
        <f>S739/8.7*10000/(H739+H740)</f>
        <v>0.23579405079553237</v>
      </c>
      <c r="U739" s="435">
        <f>S739/8.5*10000/(H739+H740)</f>
        <v>0.24134214610836843</v>
      </c>
      <c r="Y739" s="33">
        <v>2.64</v>
      </c>
      <c r="Z739" s="33">
        <f t="shared" si="120"/>
        <v>62668.32</v>
      </c>
      <c r="AC739" s="3"/>
      <c r="AD739" s="3"/>
    </row>
    <row r="740" spans="1:30" x14ac:dyDescent="0.3">
      <c r="A740" s="146"/>
      <c r="B740" s="146"/>
      <c r="E740" s="35" t="s">
        <v>665</v>
      </c>
      <c r="F740" s="641"/>
      <c r="G740" s="45"/>
      <c r="H740" s="645">
        <v>6619</v>
      </c>
      <c r="I740" s="433"/>
      <c r="J740" s="433"/>
      <c r="K740" s="26"/>
      <c r="L740" s="27"/>
      <c r="M740" s="27"/>
      <c r="N740" s="434"/>
      <c r="O740" s="434"/>
      <c r="P740" s="434"/>
      <c r="Q740" s="69"/>
      <c r="R740" s="69"/>
      <c r="S740" s="69"/>
      <c r="T740" s="435"/>
      <c r="U740" s="435"/>
      <c r="Y740" s="33">
        <v>6.5</v>
      </c>
      <c r="Z740" s="33">
        <f t="shared" si="120"/>
        <v>43023.5</v>
      </c>
      <c r="AC740" s="3"/>
      <c r="AD740" s="3"/>
    </row>
    <row r="741" spans="1:30" x14ac:dyDescent="0.3">
      <c r="A741" s="47">
        <v>44358.875</v>
      </c>
      <c r="B741" s="47">
        <v>44359.541666666664</v>
      </c>
      <c r="E741" s="35" t="s">
        <v>911</v>
      </c>
      <c r="F741" s="641"/>
      <c r="G741" s="45" t="s">
        <v>328</v>
      </c>
      <c r="H741" s="487">
        <v>18822</v>
      </c>
      <c r="I741" s="487"/>
      <c r="J741" s="433">
        <v>73140</v>
      </c>
      <c r="K741" s="26">
        <f t="shared" ref="K741" si="122">H741-J741</f>
        <v>-54318</v>
      </c>
      <c r="L741" s="27">
        <f>B741-A741</f>
        <v>0.66666666666424135</v>
      </c>
      <c r="M741" s="27">
        <f>'[186]ODYSSEUS N'!$F$48</f>
        <v>0.52083333333212067</v>
      </c>
      <c r="N741" s="434">
        <f>(H741)/L741</f>
        <v>28233.000000102711</v>
      </c>
      <c r="O741" s="462">
        <f>(H741)/M741</f>
        <v>36138.240000084144</v>
      </c>
      <c r="P741" s="434">
        <v>30000</v>
      </c>
      <c r="Q741" s="69">
        <f>(169208/10000)*8.7</f>
        <v>147.21096</v>
      </c>
      <c r="R741" s="69">
        <f>(164888/10000)*8.7</f>
        <v>143.45256000000001</v>
      </c>
      <c r="S741" s="69">
        <f>Q741-R741</f>
        <v>3.7583999999999946</v>
      </c>
      <c r="T741" s="435">
        <f>S741/8.7*10000/(H741)</f>
        <v>0.22951864839018141</v>
      </c>
      <c r="U741" s="435">
        <f>S741/8.5*10000/(H741)</f>
        <v>0.23491908717583271</v>
      </c>
      <c r="Y741" s="33">
        <v>2.64</v>
      </c>
      <c r="Z741" s="33">
        <f t="shared" si="120"/>
        <v>49690.080000000002</v>
      </c>
      <c r="AC741" s="3"/>
      <c r="AD741" s="3"/>
    </row>
    <row r="742" spans="1:30" ht="27.6" x14ac:dyDescent="0.3">
      <c r="A742" s="47">
        <v>44359.798611111109</v>
      </c>
      <c r="B742" s="47">
        <v>44362.947916666664</v>
      </c>
      <c r="C742" s="23"/>
      <c r="D742" s="14"/>
      <c r="E742" s="35" t="s">
        <v>912</v>
      </c>
      <c r="F742" s="641" t="s">
        <v>852</v>
      </c>
      <c r="G742" s="45" t="s">
        <v>328</v>
      </c>
      <c r="H742" s="487">
        <f>74671-H743-H744</f>
        <v>61197</v>
      </c>
      <c r="I742" s="433"/>
      <c r="J742" s="433">
        <v>74671</v>
      </c>
      <c r="K742" s="26">
        <f>H742+H743+H744-J742</f>
        <v>0</v>
      </c>
      <c r="L742" s="27">
        <f>B742-A742</f>
        <v>3.1493055555547471</v>
      </c>
      <c r="M742" s="27">
        <f>'[186]OINOUSSIAN VIRTUE'!$F$105</f>
        <v>1.5416666666775807</v>
      </c>
      <c r="N742" s="434">
        <f>(H742+H743+H744)/L742</f>
        <v>23710.306504967499</v>
      </c>
      <c r="O742" s="434">
        <f>(H742+H743+H744)/M742</f>
        <v>48435.243242900353</v>
      </c>
      <c r="P742" s="434">
        <v>30000</v>
      </c>
      <c r="Q742" s="69">
        <f>(164496/10000)*8.7</f>
        <v>143.11151999999998</v>
      </c>
      <c r="R742" s="69">
        <f>(147373/10000)*8.7</f>
        <v>128.21450999999999</v>
      </c>
      <c r="S742" s="69">
        <f>Q742-R742</f>
        <v>14.897009999999995</v>
      </c>
      <c r="T742" s="435">
        <f>S742/8.7*10000/(H742+H743+H744)</f>
        <v>0.22931258453750447</v>
      </c>
      <c r="U742" s="435">
        <f>S742/8.5*10000/(H742+H743+H744)</f>
        <v>0.23470817476191627</v>
      </c>
      <c r="V742" s="435"/>
      <c r="W742" s="31"/>
      <c r="X742" s="32"/>
      <c r="Y742" s="33">
        <v>2.64</v>
      </c>
      <c r="Z742" s="33">
        <f t="shared" si="120"/>
        <v>161560.08000000002</v>
      </c>
      <c r="AA742" s="33"/>
      <c r="AB742" s="33"/>
      <c r="AC742" s="438"/>
      <c r="AD742" s="33"/>
    </row>
    <row r="743" spans="1:30" x14ac:dyDescent="0.3">
      <c r="A743" s="146"/>
      <c r="B743" s="146"/>
      <c r="C743" s="23"/>
      <c r="D743" s="14"/>
      <c r="E743" s="35" t="s">
        <v>913</v>
      </c>
      <c r="F743" s="641"/>
      <c r="G743" s="45"/>
      <c r="H743" s="487">
        <v>6032</v>
      </c>
      <c r="I743" s="433"/>
      <c r="J743" s="433"/>
      <c r="K743" s="26"/>
      <c r="L743" s="27"/>
      <c r="M743" s="27"/>
      <c r="N743" s="434"/>
      <c r="O743" s="434"/>
      <c r="P743" s="434"/>
      <c r="Q743" s="69"/>
      <c r="R743" s="69"/>
      <c r="S743" s="69"/>
      <c r="T743" s="435"/>
      <c r="U743" s="435"/>
      <c r="V743" s="435"/>
      <c r="W743" s="31"/>
      <c r="X743" s="32"/>
      <c r="Y743" s="33">
        <v>6.5</v>
      </c>
      <c r="Z743" s="33">
        <f t="shared" si="120"/>
        <v>39208</v>
      </c>
      <c r="AA743" s="33"/>
      <c r="AB743" s="33"/>
      <c r="AC743" s="438"/>
      <c r="AD743" s="33"/>
    </row>
    <row r="744" spans="1:30" x14ac:dyDescent="0.3">
      <c r="A744" s="146"/>
      <c r="B744" s="146"/>
      <c r="C744" s="23"/>
      <c r="D744" s="14"/>
      <c r="E744" s="35" t="s">
        <v>913</v>
      </c>
      <c r="F744" s="641"/>
      <c r="G744" s="45"/>
      <c r="H744" s="487">
        <v>7442</v>
      </c>
      <c r="I744" s="433"/>
      <c r="J744" s="433"/>
      <c r="K744" s="26"/>
      <c r="L744" s="27"/>
      <c r="M744" s="27"/>
      <c r="N744" s="434"/>
      <c r="O744" s="434"/>
      <c r="P744" s="434"/>
      <c r="Q744" s="69"/>
      <c r="R744" s="69"/>
      <c r="S744" s="69"/>
      <c r="T744" s="435"/>
      <c r="U744" s="435"/>
      <c r="V744" s="435"/>
      <c r="W744" s="31"/>
      <c r="X744" s="32"/>
      <c r="Y744" s="33">
        <v>6.5</v>
      </c>
      <c r="Z744" s="33">
        <f t="shared" si="120"/>
        <v>48373</v>
      </c>
      <c r="AA744" s="33"/>
      <c r="AB744" s="33"/>
      <c r="AC744" s="438"/>
      <c r="AD744" s="33"/>
    </row>
    <row r="745" spans="1:30" x14ac:dyDescent="0.3">
      <c r="A745" s="47">
        <v>44363.229166666664</v>
      </c>
      <c r="B745" s="47">
        <v>44365.833333333336</v>
      </c>
      <c r="C745" s="23"/>
      <c r="D745" s="23"/>
      <c r="E745" s="35" t="s">
        <v>914</v>
      </c>
      <c r="F745" s="641"/>
      <c r="G745" s="45" t="s">
        <v>328</v>
      </c>
      <c r="H745" s="487">
        <f>74358-H746</f>
        <v>66807</v>
      </c>
      <c r="I745" s="433"/>
      <c r="J745" s="433">
        <v>74358</v>
      </c>
      <c r="K745" s="26">
        <f>H745+H746-J745</f>
        <v>0</v>
      </c>
      <c r="L745" s="27">
        <f>B745-A745</f>
        <v>2.6041666666715173</v>
      </c>
      <c r="M745" s="27">
        <f>'[186]AGRI KINSALE'!$F$119</f>
        <v>1.5000000000206153</v>
      </c>
      <c r="N745" s="434">
        <f>(H745+H746)/L745</f>
        <v>28553.471999946814</v>
      </c>
      <c r="O745" s="567">
        <f>(H745+H746)/M745</f>
        <v>49571.999999318708</v>
      </c>
      <c r="P745" s="434">
        <v>30000</v>
      </c>
      <c r="Q745" s="69">
        <f>(146981/10000)*8.7</f>
        <v>127.87347</v>
      </c>
      <c r="R745" s="69">
        <f>(132195/10000)*8.7</f>
        <v>115.00964999999999</v>
      </c>
      <c r="S745" s="69">
        <f>Q745-R745</f>
        <v>12.863820000000004</v>
      </c>
      <c r="T745" s="435">
        <f>S745/8.7*10000/(H745+H746)</f>
        <v>0.19884881250168113</v>
      </c>
      <c r="U745" s="435">
        <f>S745/8.5*10000/(H745+H746)</f>
        <v>0.20352760808995596</v>
      </c>
      <c r="V745" s="69"/>
      <c r="W745" s="436"/>
      <c r="X745" s="437"/>
      <c r="Y745" s="33">
        <v>2.64</v>
      </c>
      <c r="Z745" s="33">
        <f t="shared" si="120"/>
        <v>176370.48</v>
      </c>
      <c r="AA745" s="33"/>
      <c r="AB745" s="33"/>
      <c r="AC745" s="438"/>
      <c r="AD745" s="33"/>
    </row>
    <row r="746" spans="1:30" x14ac:dyDescent="0.3">
      <c r="A746" s="146"/>
      <c r="B746" s="146"/>
      <c r="C746" s="23"/>
      <c r="D746" s="23"/>
      <c r="E746" s="35" t="s">
        <v>915</v>
      </c>
      <c r="F746" s="641"/>
      <c r="G746" s="45"/>
      <c r="H746" s="487">
        <v>7551</v>
      </c>
      <c r="I746" s="433"/>
      <c r="J746" s="433"/>
      <c r="K746" s="26"/>
      <c r="L746" s="27"/>
      <c r="M746" s="27"/>
      <c r="N746" s="434"/>
      <c r="O746" s="434"/>
      <c r="P746" s="434"/>
      <c r="Q746" s="69"/>
      <c r="R746" s="69"/>
      <c r="S746" s="69"/>
      <c r="T746" s="435"/>
      <c r="U746" s="435"/>
      <c r="V746" s="69"/>
      <c r="W746" s="436"/>
      <c r="X746" s="437"/>
      <c r="Y746" s="33">
        <v>6.5</v>
      </c>
      <c r="Z746" s="33">
        <f t="shared" si="120"/>
        <v>49081.5</v>
      </c>
      <c r="AA746" s="33"/>
      <c r="AB746" s="33"/>
      <c r="AC746" s="438"/>
      <c r="AD746" s="33"/>
    </row>
    <row r="747" spans="1:30" x14ac:dyDescent="0.3">
      <c r="A747" s="47">
        <v>44366.885416666664</v>
      </c>
      <c r="B747" s="47">
        <v>44368.263888888891</v>
      </c>
      <c r="C747" s="23"/>
      <c r="D747" s="23"/>
      <c r="E747" s="35" t="s">
        <v>916</v>
      </c>
      <c r="F747" s="641"/>
      <c r="G747" s="45" t="s">
        <v>212</v>
      </c>
      <c r="H747" s="487">
        <v>32952</v>
      </c>
      <c r="I747" s="433"/>
      <c r="J747" s="433">
        <v>52100</v>
      </c>
      <c r="K747" s="26">
        <f t="shared" ref="K747" si="123">H747-J747</f>
        <v>-19148</v>
      </c>
      <c r="L747" s="27">
        <f>B747-A747</f>
        <v>1.3784722222262644</v>
      </c>
      <c r="M747" s="27">
        <f>'[186]RHL MARTA'!$F$65</f>
        <v>0.69444444442585029</v>
      </c>
      <c r="N747" s="434">
        <f>(H747)/L747</f>
        <v>23904.725440735947</v>
      </c>
      <c r="O747" s="567">
        <f>(H747)/M747</f>
        <v>47450.880001270525</v>
      </c>
      <c r="P747" s="434">
        <v>30000</v>
      </c>
      <c r="Q747" s="69">
        <f>(130416/10000)*8.7</f>
        <v>113.46191999999999</v>
      </c>
      <c r="R747" s="69">
        <f>(122444/10000)*8.7</f>
        <v>106.52628</v>
      </c>
      <c r="S747" s="69">
        <f>Q747-R747</f>
        <v>6.9356399999999923</v>
      </c>
      <c r="T747" s="435">
        <f>S747/8.7*10000/(H747)</f>
        <v>0.24192765234280136</v>
      </c>
      <c r="U747" s="435">
        <f>S747/8.5*10000/(H747)</f>
        <v>0.24762006769204375</v>
      </c>
      <c r="V747" s="69"/>
      <c r="W747" s="436"/>
      <c r="X747" s="437"/>
      <c r="Y747" s="33">
        <v>2.64</v>
      </c>
      <c r="Z747" s="33">
        <f t="shared" si="120"/>
        <v>86993.279999999999</v>
      </c>
      <c r="AA747" s="33"/>
      <c r="AB747" s="33"/>
      <c r="AC747" s="438"/>
      <c r="AD747" s="33"/>
    </row>
    <row r="748" spans="1:30" ht="27.6" x14ac:dyDescent="0.3">
      <c r="A748" s="47">
        <v>44368.930555555555</v>
      </c>
      <c r="B748" s="47">
        <v>44372.604166666664</v>
      </c>
      <c r="C748" s="23"/>
      <c r="D748" s="23"/>
      <c r="E748" s="35" t="s">
        <v>917</v>
      </c>
      <c r="F748" s="641" t="s">
        <v>852</v>
      </c>
      <c r="G748" s="45" t="s">
        <v>212</v>
      </c>
      <c r="H748" s="487">
        <f>54750-H749-H750-H751</f>
        <v>33460</v>
      </c>
      <c r="I748" s="433"/>
      <c r="J748" s="433">
        <v>54750</v>
      </c>
      <c r="K748" s="26">
        <f>H748+H749+H750+H751-J748</f>
        <v>0</v>
      </c>
      <c r="L748" s="27">
        <f>B748-A748</f>
        <v>3.6736111111094942</v>
      </c>
      <c r="M748" s="27">
        <f>'[186]ANNA BARBARA'!$F$91</f>
        <v>1.0972222222177759</v>
      </c>
      <c r="N748" s="434">
        <f>(H748+H749+H750+H751)/L748</f>
        <v>14903.591682426219</v>
      </c>
      <c r="O748" s="434">
        <f>(H748+H749+H750+H751)/M748</f>
        <v>49898.734177417398</v>
      </c>
      <c r="P748" s="434">
        <v>30000</v>
      </c>
      <c r="Q748" s="69">
        <f>(121395/10000)*8.7</f>
        <v>105.61364999999999</v>
      </c>
      <c r="R748" s="69">
        <f>(106475/10000)*8.7</f>
        <v>92.633250000000004</v>
      </c>
      <c r="S748" s="69">
        <f>Q748-R748</f>
        <v>12.980399999999989</v>
      </c>
      <c r="T748" s="435">
        <f>S748/8.7*10000/(H748+H749+H750+H751)</f>
        <v>0.27251141552511393</v>
      </c>
      <c r="U748" s="435">
        <f>S748/8.5*10000/(H748+H749+H750+H751)</f>
        <v>0.27892344883158721</v>
      </c>
      <c r="V748" s="69"/>
      <c r="W748" s="436"/>
      <c r="X748" s="437"/>
      <c r="Y748" s="33">
        <v>2.64</v>
      </c>
      <c r="Z748" s="33">
        <f t="shared" si="120"/>
        <v>88334.400000000009</v>
      </c>
      <c r="AA748" s="33"/>
      <c r="AB748" s="33"/>
      <c r="AC748" s="438"/>
      <c r="AD748" s="33"/>
    </row>
    <row r="749" spans="1:30" x14ac:dyDescent="0.3">
      <c r="A749" s="47"/>
      <c r="B749" s="47"/>
      <c r="C749" s="23"/>
      <c r="D749" s="23"/>
      <c r="E749" s="35" t="s">
        <v>918</v>
      </c>
      <c r="F749" s="641"/>
      <c r="G749" s="45"/>
      <c r="H749" s="487">
        <v>6001</v>
      </c>
      <c r="I749" s="433"/>
      <c r="J749" s="433"/>
      <c r="K749" s="26"/>
      <c r="L749" s="27"/>
      <c r="M749" s="27"/>
      <c r="N749" s="434"/>
      <c r="O749" s="434"/>
      <c r="P749" s="434"/>
      <c r="Q749" s="69"/>
      <c r="R749" s="69"/>
      <c r="S749" s="69"/>
      <c r="T749" s="435"/>
      <c r="U749" s="435"/>
      <c r="V749" s="69"/>
      <c r="W749" s="436"/>
      <c r="X749" s="437"/>
      <c r="Y749" s="33">
        <v>6.5</v>
      </c>
      <c r="Z749" s="33">
        <f t="shared" si="120"/>
        <v>39006.5</v>
      </c>
      <c r="AA749" s="33"/>
      <c r="AB749" s="33"/>
      <c r="AC749" s="438"/>
      <c r="AD749" s="33"/>
    </row>
    <row r="750" spans="1:30" x14ac:dyDescent="0.3">
      <c r="A750" s="146"/>
      <c r="B750" s="146"/>
      <c r="C750" s="23"/>
      <c r="D750" s="23"/>
      <c r="E750" s="35" t="s">
        <v>918</v>
      </c>
      <c r="F750" s="641"/>
      <c r="G750" s="45"/>
      <c r="H750" s="487">
        <v>7657</v>
      </c>
      <c r="I750" s="433"/>
      <c r="J750" s="433"/>
      <c r="K750" s="26"/>
      <c r="L750" s="27"/>
      <c r="M750" s="27"/>
      <c r="N750" s="434"/>
      <c r="O750" s="434"/>
      <c r="P750" s="434"/>
      <c r="Q750" s="69"/>
      <c r="R750" s="69"/>
      <c r="S750" s="69"/>
      <c r="T750" s="435"/>
      <c r="U750" s="435"/>
      <c r="V750" s="69"/>
      <c r="W750" s="436"/>
      <c r="X750" s="437"/>
      <c r="Y750" s="33">
        <v>6.5</v>
      </c>
      <c r="Z750" s="33">
        <f t="shared" si="120"/>
        <v>49770.5</v>
      </c>
      <c r="AA750" s="33"/>
      <c r="AB750" s="33"/>
      <c r="AC750" s="438"/>
      <c r="AD750" s="33"/>
    </row>
    <row r="751" spans="1:30" x14ac:dyDescent="0.3">
      <c r="A751" s="146"/>
      <c r="B751" s="146"/>
      <c r="C751" s="23"/>
      <c r="D751" s="23"/>
      <c r="E751" s="35" t="s">
        <v>918</v>
      </c>
      <c r="F751" s="641"/>
      <c r="G751" s="45"/>
      <c r="H751" s="487">
        <v>7632</v>
      </c>
      <c r="I751" s="433"/>
      <c r="J751" s="433"/>
      <c r="K751" s="26"/>
      <c r="L751" s="27"/>
      <c r="M751" s="27"/>
      <c r="N751" s="434"/>
      <c r="O751" s="434"/>
      <c r="P751" s="434"/>
      <c r="Q751" s="69"/>
      <c r="R751" s="69"/>
      <c r="S751" s="69"/>
      <c r="T751" s="435"/>
      <c r="U751" s="435"/>
      <c r="V751" s="69"/>
      <c r="W751" s="436"/>
      <c r="X751" s="437"/>
      <c r="Y751" s="33">
        <v>6.5</v>
      </c>
      <c r="Z751" s="33">
        <f t="shared" si="120"/>
        <v>49608</v>
      </c>
      <c r="AA751" s="33"/>
      <c r="AB751" s="33"/>
      <c r="AC751" s="438"/>
      <c r="AD751" s="33"/>
    </row>
    <row r="752" spans="1:30" x14ac:dyDescent="0.3">
      <c r="A752" s="47">
        <v>44372.854166666664</v>
      </c>
      <c r="B752" s="47">
        <v>44373.569444444445</v>
      </c>
      <c r="C752" s="23"/>
      <c r="D752" s="23"/>
      <c r="E752" s="35" t="s">
        <v>338</v>
      </c>
      <c r="F752" s="12"/>
      <c r="G752" s="45" t="s">
        <v>328</v>
      </c>
      <c r="H752" s="487">
        <v>18694</v>
      </c>
      <c r="I752" s="433"/>
      <c r="J752" s="433">
        <v>76450</v>
      </c>
      <c r="K752" s="26">
        <f t="shared" ref="K752:K753" si="124">H752-J752</f>
        <v>-57756</v>
      </c>
      <c r="L752" s="27">
        <f>B752-A752</f>
        <v>0.71527777778101154</v>
      </c>
      <c r="M752" s="27">
        <f>'[186]HIGH SPEED'!$F$56</f>
        <v>0.40798611113738542</v>
      </c>
      <c r="N752" s="434">
        <f>(H752)/L752</f>
        <v>26135.30097075563</v>
      </c>
      <c r="O752" s="567">
        <f>(H752)/M752</f>
        <v>45820.187231091732</v>
      </c>
      <c r="P752" s="434">
        <v>30000</v>
      </c>
      <c r="Q752" s="69">
        <f>(106037/10000)*8.7</f>
        <v>92.252189999999985</v>
      </c>
      <c r="R752" s="69">
        <f>(101477/10000)*8.7</f>
        <v>88.284989999999993</v>
      </c>
      <c r="S752" s="69">
        <f>Q752-R752</f>
        <v>3.9671999999999912</v>
      </c>
      <c r="T752" s="435">
        <f>S752/8.7*10000/(H752)</f>
        <v>0.24392853321921418</v>
      </c>
      <c r="U752" s="435">
        <f>S752/8.5*10000/(H752)</f>
        <v>0.24966802811848982</v>
      </c>
      <c r="V752" s="69"/>
      <c r="W752" s="436"/>
      <c r="X752" s="437"/>
      <c r="Y752" s="33">
        <v>2.64</v>
      </c>
      <c r="Z752" s="33">
        <f t="shared" si="120"/>
        <v>49352.160000000003</v>
      </c>
      <c r="AA752" s="33"/>
      <c r="AB752" s="33"/>
      <c r="AC752" s="438"/>
      <c r="AD752" s="33"/>
    </row>
    <row r="753" spans="1:30" x14ac:dyDescent="0.3">
      <c r="A753" s="47">
        <v>44373.902777777781</v>
      </c>
      <c r="B753" s="47">
        <v>44376.583333333336</v>
      </c>
      <c r="C753" s="23"/>
      <c r="D753" s="23"/>
      <c r="E753" s="35" t="s">
        <v>919</v>
      </c>
      <c r="F753" s="641"/>
      <c r="G753" s="487" t="s">
        <v>328</v>
      </c>
      <c r="H753" s="487">
        <v>60482</v>
      </c>
      <c r="I753" s="433"/>
      <c r="J753" s="26">
        <v>65000</v>
      </c>
      <c r="K753" s="26">
        <f t="shared" si="124"/>
        <v>-4518</v>
      </c>
      <c r="L753" s="27">
        <f>B753-A753</f>
        <v>2.6805555555547471</v>
      </c>
      <c r="M753" s="27">
        <f>'[186]HUA YANG CHUAN QI'!$F$103</f>
        <v>1.2968750000097014</v>
      </c>
      <c r="N753" s="434">
        <f>(H753)/L753</f>
        <v>22563.233160628566</v>
      </c>
      <c r="O753" s="567">
        <f>(H753)/M753</f>
        <v>46636.722891217396</v>
      </c>
      <c r="P753" s="434">
        <v>30000</v>
      </c>
      <c r="Q753" s="69">
        <f>(101039/10000)*8.7</f>
        <v>87.903929999999988</v>
      </c>
      <c r="R753" s="69">
        <f>(88487/10000)*8.7</f>
        <v>76.983689999999982</v>
      </c>
      <c r="S753" s="69">
        <f>Q753-R753</f>
        <v>10.920240000000007</v>
      </c>
      <c r="T753" s="435">
        <f>S753/8.7*10000/(H753)</f>
        <v>0.20753281968188897</v>
      </c>
      <c r="U753" s="435">
        <f>S753/8.5*10000/(H753)</f>
        <v>0.21241594485087459</v>
      </c>
      <c r="V753" s="69"/>
      <c r="W753" s="436"/>
      <c r="X753" s="437"/>
      <c r="Y753" s="33">
        <v>2.64</v>
      </c>
      <c r="Z753" s="33">
        <f t="shared" si="120"/>
        <v>159672.48000000001</v>
      </c>
      <c r="AA753" s="33"/>
      <c r="AB753" s="33"/>
      <c r="AC753" s="438"/>
      <c r="AD753" s="33"/>
    </row>
    <row r="754" spans="1:30" x14ac:dyDescent="0.3">
      <c r="A754" s="146"/>
      <c r="B754" s="146"/>
      <c r="C754" s="23"/>
      <c r="D754" s="23"/>
      <c r="E754" s="35"/>
      <c r="F754" s="641"/>
      <c r="G754" s="110"/>
      <c r="H754" s="487"/>
      <c r="I754" s="433"/>
      <c r="J754" s="433"/>
      <c r="K754" s="26"/>
      <c r="L754" s="27"/>
      <c r="M754" s="27"/>
      <c r="N754" s="434"/>
      <c r="O754" s="434"/>
      <c r="P754" s="434"/>
      <c r="Q754" s="69"/>
      <c r="R754" s="69"/>
      <c r="S754" s="69"/>
      <c r="T754" s="435"/>
      <c r="U754" s="435"/>
      <c r="V754" s="435"/>
      <c r="W754" s="436"/>
      <c r="X754" s="437"/>
      <c r="Y754" s="33"/>
      <c r="Z754" s="33"/>
      <c r="AA754" s="33"/>
      <c r="AB754" s="33"/>
      <c r="AC754" s="438"/>
      <c r="AD754" s="33"/>
    </row>
    <row r="755" spans="1:30" x14ac:dyDescent="0.3">
      <c r="A755" s="146"/>
      <c r="B755" s="146"/>
      <c r="C755" s="20">
        <v>1000000001</v>
      </c>
      <c r="D755" s="20"/>
      <c r="E755" s="21" t="s">
        <v>60</v>
      </c>
      <c r="F755" s="643"/>
      <c r="G755" s="644"/>
      <c r="H755" s="485">
        <f>SUM(H732:H754)</f>
        <v>523193</v>
      </c>
      <c r="I755" s="431"/>
      <c r="J755" s="431"/>
      <c r="K755" s="431"/>
      <c r="L755" s="431"/>
      <c r="M755" s="431"/>
      <c r="N755" s="431">
        <f>AVERAGE(N732:N753)</f>
        <v>25315.142429756121</v>
      </c>
      <c r="O755" s="431">
        <f>AVERAGE(O732:O753)</f>
        <v>47626.100898825163</v>
      </c>
      <c r="P755" s="431"/>
      <c r="Q755" s="431"/>
      <c r="R755" s="431"/>
      <c r="S755" s="440">
        <f>SUM(S732:S754)</f>
        <v>100.85561999999994</v>
      </c>
      <c r="T755" s="441">
        <f>S755/8.7*10000/H755</f>
        <v>0.22157406540225105</v>
      </c>
      <c r="U755" s="440"/>
      <c r="V755" s="440"/>
      <c r="W755" s="442"/>
      <c r="X755" s="22"/>
      <c r="Y755" s="22"/>
      <c r="Z755" s="432">
        <f>SUM(Z732:Z754)</f>
        <v>1656930.0199999998</v>
      </c>
      <c r="AA755" s="432"/>
      <c r="AB755" s="432"/>
      <c r="AC755" s="432"/>
      <c r="AD755" s="432"/>
    </row>
    <row r="756" spans="1:30" x14ac:dyDescent="0.3">
      <c r="F756" s="646"/>
      <c r="G756" s="171"/>
      <c r="H756" s="647"/>
      <c r="AC756" s="3"/>
      <c r="AD756" s="3"/>
    </row>
    <row r="757" spans="1:30" x14ac:dyDescent="0.3">
      <c r="A757" s="47">
        <v>44376.930555555555</v>
      </c>
      <c r="B757" s="47">
        <v>44378.715277777781</v>
      </c>
      <c r="C757" s="23"/>
      <c r="D757" s="14"/>
      <c r="E757" s="35" t="s">
        <v>920</v>
      </c>
      <c r="F757" s="45"/>
      <c r="G757" s="36" t="s">
        <v>328</v>
      </c>
      <c r="H757" s="433">
        <v>32211</v>
      </c>
      <c r="I757" s="433"/>
      <c r="J757" s="433">
        <v>84400</v>
      </c>
      <c r="K757" s="26">
        <f>H757-J757</f>
        <v>-52189</v>
      </c>
      <c r="L757" s="27">
        <f>B757-A757</f>
        <v>1.7847222222262644</v>
      </c>
      <c r="M757" s="27">
        <f>'[187]MANALAGI DASA'!$F$79</f>
        <v>0.69097222221777577</v>
      </c>
      <c r="N757" s="434">
        <f>(H757)/L757</f>
        <v>18048.186770387139</v>
      </c>
      <c r="O757" s="567">
        <f>(H757)/M757</f>
        <v>46616.924623415558</v>
      </c>
      <c r="P757" s="434">
        <v>30000</v>
      </c>
      <c r="Q757" s="69">
        <f>(87976/10000)*8.7</f>
        <v>76.539119999999983</v>
      </c>
      <c r="R757" s="69">
        <f>(80088/10000)*8.7</f>
        <v>69.676559999999995</v>
      </c>
      <c r="S757" s="69">
        <f>Q757-R757</f>
        <v>6.8625599999999878</v>
      </c>
      <c r="T757" s="435">
        <f>S757/8.7*10000/(H757)</f>
        <v>0.24488528763465855</v>
      </c>
      <c r="U757" s="435">
        <f>S757/8.5*10000/(H757)</f>
        <v>0.25064729440253281</v>
      </c>
      <c r="V757" s="435"/>
      <c r="W757" s="436"/>
      <c r="X757" s="32"/>
      <c r="Y757" s="33">
        <v>2.64</v>
      </c>
      <c r="Z757" s="33">
        <f t="shared" ref="Z757:Z775" si="125">H757*Y757</f>
        <v>85037.040000000008</v>
      </c>
      <c r="AA757" s="33"/>
      <c r="AB757" s="33"/>
      <c r="AC757" s="438"/>
      <c r="AD757" s="33"/>
    </row>
    <row r="758" spans="1:30" x14ac:dyDescent="0.3">
      <c r="A758" s="47">
        <v>44379.006944444445</v>
      </c>
      <c r="B758" s="47">
        <v>44381.649305555555</v>
      </c>
      <c r="C758" s="23"/>
      <c r="D758" s="14"/>
      <c r="E758" s="35" t="s">
        <v>158</v>
      </c>
      <c r="F758" s="641"/>
      <c r="G758" s="45" t="s">
        <v>328</v>
      </c>
      <c r="H758" s="487">
        <f>73200-H759-H760</f>
        <v>58232</v>
      </c>
      <c r="I758" s="433"/>
      <c r="J758" s="433">
        <v>73200</v>
      </c>
      <c r="K758" s="26">
        <f>H758+H759+H760-J758</f>
        <v>0</v>
      </c>
      <c r="L758" s="27">
        <f>B758-A758</f>
        <v>2.6423611111094942</v>
      </c>
      <c r="M758" s="27">
        <f>'[187]WU ZHOU 8'!$F$126</f>
        <v>1.583333333338184</v>
      </c>
      <c r="N758" s="434">
        <f>(H758+H759+H760)/L758</f>
        <v>27702.496714865836</v>
      </c>
      <c r="O758" s="434">
        <f>(H758+H759+H760)/M758</f>
        <v>46231.578947226786</v>
      </c>
      <c r="P758" s="434">
        <v>30000</v>
      </c>
      <c r="Q758" s="69">
        <f>(79504/10000)*8.7</f>
        <v>69.168480000000002</v>
      </c>
      <c r="R758" s="69">
        <f>(65000/10000)*8.7</f>
        <v>56.55</v>
      </c>
      <c r="S758" s="69">
        <f>Q758-R758</f>
        <v>12.618480000000005</v>
      </c>
      <c r="T758" s="435">
        <f>S758/8.7*10000/(H758+H759+H760)</f>
        <v>0.19814207650273233</v>
      </c>
      <c r="U758" s="435">
        <f>S758/8.5*10000/(H758+H759+H760)</f>
        <v>0.20280424300867897</v>
      </c>
      <c r="V758" s="435"/>
      <c r="W758" s="31"/>
      <c r="X758" s="32"/>
      <c r="Y758" s="33">
        <v>2.64</v>
      </c>
      <c r="Z758" s="33">
        <f t="shared" si="125"/>
        <v>153732.48000000001</v>
      </c>
      <c r="AA758" s="33"/>
      <c r="AB758" s="33"/>
      <c r="AC758" s="438"/>
      <c r="AD758" s="33"/>
    </row>
    <row r="759" spans="1:30" x14ac:dyDescent="0.3">
      <c r="A759" s="146"/>
      <c r="B759" s="146"/>
      <c r="C759" s="23"/>
      <c r="D759" s="23"/>
      <c r="E759" s="35" t="s">
        <v>921</v>
      </c>
      <c r="F759" s="641"/>
      <c r="G759" s="110"/>
      <c r="H759" s="487">
        <v>7273</v>
      </c>
      <c r="I759" s="433"/>
      <c r="J759" s="433"/>
      <c r="K759" s="26"/>
      <c r="L759" s="27"/>
      <c r="M759" s="27"/>
      <c r="N759" s="434"/>
      <c r="O759" s="434"/>
      <c r="P759" s="434"/>
      <c r="Q759" s="69"/>
      <c r="R759" s="69"/>
      <c r="S759" s="69"/>
      <c r="T759" s="435"/>
      <c r="U759" s="435"/>
      <c r="V759" s="69"/>
      <c r="W759" s="436"/>
      <c r="X759" s="437"/>
      <c r="Y759" s="33">
        <v>6.5</v>
      </c>
      <c r="Z759" s="33">
        <f t="shared" si="125"/>
        <v>47274.5</v>
      </c>
      <c r="AA759" s="33"/>
      <c r="AB759" s="33"/>
      <c r="AC759" s="438"/>
      <c r="AD759" s="33"/>
    </row>
    <row r="760" spans="1:30" x14ac:dyDescent="0.3">
      <c r="A760" s="146"/>
      <c r="B760" s="146"/>
      <c r="C760" s="23"/>
      <c r="D760" s="23"/>
      <c r="E760" s="35" t="s">
        <v>921</v>
      </c>
      <c r="F760" s="641"/>
      <c r="G760" s="110"/>
      <c r="H760" s="487">
        <v>7695</v>
      </c>
      <c r="I760" s="433"/>
      <c r="J760" s="433"/>
      <c r="K760" s="26"/>
      <c r="L760" s="27"/>
      <c r="M760" s="27"/>
      <c r="N760" s="434"/>
      <c r="O760" s="434"/>
      <c r="P760" s="434"/>
      <c r="Q760" s="69"/>
      <c r="R760" s="69"/>
      <c r="S760" s="69"/>
      <c r="T760" s="435"/>
      <c r="U760" s="435"/>
      <c r="V760" s="435"/>
      <c r="W760" s="436"/>
      <c r="X760" s="437"/>
      <c r="Y760" s="33">
        <v>6.5</v>
      </c>
      <c r="Z760" s="33">
        <f t="shared" si="125"/>
        <v>50017.5</v>
      </c>
      <c r="AA760" s="33"/>
      <c r="AB760" s="33"/>
      <c r="AC760" s="438"/>
      <c r="AD760" s="33"/>
    </row>
    <row r="761" spans="1:30" x14ac:dyDescent="0.3">
      <c r="A761" s="47">
        <v>44385.027777777781</v>
      </c>
      <c r="B761" s="47">
        <v>44386.135416666664</v>
      </c>
      <c r="C761" s="23"/>
      <c r="D761" s="23"/>
      <c r="E761" s="35" t="s">
        <v>546</v>
      </c>
      <c r="F761" s="45"/>
      <c r="G761" s="25" t="s">
        <v>328</v>
      </c>
      <c r="H761" s="433">
        <f>15237-H762</f>
        <v>9236</v>
      </c>
      <c r="I761" s="433"/>
      <c r="J761" s="433">
        <v>62500</v>
      </c>
      <c r="K761" s="26">
        <f>H761+H762-J761</f>
        <v>-47263</v>
      </c>
      <c r="L761" s="27">
        <f>B761-A761</f>
        <v>1.1076388888832298</v>
      </c>
      <c r="M761" s="27">
        <f>'[187]JIN RUN'!$F$62</f>
        <v>0.34027777774341911</v>
      </c>
      <c r="N761" s="434">
        <f>(H761+H762)/L761</f>
        <v>13756.288401324202</v>
      </c>
      <c r="O761" s="567">
        <f>(H761+H762)/M761</f>
        <v>44778.122453500946</v>
      </c>
      <c r="P761" s="434">
        <v>30000</v>
      </c>
      <c r="Q761" s="69">
        <f>(182460/10000)*8.7</f>
        <v>158.74019999999999</v>
      </c>
      <c r="R761" s="69">
        <f>(177410/10000)*8.7</f>
        <v>154.3467</v>
      </c>
      <c r="S761" s="69">
        <f>Q761-R761</f>
        <v>4.3934999999999889</v>
      </c>
      <c r="T761" s="435">
        <f>S761/8.7*10000/(H761+H762)</f>
        <v>0.33143007153639092</v>
      </c>
      <c r="U761" s="435">
        <f>S761/8.5*10000/(H761+H762)</f>
        <v>0.33922842616077648</v>
      </c>
      <c r="V761" s="435"/>
      <c r="W761" s="436"/>
      <c r="X761" s="437"/>
      <c r="Y761" s="33">
        <v>2.64</v>
      </c>
      <c r="Z761" s="33">
        <f t="shared" si="125"/>
        <v>24383.040000000001</v>
      </c>
      <c r="AA761" s="33"/>
      <c r="AB761" s="33"/>
      <c r="AC761" s="438"/>
      <c r="AD761" s="33"/>
    </row>
    <row r="762" spans="1:30" x14ac:dyDescent="0.3">
      <c r="A762" s="146"/>
      <c r="B762" s="146"/>
      <c r="C762" s="23"/>
      <c r="D762" s="23"/>
      <c r="E762" s="35" t="s">
        <v>922</v>
      </c>
      <c r="F762" s="641"/>
      <c r="G762" s="110"/>
      <c r="H762" s="487">
        <v>6001</v>
      </c>
      <c r="I762" s="433"/>
      <c r="J762" s="433"/>
      <c r="K762" s="26"/>
      <c r="L762" s="27"/>
      <c r="M762" s="27"/>
      <c r="N762" s="434"/>
      <c r="O762" s="434"/>
      <c r="P762" s="434"/>
      <c r="Q762" s="69"/>
      <c r="R762" s="69"/>
      <c r="S762" s="69"/>
      <c r="T762" s="435"/>
      <c r="U762" s="435"/>
      <c r="V762" s="435"/>
      <c r="W762" s="436"/>
      <c r="X762" s="437"/>
      <c r="Y762" s="33">
        <v>6.5</v>
      </c>
      <c r="Z762" s="33">
        <f t="shared" si="125"/>
        <v>39006.5</v>
      </c>
      <c r="AA762" s="33"/>
      <c r="AB762" s="33"/>
      <c r="AC762" s="438"/>
      <c r="AD762" s="33"/>
    </row>
    <row r="763" spans="1:30" ht="27.6" x14ac:dyDescent="0.3">
      <c r="A763" s="47">
        <v>44387.875</v>
      </c>
      <c r="B763" s="47">
        <v>44390.732638888891</v>
      </c>
      <c r="C763" s="23"/>
      <c r="D763" s="23"/>
      <c r="E763" s="35" t="s">
        <v>601</v>
      </c>
      <c r="F763" s="641" t="s">
        <v>852</v>
      </c>
      <c r="G763" s="110" t="s">
        <v>328</v>
      </c>
      <c r="H763" s="487">
        <f>67000-H764</f>
        <v>59525</v>
      </c>
      <c r="I763" s="433"/>
      <c r="J763" s="433">
        <v>67000</v>
      </c>
      <c r="K763" s="26">
        <f>H763+H764-J763</f>
        <v>0</v>
      </c>
      <c r="L763" s="27">
        <f>B763-A763</f>
        <v>2.8576388888905058</v>
      </c>
      <c r="M763" s="27">
        <f>'[187]CHANG SHENG'!$F$107</f>
        <v>1.4461805555462586</v>
      </c>
      <c r="N763" s="434">
        <f>(H763+H764)/L763</f>
        <v>23445.929526110671</v>
      </c>
      <c r="O763" s="567">
        <f>(H763+H764)/M763</f>
        <v>46328.931572926886</v>
      </c>
      <c r="P763" s="434">
        <v>30000</v>
      </c>
      <c r="Q763" s="69">
        <f>(174490/10000)*8.7</f>
        <v>151.80629999999999</v>
      </c>
      <c r="R763" s="69">
        <f>(159548/10000)*8.7</f>
        <v>138.80676</v>
      </c>
      <c r="S763" s="69">
        <f>Q763-R763</f>
        <v>12.999539999999996</v>
      </c>
      <c r="T763" s="435">
        <f>S763/8.7*10000/(H763+H764)</f>
        <v>0.2230149253731343</v>
      </c>
      <c r="U763" s="435">
        <f>S763/8.5*10000/(H763+H764)</f>
        <v>0.22826233538191387</v>
      </c>
      <c r="V763" s="435"/>
      <c r="W763" s="436"/>
      <c r="X763" s="437"/>
      <c r="Y763" s="33">
        <v>2.64</v>
      </c>
      <c r="Z763" s="33">
        <f t="shared" si="125"/>
        <v>157146</v>
      </c>
      <c r="AA763" s="33"/>
      <c r="AB763" s="33"/>
      <c r="AC763" s="438"/>
      <c r="AD763" s="33"/>
    </row>
    <row r="764" spans="1:30" x14ac:dyDescent="0.3">
      <c r="A764" s="146"/>
      <c r="B764" s="146"/>
      <c r="C764" s="23"/>
      <c r="D764" s="23"/>
      <c r="E764" s="35" t="s">
        <v>602</v>
      </c>
      <c r="F764" s="641"/>
      <c r="G764" s="110"/>
      <c r="H764" s="487">
        <v>7475</v>
      </c>
      <c r="I764" s="433"/>
      <c r="J764" s="433"/>
      <c r="K764" s="26"/>
      <c r="L764" s="27"/>
      <c r="M764" s="27"/>
      <c r="N764" s="434"/>
      <c r="O764" s="434"/>
      <c r="P764" s="434"/>
      <c r="Q764" s="69"/>
      <c r="R764" s="69"/>
      <c r="S764" s="69"/>
      <c r="T764" s="435"/>
      <c r="U764" s="435"/>
      <c r="V764" s="435"/>
      <c r="W764" s="436"/>
      <c r="X764" s="437"/>
      <c r="Y764" s="33">
        <v>6.5</v>
      </c>
      <c r="Z764" s="33">
        <f t="shared" si="125"/>
        <v>48587.5</v>
      </c>
      <c r="AA764" s="33"/>
      <c r="AB764" s="33"/>
      <c r="AC764" s="438"/>
      <c r="AD764" s="33"/>
    </row>
    <row r="765" spans="1:30" x14ac:dyDescent="0.3">
      <c r="A765" s="47">
        <v>44392.75</v>
      </c>
      <c r="B765" s="47">
        <v>44393.423611111109</v>
      </c>
      <c r="C765" s="23"/>
      <c r="D765" s="23"/>
      <c r="E765" s="35" t="s">
        <v>923</v>
      </c>
      <c r="F765" s="641"/>
      <c r="G765" s="110" t="s">
        <v>328</v>
      </c>
      <c r="H765" s="487">
        <v>13542</v>
      </c>
      <c r="I765" s="433"/>
      <c r="J765" s="433">
        <v>63750</v>
      </c>
      <c r="K765" s="26">
        <f>H765-J765</f>
        <v>-50208</v>
      </c>
      <c r="L765" s="27">
        <f>B765-A765</f>
        <v>0.67361111110949423</v>
      </c>
      <c r="M765" s="27">
        <f>'[187]SAN SHIN'!$F$38</f>
        <v>0.44791666666060337</v>
      </c>
      <c r="N765" s="434">
        <f>(H765)/L765</f>
        <v>20103.587628914236</v>
      </c>
      <c r="O765" s="567">
        <f>(H765)/M765</f>
        <v>30233.302325990655</v>
      </c>
      <c r="P765" s="434">
        <v>30000</v>
      </c>
      <c r="Q765" s="69">
        <f>(156117/10000)*8.7</f>
        <v>135.82178999999999</v>
      </c>
      <c r="R765" s="69">
        <f>(152371/10000)*8.7</f>
        <v>132.56277</v>
      </c>
      <c r="S765" s="69">
        <f>Q765-R765</f>
        <v>3.2590199999999925</v>
      </c>
      <c r="T765" s="435">
        <f>S765/8.7*10000/(H765)</f>
        <v>0.27662088317825961</v>
      </c>
      <c r="U765" s="435">
        <f>S765/8.5*10000/(H765)</f>
        <v>0.28312960984127744</v>
      </c>
      <c r="V765" s="435"/>
      <c r="W765" s="436"/>
      <c r="X765" s="437"/>
      <c r="Y765" s="33">
        <v>2.64</v>
      </c>
      <c r="Z765" s="33">
        <f t="shared" si="125"/>
        <v>35750.880000000005</v>
      </c>
      <c r="AA765" s="33"/>
      <c r="AB765" s="33"/>
      <c r="AC765" s="438"/>
      <c r="AD765" s="33"/>
    </row>
    <row r="766" spans="1:30" x14ac:dyDescent="0.3">
      <c r="A766" s="47">
        <v>44393.875</v>
      </c>
      <c r="B766" s="47">
        <v>44394.833333333336</v>
      </c>
      <c r="C766" s="23"/>
      <c r="D766" s="23"/>
      <c r="E766" s="35" t="s">
        <v>924</v>
      </c>
      <c r="F766" s="641"/>
      <c r="G766" s="25" t="s">
        <v>328</v>
      </c>
      <c r="H766" s="433">
        <f>32736-H767</f>
        <v>25318</v>
      </c>
      <c r="I766" s="433"/>
      <c r="J766" s="433">
        <v>72700</v>
      </c>
      <c r="K766" s="26">
        <f>H766+H767-J766</f>
        <v>-39964</v>
      </c>
      <c r="L766" s="27">
        <f>B766-A766</f>
        <v>0.95833333333575865</v>
      </c>
      <c r="M766" s="27">
        <f>'[187]HUAYANG ENDEAVOUR'!$F$59</f>
        <v>0.67881944444767817</v>
      </c>
      <c r="N766" s="434">
        <f>(H766+H767)/L766</f>
        <v>34159.304347739635</v>
      </c>
      <c r="O766" s="567">
        <f>(H766+H767)/M766</f>
        <v>48224.900255524743</v>
      </c>
      <c r="P766" s="434">
        <v>30000</v>
      </c>
      <c r="Q766" s="69">
        <f>(151641/10000)*8.7</f>
        <v>131.92766999999998</v>
      </c>
      <c r="R766" s="69">
        <f>(145975/10000)*8.7</f>
        <v>126.99824999999998</v>
      </c>
      <c r="S766" s="69">
        <f>Q766-R766</f>
        <v>4.9294199999999933</v>
      </c>
      <c r="T766" s="435">
        <f>S766/8.7*10000/(H766+H767)</f>
        <v>0.17308162267839663</v>
      </c>
      <c r="U766" s="435">
        <f>S766/8.5*10000/(H766+H767)</f>
        <v>0.17715413144730011</v>
      </c>
      <c r="V766" s="435"/>
      <c r="W766" s="436"/>
      <c r="X766" s="437"/>
      <c r="Y766" s="33">
        <v>2.64</v>
      </c>
      <c r="Z766" s="33">
        <f t="shared" si="125"/>
        <v>66839.520000000004</v>
      </c>
      <c r="AA766" s="33"/>
      <c r="AB766" s="33"/>
      <c r="AC766" s="438"/>
      <c r="AD766" s="33"/>
    </row>
    <row r="767" spans="1:30" x14ac:dyDescent="0.3">
      <c r="A767" s="146"/>
      <c r="B767" s="146"/>
      <c r="C767" s="23"/>
      <c r="D767" s="23"/>
      <c r="E767" s="35" t="s">
        <v>925</v>
      </c>
      <c r="F767" s="641"/>
      <c r="G767" s="110"/>
      <c r="H767" s="487">
        <v>7418</v>
      </c>
      <c r="I767" s="433"/>
      <c r="J767" s="433"/>
      <c r="K767" s="26"/>
      <c r="L767" s="27"/>
      <c r="M767" s="27"/>
      <c r="N767" s="434"/>
      <c r="O767" s="434"/>
      <c r="P767" s="434"/>
      <c r="Q767" s="69"/>
      <c r="R767" s="69"/>
      <c r="S767" s="69"/>
      <c r="T767" s="435"/>
      <c r="U767" s="435"/>
      <c r="V767" s="435"/>
      <c r="W767" s="436"/>
      <c r="X767" s="437"/>
      <c r="Y767" s="33">
        <v>6.5</v>
      </c>
      <c r="Z767" s="33">
        <f t="shared" si="125"/>
        <v>48217</v>
      </c>
      <c r="AA767" s="33"/>
      <c r="AB767" s="33"/>
      <c r="AC767" s="438"/>
      <c r="AD767" s="33"/>
    </row>
    <row r="768" spans="1:30" ht="27.6" x14ac:dyDescent="0.3">
      <c r="A768" s="47">
        <v>44395.493055555555</v>
      </c>
      <c r="B768" s="47">
        <v>44400.8125</v>
      </c>
      <c r="C768" s="23"/>
      <c r="D768" s="23"/>
      <c r="E768" s="35" t="s">
        <v>926</v>
      </c>
      <c r="F768" s="641" t="s">
        <v>852</v>
      </c>
      <c r="G768" s="110" t="s">
        <v>212</v>
      </c>
      <c r="H768" s="487">
        <f>59117-H769-H770</f>
        <v>45231</v>
      </c>
      <c r="I768" s="433"/>
      <c r="J768" s="433">
        <v>54750</v>
      </c>
      <c r="K768" s="26">
        <f>H768+H769+H770-J768</f>
        <v>4367</v>
      </c>
      <c r="L768" s="27">
        <f>B768-A768</f>
        <v>5.3194444444452529</v>
      </c>
      <c r="M768" s="27">
        <f>'[187]IC PHOENIX'!$F$105</f>
        <v>1.402777777776161</v>
      </c>
      <c r="N768" s="434">
        <f>(H768+H769+H770)/L768</f>
        <v>11113.37859007664</v>
      </c>
      <c r="O768" s="434">
        <f>(H768+H769+H770)/M768</f>
        <v>42142.811881236688</v>
      </c>
      <c r="P768" s="434">
        <v>30000</v>
      </c>
      <c r="Q768" s="69">
        <f>(145026/10000)*8.7</f>
        <v>126.17261999999998</v>
      </c>
      <c r="R768" s="69">
        <f>(126205/10000)*8.7</f>
        <v>109.79834999999999</v>
      </c>
      <c r="S768" s="69">
        <f>Q768-R768</f>
        <v>16.374269999999996</v>
      </c>
      <c r="T768" s="435">
        <f>S768/8.7*10000/(H768+H769+H770)</f>
        <v>0.31836865876143911</v>
      </c>
      <c r="U768" s="435">
        <f>S768/8.5*10000/(H768+H769+H770)</f>
        <v>0.32585968602641413</v>
      </c>
      <c r="V768" s="435"/>
      <c r="W768" s="436"/>
      <c r="X768" s="437"/>
      <c r="Y768" s="33">
        <v>2.64</v>
      </c>
      <c r="Z768" s="33">
        <f t="shared" si="125"/>
        <v>119409.84000000001</v>
      </c>
      <c r="AA768" s="33"/>
      <c r="AB768" s="33"/>
      <c r="AC768" s="438"/>
      <c r="AD768" s="33"/>
    </row>
    <row r="769" spans="1:30" x14ac:dyDescent="0.3">
      <c r="A769" s="146"/>
      <c r="B769" s="146"/>
      <c r="C769" s="23"/>
      <c r="D769" s="23"/>
      <c r="E769" s="35" t="s">
        <v>927</v>
      </c>
      <c r="F769" s="641"/>
      <c r="G769" s="110"/>
      <c r="H769" s="487">
        <v>7864</v>
      </c>
      <c r="I769" s="433"/>
      <c r="J769" s="433"/>
      <c r="K769" s="26"/>
      <c r="L769" s="27"/>
      <c r="M769" s="27"/>
      <c r="N769" s="434"/>
      <c r="O769" s="434"/>
      <c r="P769" s="434"/>
      <c r="Q769" s="69"/>
      <c r="R769" s="69"/>
      <c r="S769" s="69"/>
      <c r="T769" s="435"/>
      <c r="U769" s="435"/>
      <c r="V769" s="435"/>
      <c r="W769" s="436"/>
      <c r="X769" s="437"/>
      <c r="Y769" s="33">
        <v>6.5</v>
      </c>
      <c r="Z769" s="33">
        <f t="shared" si="125"/>
        <v>51116</v>
      </c>
      <c r="AA769" s="33"/>
      <c r="AB769" s="33"/>
      <c r="AC769" s="438"/>
      <c r="AD769" s="33"/>
    </row>
    <row r="770" spans="1:30" x14ac:dyDescent="0.3">
      <c r="A770" s="146"/>
      <c r="B770" s="146"/>
      <c r="C770" s="23"/>
      <c r="D770" s="23"/>
      <c r="E770" s="35" t="s">
        <v>927</v>
      </c>
      <c r="F770" s="641"/>
      <c r="G770" s="110"/>
      <c r="H770" s="487">
        <v>6022</v>
      </c>
      <c r="I770" s="433"/>
      <c r="J770" s="433"/>
      <c r="K770" s="26"/>
      <c r="L770" s="27"/>
      <c r="M770" s="27"/>
      <c r="N770" s="434"/>
      <c r="O770" s="434"/>
      <c r="P770" s="434"/>
      <c r="Q770" s="69"/>
      <c r="R770" s="69"/>
      <c r="S770" s="69"/>
      <c r="T770" s="435"/>
      <c r="U770" s="435"/>
      <c r="V770" s="435"/>
      <c r="W770" s="436"/>
      <c r="X770" s="437"/>
      <c r="Y770" s="33">
        <v>6.5</v>
      </c>
      <c r="Z770" s="33">
        <f t="shared" si="125"/>
        <v>39143</v>
      </c>
      <c r="AA770" s="33"/>
      <c r="AB770" s="33"/>
      <c r="AC770" s="438"/>
      <c r="AD770" s="33"/>
    </row>
    <row r="771" spans="1:30" ht="27.6" x14ac:dyDescent="0.3">
      <c r="A771" s="47">
        <v>44402.402777777781</v>
      </c>
      <c r="B771" s="47">
        <v>44404.506944444445</v>
      </c>
      <c r="C771" s="23"/>
      <c r="D771" s="23"/>
      <c r="E771" s="35" t="s">
        <v>928</v>
      </c>
      <c r="F771" s="641" t="s">
        <v>852</v>
      </c>
      <c r="G771" s="110" t="s">
        <v>212</v>
      </c>
      <c r="H771" s="487">
        <f>51150-H772-H773</f>
        <v>41186</v>
      </c>
      <c r="I771" s="433"/>
      <c r="J771" s="433">
        <v>51150</v>
      </c>
      <c r="K771" s="26">
        <f>H771+H772+H773-J771</f>
        <v>0</v>
      </c>
      <c r="L771" s="27">
        <f>B771-A771</f>
        <v>2.1041666666642413</v>
      </c>
      <c r="M771" s="27">
        <f>[187]CHRISTINAB!$F$89</f>
        <v>1.1562499999769595</v>
      </c>
      <c r="N771" s="434">
        <f>(H771+H772+H773)/L771</f>
        <v>24308.910891117128</v>
      </c>
      <c r="O771" s="434">
        <f>(H771+H772+H773)/M771</f>
        <v>44237.837838719359</v>
      </c>
      <c r="P771" s="434">
        <v>30000</v>
      </c>
      <c r="Q771" s="69">
        <f>(123650/10000)*8.7</f>
        <v>107.57549999999999</v>
      </c>
      <c r="R771" s="69">
        <f>(111692/10000)*8.7</f>
        <v>97.172039999999996</v>
      </c>
      <c r="S771" s="69">
        <f>Q771-R771</f>
        <v>10.403459999999995</v>
      </c>
      <c r="T771" s="435">
        <f>S771/8.7*10000/(H771+H772+H773)</f>
        <v>0.23378299120234594</v>
      </c>
      <c r="U771" s="435">
        <f>S771/8.5*10000/(H771+H772+H773)</f>
        <v>0.23928376746593055</v>
      </c>
      <c r="V771" s="435"/>
      <c r="W771" s="436"/>
      <c r="X771" s="437"/>
      <c r="Y771" s="33">
        <v>2.64</v>
      </c>
      <c r="Z771" s="33">
        <f t="shared" si="125"/>
        <v>108731.04000000001</v>
      </c>
      <c r="AA771" s="33"/>
      <c r="AB771" s="33"/>
      <c r="AC771" s="438"/>
      <c r="AD771" s="33"/>
    </row>
    <row r="772" spans="1:30" x14ac:dyDescent="0.3">
      <c r="A772" s="146"/>
      <c r="B772" s="146"/>
      <c r="C772" s="23"/>
      <c r="D772" s="23"/>
      <c r="E772" s="35" t="s">
        <v>929</v>
      </c>
      <c r="F772" s="641"/>
      <c r="G772" s="110"/>
      <c r="H772" s="487">
        <v>7495</v>
      </c>
      <c r="I772" s="433"/>
      <c r="J772" s="433"/>
      <c r="K772" s="26"/>
      <c r="L772" s="27"/>
      <c r="M772" s="27"/>
      <c r="N772" s="434"/>
      <c r="O772" s="434"/>
      <c r="P772" s="434"/>
      <c r="Q772" s="69"/>
      <c r="R772" s="69"/>
      <c r="S772" s="69"/>
      <c r="T772" s="435"/>
      <c r="U772" s="435"/>
      <c r="V772" s="435"/>
      <c r="W772" s="436"/>
      <c r="X772" s="437"/>
      <c r="Y772" s="33">
        <v>6.5</v>
      </c>
      <c r="Z772" s="33">
        <f t="shared" si="125"/>
        <v>48717.5</v>
      </c>
      <c r="AA772" s="33"/>
      <c r="AB772" s="33"/>
      <c r="AC772" s="438"/>
      <c r="AD772" s="33"/>
    </row>
    <row r="773" spans="1:30" x14ac:dyDescent="0.3">
      <c r="A773" s="146"/>
      <c r="B773" s="146"/>
      <c r="C773" s="23"/>
      <c r="D773" s="23"/>
      <c r="E773" s="35" t="s">
        <v>929</v>
      </c>
      <c r="F773" s="641"/>
      <c r="G773" s="110"/>
      <c r="H773" s="487">
        <v>2469</v>
      </c>
      <c r="I773" s="433"/>
      <c r="J773" s="433"/>
      <c r="K773" s="26"/>
      <c r="L773" s="27"/>
      <c r="M773" s="27"/>
      <c r="N773" s="434"/>
      <c r="O773" s="434"/>
      <c r="P773" s="434"/>
      <c r="Q773" s="69"/>
      <c r="R773" s="69"/>
      <c r="S773" s="69"/>
      <c r="T773" s="435"/>
      <c r="U773" s="435"/>
      <c r="V773" s="435"/>
      <c r="W773" s="436"/>
      <c r="X773" s="437"/>
      <c r="Y773" s="33">
        <v>6.5</v>
      </c>
      <c r="Z773" s="33">
        <f t="shared" si="125"/>
        <v>16048.5</v>
      </c>
      <c r="AA773" s="33"/>
      <c r="AB773" s="33"/>
      <c r="AC773" s="438"/>
      <c r="AD773" s="33"/>
    </row>
    <row r="774" spans="1:30" ht="27.6" x14ac:dyDescent="0.3">
      <c r="A774" s="47">
        <v>44404.784722222219</v>
      </c>
      <c r="B774" s="47">
        <v>44406.708333333336</v>
      </c>
      <c r="C774" s="23"/>
      <c r="D774" s="23"/>
      <c r="E774" s="35" t="s">
        <v>930</v>
      </c>
      <c r="F774" s="641" t="s">
        <v>852</v>
      </c>
      <c r="G774" s="110" t="s">
        <v>212</v>
      </c>
      <c r="H774" s="487">
        <f>51007-H775</f>
        <v>46090</v>
      </c>
      <c r="I774" s="433"/>
      <c r="J774" s="433">
        <v>51000</v>
      </c>
      <c r="K774" s="26">
        <f>H774+H775-J774</f>
        <v>7</v>
      </c>
      <c r="L774" s="27">
        <f>B774-A774</f>
        <v>1.9236111111167702</v>
      </c>
      <c r="M774" s="27">
        <f>'[187]PAN CROCUS'!$F$80</f>
        <v>1.1631944444440403</v>
      </c>
      <c r="N774" s="434">
        <f>(H774+H775)/L774</f>
        <v>26516.274368153037</v>
      </c>
      <c r="O774" s="567">
        <f>(H774+H775)/M774</f>
        <v>43850.794029865981</v>
      </c>
      <c r="P774" s="434">
        <v>30000</v>
      </c>
      <c r="Q774" s="69">
        <f>(111400/10000)*8.7</f>
        <v>96.917999999999992</v>
      </c>
      <c r="R774" s="69">
        <f>(100715/10000)*8.7</f>
        <v>87.622050000000002</v>
      </c>
      <c r="S774" s="69">
        <f>Q774-R774</f>
        <v>9.2959499999999906</v>
      </c>
      <c r="T774" s="435">
        <f>S774/8.7*10000/(H774+H775)</f>
        <v>0.20948105162036565</v>
      </c>
      <c r="U774" s="435">
        <f>S774/8.5*10000/(H774+H775)</f>
        <v>0.21441001754084482</v>
      </c>
      <c r="V774" s="435"/>
      <c r="W774" s="436"/>
      <c r="X774" s="437"/>
      <c r="Y774" s="33">
        <v>2.64</v>
      </c>
      <c r="Z774" s="33">
        <f t="shared" si="125"/>
        <v>121677.6</v>
      </c>
      <c r="AA774" s="33"/>
      <c r="AB774" s="33"/>
      <c r="AC774" s="438"/>
      <c r="AD774" s="33"/>
    </row>
    <row r="775" spans="1:30" x14ac:dyDescent="0.3">
      <c r="A775" s="146"/>
      <c r="B775" s="146"/>
      <c r="C775" s="23"/>
      <c r="D775" s="23"/>
      <c r="E775" s="35" t="s">
        <v>931</v>
      </c>
      <c r="F775" s="15"/>
      <c r="G775" s="15"/>
      <c r="H775" s="487">
        <v>4917</v>
      </c>
      <c r="I775" s="15"/>
      <c r="J775" s="15"/>
      <c r="K775" s="15"/>
      <c r="L775" s="27"/>
      <c r="M775" s="27"/>
      <c r="N775" s="434"/>
      <c r="O775" s="434"/>
      <c r="P775" s="434"/>
      <c r="Q775" s="69"/>
      <c r="R775" s="69"/>
      <c r="S775" s="69"/>
      <c r="T775" s="435"/>
      <c r="U775" s="435"/>
      <c r="V775" s="435"/>
      <c r="W775" s="436"/>
      <c r="X775" s="437"/>
      <c r="Y775" s="33">
        <v>6.5</v>
      </c>
      <c r="Z775" s="33">
        <f t="shared" si="125"/>
        <v>31960.5</v>
      </c>
      <c r="AA775" s="33"/>
      <c r="AB775" s="33"/>
      <c r="AC775" s="438"/>
      <c r="AD775" s="33"/>
    </row>
    <row r="776" spans="1:30" x14ac:dyDescent="0.3">
      <c r="A776" s="146"/>
      <c r="B776" s="146"/>
      <c r="C776" s="23"/>
      <c r="D776" s="23"/>
      <c r="E776" s="35"/>
      <c r="F776" s="641"/>
      <c r="G776" s="110"/>
      <c r="H776" s="487"/>
      <c r="I776" s="433"/>
      <c r="J776" s="433"/>
      <c r="K776" s="26"/>
      <c r="L776" s="27"/>
      <c r="M776" s="27"/>
      <c r="N776" s="434"/>
      <c r="O776" s="434"/>
      <c r="P776" s="434"/>
      <c r="Q776" s="69"/>
      <c r="R776" s="69"/>
      <c r="S776" s="69"/>
      <c r="T776" s="435"/>
      <c r="U776" s="435"/>
      <c r="V776" s="435"/>
      <c r="W776" s="436"/>
      <c r="X776" s="437"/>
      <c r="Y776" s="33"/>
      <c r="Z776" s="33"/>
      <c r="AA776" s="33"/>
      <c r="AB776" s="33"/>
      <c r="AC776" s="438"/>
      <c r="AD776" s="33"/>
    </row>
    <row r="777" spans="1:30" x14ac:dyDescent="0.3">
      <c r="A777" s="146"/>
      <c r="B777" s="146"/>
      <c r="C777" s="20">
        <v>1000000001</v>
      </c>
      <c r="D777" s="20"/>
      <c r="E777" s="21" t="s">
        <v>67</v>
      </c>
      <c r="F777" s="643"/>
      <c r="G777" s="644"/>
      <c r="H777" s="485">
        <f>SUM(H757:H776)</f>
        <v>395200</v>
      </c>
      <c r="I777" s="431"/>
      <c r="J777" s="431"/>
      <c r="K777" s="431"/>
      <c r="L777" s="431"/>
      <c r="M777" s="431"/>
      <c r="N777" s="431">
        <f>AVERAGE(N757:N775)</f>
        <v>22128.261915409836</v>
      </c>
      <c r="O777" s="431">
        <f>AVERAGE(O757:O775)</f>
        <v>43627.24488093418</v>
      </c>
      <c r="P777" s="431"/>
      <c r="Q777" s="431"/>
      <c r="R777" s="431"/>
      <c r="S777" s="440">
        <f>SUM(S757:S776)</f>
        <v>81.136199999999945</v>
      </c>
      <c r="T777" s="441">
        <f>S777/8.7*10000/H777</f>
        <v>0.2359817813765181</v>
      </c>
      <c r="U777" s="440"/>
      <c r="V777" s="440"/>
      <c r="W777" s="442"/>
      <c r="X777" s="22"/>
      <c r="Y777" s="22"/>
      <c r="Z777" s="432">
        <f>SUM(Z757:Z776)</f>
        <v>1292795.9400000002</v>
      </c>
      <c r="AA777" s="432"/>
      <c r="AB777" s="432"/>
      <c r="AC777" s="432"/>
      <c r="AD777" s="432"/>
    </row>
    <row r="778" spans="1:30" x14ac:dyDescent="0.3">
      <c r="A778" s="146"/>
      <c r="B778" s="146"/>
      <c r="C778" s="23"/>
      <c r="D778" s="14"/>
      <c r="E778" s="35"/>
      <c r="F778" s="641"/>
      <c r="G778" s="110"/>
      <c r="H778" s="487"/>
      <c r="I778" s="433"/>
      <c r="J778" s="433"/>
      <c r="K778" s="26"/>
      <c r="L778" s="27"/>
      <c r="M778" s="27"/>
      <c r="N778" s="434"/>
      <c r="O778" s="434"/>
      <c r="P778" s="434"/>
      <c r="Q778" s="69"/>
      <c r="R778" s="69"/>
      <c r="S778" s="69"/>
      <c r="T778" s="435"/>
      <c r="U778" s="435"/>
      <c r="V778" s="435"/>
      <c r="W778" s="436"/>
      <c r="X778" s="437"/>
      <c r="Y778" s="33"/>
      <c r="Z778" s="33"/>
      <c r="AA778" s="33"/>
      <c r="AB778" s="33"/>
      <c r="AC778" s="438"/>
      <c r="AD778" s="33"/>
    </row>
    <row r="779" spans="1:30" ht="27.6" x14ac:dyDescent="0.3">
      <c r="A779" s="47">
        <v>44408.930555555555</v>
      </c>
      <c r="B779" s="47">
        <v>44411.510416666664</v>
      </c>
      <c r="C779" s="23"/>
      <c r="D779" s="14"/>
      <c r="E779" s="35" t="s">
        <v>516</v>
      </c>
      <c r="F779" s="641" t="s">
        <v>852</v>
      </c>
      <c r="G779" s="45" t="s">
        <v>328</v>
      </c>
      <c r="H779" s="487">
        <f>62950-H780-H781-H782</f>
        <v>44401</v>
      </c>
      <c r="I779" s="433"/>
      <c r="J779" s="26">
        <v>62600</v>
      </c>
      <c r="K779" s="26">
        <f>H779+H780+H781+H782-J779</f>
        <v>350</v>
      </c>
      <c r="L779" s="27">
        <f>B779-A779</f>
        <v>2.5798611111094942</v>
      </c>
      <c r="M779" s="27">
        <f>'[188]CHANG YANG JIN AN'!$F$100</f>
        <v>1.4531249999915115</v>
      </c>
      <c r="N779" s="434">
        <f>(H779+H780+H781+H782)/L779</f>
        <v>24400.538358023368</v>
      </c>
      <c r="O779" s="434">
        <f>(H779+H780+H781+H782)/M779</f>
        <v>43320.430107779939</v>
      </c>
      <c r="P779" s="434">
        <v>30000</v>
      </c>
      <c r="Q779" s="69">
        <f>(96846/10000)*8.7</f>
        <v>84.256019999999992</v>
      </c>
      <c r="R779" s="69">
        <f>(83563/10000)*8.7</f>
        <v>72.699809999999985</v>
      </c>
      <c r="S779" s="69">
        <f>Q779-R779</f>
        <v>11.556210000000007</v>
      </c>
      <c r="T779" s="435">
        <f>S779/8.7*10000/(H779+H780+H781+H782)</f>
        <v>0.21100873709293105</v>
      </c>
      <c r="U779" s="435">
        <f>S779/8.5*10000/(H779+H780+H781+H782)</f>
        <v>0.21597364855394113</v>
      </c>
      <c r="V779" s="435"/>
      <c r="W779" s="436"/>
      <c r="X779" s="437"/>
      <c r="Y779" s="33">
        <v>2.64</v>
      </c>
      <c r="Z779" s="33">
        <f t="shared" ref="Z779:Z798" si="126">H779*Y779</f>
        <v>117218.64</v>
      </c>
      <c r="AA779" s="33"/>
      <c r="AB779" s="33"/>
      <c r="AC779" s="438"/>
      <c r="AD779" s="33"/>
    </row>
    <row r="780" spans="1:30" x14ac:dyDescent="0.3">
      <c r="A780" s="146"/>
      <c r="B780" s="146"/>
      <c r="C780" s="23"/>
      <c r="D780" s="14"/>
      <c r="E780" s="35" t="s">
        <v>932</v>
      </c>
      <c r="F780" s="24"/>
      <c r="G780" s="24"/>
      <c r="H780" s="487">
        <v>7630</v>
      </c>
      <c r="I780" s="24"/>
      <c r="J780" s="24"/>
      <c r="K780" s="24"/>
      <c r="L780" s="27"/>
      <c r="M780" s="27"/>
      <c r="N780" s="434"/>
      <c r="O780" s="434"/>
      <c r="P780" s="434"/>
      <c r="Q780" s="69"/>
      <c r="R780" s="69"/>
      <c r="S780" s="69"/>
      <c r="T780" s="435"/>
      <c r="U780" s="435"/>
      <c r="V780" s="435"/>
      <c r="W780" s="436"/>
      <c r="X780" s="437"/>
      <c r="Y780" s="33">
        <v>6.5</v>
      </c>
      <c r="Z780" s="33">
        <f t="shared" si="126"/>
        <v>49595</v>
      </c>
      <c r="AA780" s="33"/>
      <c r="AB780" s="33"/>
      <c r="AC780" s="438"/>
      <c r="AD780" s="33"/>
    </row>
    <row r="781" spans="1:30" x14ac:dyDescent="0.3">
      <c r="A781" s="146"/>
      <c r="B781" s="146"/>
      <c r="C781" s="23"/>
      <c r="D781" s="14"/>
      <c r="E781" s="35" t="s">
        <v>932</v>
      </c>
      <c r="F781" s="641"/>
      <c r="G781" s="110"/>
      <c r="H781" s="487">
        <v>3700</v>
      </c>
      <c r="I781" s="433"/>
      <c r="J781" s="433"/>
      <c r="K781" s="26"/>
      <c r="L781" s="27"/>
      <c r="M781" s="27"/>
      <c r="N781" s="434"/>
      <c r="O781" s="434"/>
      <c r="P781" s="434"/>
      <c r="Q781" s="69"/>
      <c r="R781" s="69"/>
      <c r="S781" s="69"/>
      <c r="T781" s="435"/>
      <c r="U781" s="435"/>
      <c r="V781" s="435"/>
      <c r="W781" s="436"/>
      <c r="X781" s="437"/>
      <c r="Y781" s="33">
        <v>6.5</v>
      </c>
      <c r="Z781" s="33">
        <f t="shared" si="126"/>
        <v>24050</v>
      </c>
      <c r="AA781" s="33"/>
      <c r="AB781" s="33"/>
      <c r="AC781" s="438"/>
      <c r="AD781" s="33"/>
    </row>
    <row r="782" spans="1:30" x14ac:dyDescent="0.3">
      <c r="A782" s="146"/>
      <c r="B782" s="146"/>
      <c r="C782" s="23"/>
      <c r="D782" s="14"/>
      <c r="E782" s="35" t="s">
        <v>932</v>
      </c>
      <c r="F782" s="641"/>
      <c r="G782" s="110"/>
      <c r="H782" s="487">
        <v>7219</v>
      </c>
      <c r="I782" s="433"/>
      <c r="J782" s="433"/>
      <c r="K782" s="26"/>
      <c r="L782" s="27"/>
      <c r="M782" s="27"/>
      <c r="N782" s="434"/>
      <c r="O782" s="434"/>
      <c r="P782" s="434"/>
      <c r="Q782" s="69"/>
      <c r="R782" s="69"/>
      <c r="S782" s="69"/>
      <c r="T782" s="435"/>
      <c r="U782" s="435"/>
      <c r="V782" s="435"/>
      <c r="W782" s="436"/>
      <c r="X782" s="437"/>
      <c r="Y782" s="33">
        <v>6.5</v>
      </c>
      <c r="Z782" s="33">
        <f t="shared" si="126"/>
        <v>46923.5</v>
      </c>
      <c r="AA782" s="33"/>
      <c r="AB782" s="33"/>
      <c r="AC782" s="438"/>
      <c r="AD782" s="33"/>
    </row>
    <row r="783" spans="1:30" x14ac:dyDescent="0.3">
      <c r="A783" s="146">
        <v>44411.736111111109</v>
      </c>
      <c r="B783" s="146">
        <v>44413.631944444445</v>
      </c>
      <c r="C783" s="23"/>
      <c r="D783" s="14"/>
      <c r="E783" s="35" t="s">
        <v>933</v>
      </c>
      <c r="F783" s="641"/>
      <c r="G783" s="110" t="s">
        <v>328</v>
      </c>
      <c r="H783" s="487">
        <f>55565-H784</f>
        <v>48162</v>
      </c>
      <c r="I783" s="433"/>
      <c r="J783" s="433">
        <v>73800</v>
      </c>
      <c r="K783" s="26">
        <f>H783+H784-J783</f>
        <v>-18235</v>
      </c>
      <c r="L783" s="27">
        <f>B783-A783</f>
        <v>1.8958333333357587</v>
      </c>
      <c r="M783" s="27">
        <f>'[188]JIN HAI QIANG'!$F$90</f>
        <v>1.1545138888965691</v>
      </c>
      <c r="N783" s="434">
        <f>(H783+H784)/L783</f>
        <v>29309.010988973496</v>
      </c>
      <c r="O783" s="567">
        <f>(H783+H784)/M783</f>
        <v>48128.481202687348</v>
      </c>
      <c r="P783" s="434">
        <v>30000</v>
      </c>
      <c r="Q783" s="69">
        <f>(83271/10000)*8.7</f>
        <v>72.445769999999996</v>
      </c>
      <c r="R783" s="69">
        <f>(72659/10000)*8.7</f>
        <v>63.213329999999999</v>
      </c>
      <c r="S783" s="69">
        <f>Q783-R783</f>
        <v>9.2324399999999969</v>
      </c>
      <c r="T783" s="435">
        <f>S783/8.7*10000/(H783+H784)</f>
        <v>0.19098353279942404</v>
      </c>
      <c r="U783" s="435">
        <f>S783/8.5*10000/(H783+H784)</f>
        <v>0.19547726298293991</v>
      </c>
      <c r="V783" s="435"/>
      <c r="W783" s="436"/>
      <c r="X783" s="32"/>
      <c r="Y783" s="33">
        <v>2.64</v>
      </c>
      <c r="Z783" s="33">
        <f t="shared" si="126"/>
        <v>127147.68000000001</v>
      </c>
      <c r="AA783" s="33"/>
      <c r="AB783" s="33"/>
      <c r="AC783" s="438"/>
      <c r="AD783" s="33"/>
    </row>
    <row r="784" spans="1:30" x14ac:dyDescent="0.3">
      <c r="A784" s="146"/>
      <c r="B784" s="146"/>
      <c r="C784" s="23"/>
      <c r="D784" s="14"/>
      <c r="E784" s="35" t="s">
        <v>934</v>
      </c>
      <c r="F784" s="24"/>
      <c r="G784" s="24"/>
      <c r="H784" s="487">
        <v>7403</v>
      </c>
      <c r="I784" s="24"/>
      <c r="J784" s="24"/>
      <c r="K784" s="24"/>
      <c r="L784" s="27"/>
      <c r="M784" s="27"/>
      <c r="N784" s="434"/>
      <c r="O784" s="434"/>
      <c r="P784" s="434"/>
      <c r="Q784" s="69"/>
      <c r="R784" s="69"/>
      <c r="S784" s="69"/>
      <c r="T784" s="435"/>
      <c r="U784" s="435"/>
      <c r="V784" s="435"/>
      <c r="W784" s="436"/>
      <c r="X784" s="32"/>
      <c r="Y784" s="33">
        <v>6.5</v>
      </c>
      <c r="Z784" s="33">
        <f t="shared" si="126"/>
        <v>48119.5</v>
      </c>
      <c r="AA784" s="33"/>
      <c r="AB784" s="33"/>
      <c r="AC784" s="438"/>
      <c r="AD784" s="33"/>
    </row>
    <row r="785" spans="1:30" ht="27.6" x14ac:dyDescent="0.3">
      <c r="A785" s="146">
        <v>44415</v>
      </c>
      <c r="B785" s="146">
        <v>44418.513888888891</v>
      </c>
      <c r="C785" s="23"/>
      <c r="D785" s="14"/>
      <c r="E785" s="35" t="s">
        <v>75</v>
      </c>
      <c r="F785" s="641" t="s">
        <v>852</v>
      </c>
      <c r="G785" s="110" t="s">
        <v>328</v>
      </c>
      <c r="H785" s="487">
        <f>69500-H786</f>
        <v>63497</v>
      </c>
      <c r="I785" s="433"/>
      <c r="J785" s="433">
        <v>69500</v>
      </c>
      <c r="K785" s="26">
        <f>H785+H786-J785</f>
        <v>0</v>
      </c>
      <c r="L785" s="27">
        <f>B785-A785</f>
        <v>3.5138888888905058</v>
      </c>
      <c r="M785" s="27">
        <f>'[188]HE DA'!$F$120</f>
        <v>1.4965277777907129</v>
      </c>
      <c r="N785" s="434">
        <f>(H785+H786)/L785</f>
        <v>19778.656126473114</v>
      </c>
      <c r="O785" s="567">
        <f>(H785+H786)/M785</f>
        <v>46440.835266419941</v>
      </c>
      <c r="P785" s="434">
        <v>30000</v>
      </c>
      <c r="Q785" s="69">
        <f>(193660/10000)*8.7</f>
        <v>168.48419999999999</v>
      </c>
      <c r="R785" s="69">
        <f>(177566/10000)*8.7</f>
        <v>154.48241999999999</v>
      </c>
      <c r="S785" s="69">
        <f>Q785-R785</f>
        <v>14.001779999999997</v>
      </c>
      <c r="T785" s="435">
        <f>S785/8.7*10000/(H785+H786)</f>
        <v>0.23156834532374096</v>
      </c>
      <c r="U785" s="435">
        <f>S785/8.5*10000/(H785+H786)</f>
        <v>0.23701701227253488</v>
      </c>
      <c r="V785" s="435"/>
      <c r="W785" s="436"/>
      <c r="X785" s="32"/>
      <c r="Y785" s="33">
        <v>2.64</v>
      </c>
      <c r="Z785" s="33">
        <f t="shared" si="126"/>
        <v>167632.08000000002</v>
      </c>
      <c r="AA785" s="33"/>
      <c r="AB785" s="33"/>
      <c r="AC785" s="438"/>
      <c r="AD785" s="33"/>
    </row>
    <row r="786" spans="1:30" x14ac:dyDescent="0.3">
      <c r="A786" s="146"/>
      <c r="B786" s="146"/>
      <c r="C786" s="23"/>
      <c r="D786" s="14"/>
      <c r="E786" s="35" t="s">
        <v>935</v>
      </c>
      <c r="F786" s="24"/>
      <c r="G786" s="24"/>
      <c r="H786" s="487">
        <v>6003</v>
      </c>
      <c r="I786" s="24"/>
      <c r="J786" s="24"/>
      <c r="K786" s="24"/>
      <c r="L786" s="27"/>
      <c r="M786" s="27"/>
      <c r="N786" s="434"/>
      <c r="O786" s="434"/>
      <c r="P786" s="434"/>
      <c r="Q786" s="69"/>
      <c r="R786" s="69"/>
      <c r="S786" s="69"/>
      <c r="T786" s="435"/>
      <c r="U786" s="435"/>
      <c r="V786" s="435"/>
      <c r="W786" s="436"/>
      <c r="X786" s="32"/>
      <c r="Y786" s="33">
        <v>6.5</v>
      </c>
      <c r="Z786" s="33">
        <f t="shared" si="126"/>
        <v>39019.5</v>
      </c>
      <c r="AA786" s="33"/>
      <c r="AB786" s="33"/>
      <c r="AC786" s="438"/>
      <c r="AD786" s="33"/>
    </row>
    <row r="787" spans="1:30" x14ac:dyDescent="0.3">
      <c r="A787" s="146">
        <v>44418.791666666664</v>
      </c>
      <c r="B787" s="146">
        <v>44420.993055555555</v>
      </c>
      <c r="C787" s="23"/>
      <c r="D787" s="14"/>
      <c r="E787" s="35" t="s">
        <v>936</v>
      </c>
      <c r="F787" s="641"/>
      <c r="G787" s="110" t="s">
        <v>328</v>
      </c>
      <c r="H787" s="487">
        <v>49166</v>
      </c>
      <c r="I787" s="433"/>
      <c r="J787" s="433">
        <v>77000</v>
      </c>
      <c r="K787" s="26">
        <f>H787-J787</f>
        <v>-27834</v>
      </c>
      <c r="L787" s="27">
        <f>B787-A787</f>
        <v>2.2013888888905058</v>
      </c>
      <c r="M787" s="27">
        <f>'[188]SEA EXPRESS'!$F$102</f>
        <v>1.0434027777979888</v>
      </c>
      <c r="N787" s="434">
        <f>(H787)/L787</f>
        <v>22334.082018911042</v>
      </c>
      <c r="O787" s="567">
        <f>(H787)/M787</f>
        <v>47120.825290268614</v>
      </c>
      <c r="P787" s="434">
        <v>30000</v>
      </c>
      <c r="Q787" s="69">
        <f>(177101/10000)*8.7</f>
        <v>154.07786999999999</v>
      </c>
      <c r="R787" s="69">
        <f>(166072/10000)*8.7</f>
        <v>144.48263999999998</v>
      </c>
      <c r="S787" s="69">
        <f>Q787-R787</f>
        <v>9.595230000000015</v>
      </c>
      <c r="T787" s="435">
        <f>S787/8.7*10000/(H787)</f>
        <v>0.22432168571777281</v>
      </c>
      <c r="U787" s="435">
        <f>S787/8.5*10000/(H787)</f>
        <v>0.22959984302877923</v>
      </c>
      <c r="V787" s="435"/>
      <c r="W787" s="436"/>
      <c r="X787" s="32"/>
      <c r="Y787" s="33">
        <v>2.64</v>
      </c>
      <c r="Z787" s="33">
        <f t="shared" si="126"/>
        <v>129798.24</v>
      </c>
      <c r="AA787" s="33"/>
      <c r="AB787" s="33"/>
      <c r="AC787" s="438"/>
      <c r="AD787" s="33"/>
    </row>
    <row r="788" spans="1:30" ht="27.6" x14ac:dyDescent="0.3">
      <c r="A788" s="146">
        <v>44422.027777777781</v>
      </c>
      <c r="B788" s="146">
        <v>44424.003472222219</v>
      </c>
      <c r="C788" s="23"/>
      <c r="D788" s="14"/>
      <c r="E788" s="35" t="s">
        <v>937</v>
      </c>
      <c r="F788" s="641" t="s">
        <v>852</v>
      </c>
      <c r="G788" s="110" t="s">
        <v>328</v>
      </c>
      <c r="H788" s="487">
        <f>62430-H789</f>
        <v>55310</v>
      </c>
      <c r="I788" s="433"/>
      <c r="J788" s="433">
        <v>62428</v>
      </c>
      <c r="K788" s="26">
        <f>H788+H789-J788</f>
        <v>2</v>
      </c>
      <c r="L788" s="27">
        <f>B788-A788</f>
        <v>1.9756944444379769</v>
      </c>
      <c r="M788" s="27">
        <f>'[188]NORD TITAN'!$F$102</f>
        <v>1.331597222203224</v>
      </c>
      <c r="N788" s="434">
        <f>(H788+H789)/L788</f>
        <v>31599.015817326639</v>
      </c>
      <c r="O788" s="567">
        <f>(H788+H789)/M788</f>
        <v>46883.546284893149</v>
      </c>
      <c r="P788" s="434">
        <v>30000</v>
      </c>
      <c r="Q788" s="69">
        <f>(164393/10000)*8.7</f>
        <v>143.02190999999999</v>
      </c>
      <c r="R788" s="69">
        <f>(152393/10000)*8.7</f>
        <v>132.58190999999999</v>
      </c>
      <c r="S788" s="69">
        <f>Q788-R788</f>
        <v>10.439999999999998</v>
      </c>
      <c r="T788" s="435">
        <f>S788/8.7*10000/(H788+H789)</f>
        <v>0.19221528111484859</v>
      </c>
      <c r="U788" s="435">
        <f>S788/8.5*10000/(H788+H789)</f>
        <v>0.19673799361166858</v>
      </c>
      <c r="V788" s="435"/>
      <c r="W788" s="436"/>
      <c r="X788" s="32"/>
      <c r="Y788" s="33">
        <v>2.64</v>
      </c>
      <c r="Z788" s="33">
        <f t="shared" si="126"/>
        <v>146018.4</v>
      </c>
      <c r="AA788" s="33"/>
      <c r="AB788" s="33"/>
      <c r="AC788" s="438"/>
      <c r="AD788" s="33"/>
    </row>
    <row r="789" spans="1:30" x14ac:dyDescent="0.3">
      <c r="A789" s="146"/>
      <c r="B789" s="146"/>
      <c r="C789" s="23"/>
      <c r="D789" s="14"/>
      <c r="E789" s="35" t="s">
        <v>938</v>
      </c>
      <c r="F789" s="641"/>
      <c r="G789" s="110"/>
      <c r="H789" s="487">
        <v>7120</v>
      </c>
      <c r="I789" s="433"/>
      <c r="J789" s="433"/>
      <c r="K789" s="26"/>
      <c r="L789" s="27"/>
      <c r="M789" s="27"/>
      <c r="N789" s="434"/>
      <c r="O789" s="434"/>
      <c r="P789" s="434"/>
      <c r="Q789" s="69"/>
      <c r="R789" s="69"/>
      <c r="S789" s="69"/>
      <c r="T789" s="435"/>
      <c r="U789" s="435"/>
      <c r="V789" s="435"/>
      <c r="W789" s="436"/>
      <c r="X789" s="32"/>
      <c r="Y789" s="33">
        <v>6.5</v>
      </c>
      <c r="Z789" s="33">
        <f t="shared" si="126"/>
        <v>46280</v>
      </c>
      <c r="AA789" s="33"/>
      <c r="AB789" s="33"/>
      <c r="AC789" s="438"/>
      <c r="AD789" s="33"/>
    </row>
    <row r="790" spans="1:30" ht="27.6" x14ac:dyDescent="0.3">
      <c r="A790" s="146">
        <v>44425</v>
      </c>
      <c r="B790" s="146">
        <v>44427.118055555555</v>
      </c>
      <c r="C790" s="23"/>
      <c r="D790" s="14"/>
      <c r="E790" s="35" t="s">
        <v>939</v>
      </c>
      <c r="F790" s="641" t="s">
        <v>852</v>
      </c>
      <c r="G790" s="110" t="s">
        <v>212</v>
      </c>
      <c r="H790" s="487">
        <f>49300-H791-H792</f>
        <v>37628</v>
      </c>
      <c r="I790" s="433"/>
      <c r="J790" s="433">
        <v>49300</v>
      </c>
      <c r="K790" s="26">
        <f>H790+H791+H792-J790</f>
        <v>0</v>
      </c>
      <c r="L790" s="27">
        <f>B790-A790</f>
        <v>2.1180555555547471</v>
      </c>
      <c r="M790" s="27">
        <f>'[188]YU XIAO 1'!$F$78</f>
        <v>1.0434027777870749</v>
      </c>
      <c r="N790" s="434">
        <f>(H790+H791+H792)/L790</f>
        <v>23276.065573779375</v>
      </c>
      <c r="O790" s="434">
        <f>(H790+H791+H792)/M790</f>
        <v>47249.251247499124</v>
      </c>
      <c r="P790" s="434">
        <v>30000</v>
      </c>
      <c r="Q790" s="69">
        <f>(150687/10000)*8.7</f>
        <v>131.09769</v>
      </c>
      <c r="R790" s="69">
        <f>(140111/10000)*8.7</f>
        <v>121.89657</v>
      </c>
      <c r="S790" s="69">
        <f>Q790-R790</f>
        <v>9.2011200000000031</v>
      </c>
      <c r="T790" s="435">
        <f>S790/8.7*10000/(H790+H791+H792)</f>
        <v>0.21452332657200823</v>
      </c>
      <c r="U790" s="435">
        <f>S790/8.5*10000/(H790+H791+H792)</f>
        <v>0.21957093425605542</v>
      </c>
      <c r="V790" s="435"/>
      <c r="W790" s="436"/>
      <c r="X790" s="32"/>
      <c r="Y790" s="33">
        <v>2.64</v>
      </c>
      <c r="Z790" s="33">
        <f t="shared" si="126"/>
        <v>99337.919999999998</v>
      </c>
      <c r="AA790" s="33"/>
      <c r="AB790" s="33"/>
      <c r="AC790" s="438"/>
      <c r="AD790" s="33"/>
    </row>
    <row r="791" spans="1:30" x14ac:dyDescent="0.3">
      <c r="A791" s="146"/>
      <c r="B791" s="146"/>
      <c r="C791" s="23"/>
      <c r="D791" s="14"/>
      <c r="E791" s="35" t="s">
        <v>940</v>
      </c>
      <c r="F791" s="641"/>
      <c r="G791" s="110"/>
      <c r="H791" s="487">
        <v>4269</v>
      </c>
      <c r="I791" s="433"/>
      <c r="J791" s="433"/>
      <c r="K791" s="26"/>
      <c r="L791" s="27"/>
      <c r="M791" s="27"/>
      <c r="N791" s="434"/>
      <c r="O791" s="434"/>
      <c r="P791" s="434"/>
      <c r="Q791" s="69"/>
      <c r="R791" s="69"/>
      <c r="S791" s="69"/>
      <c r="T791" s="435"/>
      <c r="U791" s="435"/>
      <c r="V791" s="435"/>
      <c r="W791" s="436"/>
      <c r="X791" s="32"/>
      <c r="Y791" s="33">
        <v>6.5</v>
      </c>
      <c r="Z791" s="33">
        <f t="shared" si="126"/>
        <v>27748.5</v>
      </c>
      <c r="AA791" s="33"/>
      <c r="AB791" s="33"/>
      <c r="AC791" s="438"/>
      <c r="AD791" s="33"/>
    </row>
    <row r="792" spans="1:30" x14ac:dyDescent="0.3">
      <c r="A792" s="146"/>
      <c r="B792" s="146"/>
      <c r="C792" s="23"/>
      <c r="D792" s="14"/>
      <c r="E792" s="35" t="s">
        <v>940</v>
      </c>
      <c r="F792" s="641"/>
      <c r="G792" s="110"/>
      <c r="H792" s="487">
        <v>7403</v>
      </c>
      <c r="I792" s="433"/>
      <c r="J792" s="433"/>
      <c r="K792" s="26"/>
      <c r="L792" s="27"/>
      <c r="M792" s="27"/>
      <c r="N792" s="434"/>
      <c r="O792" s="434"/>
      <c r="P792" s="434"/>
      <c r="Q792" s="69"/>
      <c r="R792" s="69"/>
      <c r="S792" s="69"/>
      <c r="T792" s="435"/>
      <c r="U792" s="435"/>
      <c r="V792" s="435"/>
      <c r="W792" s="436"/>
      <c r="X792" s="32"/>
      <c r="Y792" s="33">
        <v>6.5</v>
      </c>
      <c r="Z792" s="33">
        <f t="shared" si="126"/>
        <v>48119.5</v>
      </c>
      <c r="AA792" s="33"/>
      <c r="AB792" s="33"/>
      <c r="AC792" s="438"/>
      <c r="AD792" s="33"/>
    </row>
    <row r="793" spans="1:30" x14ac:dyDescent="0.3">
      <c r="A793" s="146">
        <v>44427.583333333336</v>
      </c>
      <c r="B793" s="146">
        <v>44429.625</v>
      </c>
      <c r="C793" s="23"/>
      <c r="D793" s="14"/>
      <c r="E793" s="35" t="s">
        <v>941</v>
      </c>
      <c r="F793" s="641"/>
      <c r="G793" s="110" t="s">
        <v>212</v>
      </c>
      <c r="H793" s="487">
        <f>51870-H794-H795</f>
        <v>37179</v>
      </c>
      <c r="I793" s="433"/>
      <c r="J793" s="433">
        <v>51870</v>
      </c>
      <c r="K793" s="26">
        <f>H793+H794+H795-J793</f>
        <v>0</v>
      </c>
      <c r="L793" s="27">
        <f>B793-A793</f>
        <v>2.0416666666642413</v>
      </c>
      <c r="M793" s="27">
        <f>[188]EVANS!$F$92</f>
        <v>1.0920138888711033</v>
      </c>
      <c r="N793" s="434">
        <f>(H793+H794+H795)/L793</f>
        <v>25405.714285744467</v>
      </c>
      <c r="O793" s="434">
        <f>(H793+H794+H795)/M793</f>
        <v>47499.395867228312</v>
      </c>
      <c r="P793" s="434">
        <v>30000</v>
      </c>
      <c r="Q793" s="69">
        <f>(139354/10000)*8.7</f>
        <v>121.23797999999999</v>
      </c>
      <c r="R793" s="69">
        <f>(128016/10000)*8.7</f>
        <v>111.37392</v>
      </c>
      <c r="S793" s="69">
        <f>Q793-R793</f>
        <v>9.8640599999999949</v>
      </c>
      <c r="T793" s="435">
        <f>S793/8.7*10000/(H793+H794+H795)</f>
        <v>0.21858492384808165</v>
      </c>
      <c r="U793" s="435">
        <f>S793/8.5*10000/(H793+H794+H795)</f>
        <v>0.22372809852686001</v>
      </c>
      <c r="V793" s="435"/>
      <c r="W793" s="436"/>
      <c r="X793" s="32"/>
      <c r="Y793" s="33">
        <v>2.64</v>
      </c>
      <c r="Z793" s="33">
        <f t="shared" si="126"/>
        <v>98152.56</v>
      </c>
      <c r="AA793" s="33"/>
      <c r="AB793" s="33"/>
      <c r="AC793" s="438"/>
      <c r="AD793" s="33"/>
    </row>
    <row r="794" spans="1:30" x14ac:dyDescent="0.3">
      <c r="A794" s="146"/>
      <c r="B794" s="146"/>
      <c r="C794" s="23"/>
      <c r="D794" s="14"/>
      <c r="E794" s="35" t="s">
        <v>942</v>
      </c>
      <c r="F794" s="24"/>
      <c r="G794" s="24"/>
      <c r="H794" s="487">
        <v>7176</v>
      </c>
      <c r="I794" s="24"/>
      <c r="J794" s="24"/>
      <c r="K794" s="24"/>
      <c r="L794" s="27"/>
      <c r="M794" s="27"/>
      <c r="N794" s="434"/>
      <c r="O794" s="434"/>
      <c r="P794" s="434"/>
      <c r="Q794" s="69"/>
      <c r="R794" s="69"/>
      <c r="S794" s="69"/>
      <c r="T794" s="435"/>
      <c r="U794" s="435"/>
      <c r="V794" s="435"/>
      <c r="W794" s="436"/>
      <c r="X794" s="32"/>
      <c r="Y794" s="33">
        <v>6.5</v>
      </c>
      <c r="Z794" s="33">
        <f t="shared" si="126"/>
        <v>46644</v>
      </c>
      <c r="AA794" s="33"/>
      <c r="AB794" s="33"/>
      <c r="AC794" s="438"/>
      <c r="AD794" s="33"/>
    </row>
    <row r="795" spans="1:30" x14ac:dyDescent="0.3">
      <c r="A795" s="146"/>
      <c r="B795" s="146"/>
      <c r="C795" s="23"/>
      <c r="D795" s="14"/>
      <c r="E795" s="35" t="s">
        <v>942</v>
      </c>
      <c r="F795" s="641"/>
      <c r="G795" s="110"/>
      <c r="H795" s="487">
        <v>7515</v>
      </c>
      <c r="I795" s="433"/>
      <c r="J795" s="433"/>
      <c r="K795" s="26"/>
      <c r="L795" s="27"/>
      <c r="M795" s="27"/>
      <c r="N795" s="434"/>
      <c r="O795" s="434"/>
      <c r="P795" s="434"/>
      <c r="Q795" s="69"/>
      <c r="R795" s="69"/>
      <c r="S795" s="69"/>
      <c r="T795" s="435"/>
      <c r="U795" s="435"/>
      <c r="V795" s="435"/>
      <c r="W795" s="436"/>
      <c r="X795" s="32"/>
      <c r="Y795" s="33">
        <v>6.5</v>
      </c>
      <c r="Z795" s="33">
        <f t="shared" si="126"/>
        <v>48847.5</v>
      </c>
      <c r="AA795" s="33"/>
      <c r="AB795" s="33"/>
      <c r="AC795" s="438"/>
      <c r="AD795" s="33"/>
    </row>
    <row r="796" spans="1:30" x14ac:dyDescent="0.3">
      <c r="A796" s="146">
        <v>44430.069444444445</v>
      </c>
      <c r="B796" s="146">
        <v>44433.979166666664</v>
      </c>
      <c r="C796" s="23"/>
      <c r="D796" s="14"/>
      <c r="E796" s="35" t="s">
        <v>943</v>
      </c>
      <c r="F796" s="641"/>
      <c r="G796" s="110" t="s">
        <v>328</v>
      </c>
      <c r="H796" s="487">
        <v>76870</v>
      </c>
      <c r="I796" s="433"/>
      <c r="J796" s="433">
        <v>76800</v>
      </c>
      <c r="K796" s="26">
        <f>H796-J796</f>
        <v>70</v>
      </c>
      <c r="L796" s="27">
        <f>B796-A796</f>
        <v>3.9097222222189885</v>
      </c>
      <c r="M796" s="27">
        <f>[188]SKIATHOS!$F$138</f>
        <v>1.9756944444222124</v>
      </c>
      <c r="N796" s="434">
        <f>(H796)/L796</f>
        <v>19661.243339270259</v>
      </c>
      <c r="O796" s="462">
        <f>(H796)/M796</f>
        <v>38907.838313267348</v>
      </c>
      <c r="P796" s="434">
        <v>30000</v>
      </c>
      <c r="Q796" s="69">
        <f>(127259/10000)*8.7</f>
        <v>110.71532999999998</v>
      </c>
      <c r="R796" s="69">
        <f>(108392/10000)*8.7</f>
        <v>94.301039999999986</v>
      </c>
      <c r="S796" s="69">
        <f>Q796-R796</f>
        <v>16.414289999999994</v>
      </c>
      <c r="T796" s="435">
        <f>S796/8.7*10000/(H796)</f>
        <v>0.24544035384415236</v>
      </c>
      <c r="U796" s="435">
        <f>S796/8.5*10000/(H796)</f>
        <v>0.25121542099342659</v>
      </c>
      <c r="V796" s="435"/>
      <c r="W796" s="31"/>
      <c r="X796" s="32"/>
      <c r="Y796" s="33">
        <v>2.64</v>
      </c>
      <c r="Z796" s="33">
        <f t="shared" si="126"/>
        <v>202936.80000000002</v>
      </c>
      <c r="AA796" s="33"/>
      <c r="AB796" s="33"/>
      <c r="AC796" s="438"/>
      <c r="AD796" s="33"/>
    </row>
    <row r="797" spans="1:30" x14ac:dyDescent="0.3">
      <c r="A797" s="146">
        <v>44434.236111111109</v>
      </c>
      <c r="B797" s="146">
        <v>44437.555555555555</v>
      </c>
      <c r="C797" s="23"/>
      <c r="D797" s="23"/>
      <c r="E797" s="35" t="s">
        <v>527</v>
      </c>
      <c r="F797" s="641"/>
      <c r="G797" s="110" t="s">
        <v>328</v>
      </c>
      <c r="H797" s="487">
        <v>67007</v>
      </c>
      <c r="I797" s="433"/>
      <c r="J797" s="433">
        <v>67000</v>
      </c>
      <c r="K797" s="26">
        <f>H797-J797</f>
        <v>7</v>
      </c>
      <c r="L797" s="27">
        <f>B797-A797</f>
        <v>3.3194444444452529</v>
      </c>
      <c r="M797" s="27">
        <f>'[188]MANALAGI PRITA'!$F$176</f>
        <v>1.5746527777943509</v>
      </c>
      <c r="N797" s="434">
        <f>(H797)/L797</f>
        <v>20186.209205016003</v>
      </c>
      <c r="O797" s="462">
        <f>(H797)/M797</f>
        <v>42553.508268570869</v>
      </c>
      <c r="P797" s="434">
        <v>30000</v>
      </c>
      <c r="Q797" s="69">
        <f>(107877/10000)*8.7</f>
        <v>93.852989999999991</v>
      </c>
      <c r="R797" s="69">
        <f>(90508/10000)*8.7</f>
        <v>78.741960000000006</v>
      </c>
      <c r="S797" s="69">
        <f>Q797-R797</f>
        <v>15.111029999999985</v>
      </c>
      <c r="T797" s="435">
        <f>S797/8.7*10000/(H797)</f>
        <v>0.25921172414822308</v>
      </c>
      <c r="U797" s="435">
        <f>S797/8.5*10000/(H797)</f>
        <v>0.26531082353994595</v>
      </c>
      <c r="V797" s="69"/>
      <c r="W797" s="436"/>
      <c r="X797" s="437"/>
      <c r="Y797" s="33">
        <v>2.64</v>
      </c>
      <c r="Z797" s="33">
        <f t="shared" si="126"/>
        <v>176898.48</v>
      </c>
      <c r="AA797" s="33"/>
      <c r="AB797" s="33"/>
      <c r="AC797" s="438"/>
      <c r="AD797" s="33"/>
    </row>
    <row r="798" spans="1:30" x14ac:dyDescent="0.3">
      <c r="A798" s="146">
        <v>44437.791666666664</v>
      </c>
      <c r="B798" s="146">
        <v>44439.159722222219</v>
      </c>
      <c r="C798" s="23"/>
      <c r="D798" s="23"/>
      <c r="E798" s="35" t="s">
        <v>944</v>
      </c>
      <c r="F798" s="641"/>
      <c r="G798" s="110" t="s">
        <v>328</v>
      </c>
      <c r="H798" s="487">
        <v>27087</v>
      </c>
      <c r="I798" s="433"/>
      <c r="J798" s="433">
        <v>79676</v>
      </c>
      <c r="K798" s="26">
        <f>H798-J798</f>
        <v>-52589</v>
      </c>
      <c r="L798" s="27">
        <f>B798-A798</f>
        <v>1.3680555555547471</v>
      </c>
      <c r="M798" s="27">
        <f>'[188]IBIS WIND'!$F$50</f>
        <v>0.60416666667879326</v>
      </c>
      <c r="N798" s="434">
        <f>(H798)/L798</f>
        <v>19799.634517778199</v>
      </c>
      <c r="O798" s="434">
        <f>(H798)/M798</f>
        <v>44833.655171513907</v>
      </c>
      <c r="P798" s="434">
        <v>30000</v>
      </c>
      <c r="Q798" s="69">
        <f>(89997/10000)*8.7</f>
        <v>78.297389999999993</v>
      </c>
      <c r="R798" s="69">
        <f>(83601/10000)*8.7</f>
        <v>72.732869999999991</v>
      </c>
      <c r="S798" s="69">
        <f>Q798-R798</f>
        <v>5.5645200000000017</v>
      </c>
      <c r="T798" s="435">
        <f>S798/8.7*10000/(H798)</f>
        <v>0.23612803189722018</v>
      </c>
      <c r="U798" s="435">
        <f>S798/8.5*10000/(H798)</f>
        <v>0.2416839855889194</v>
      </c>
      <c r="V798" s="69"/>
      <c r="W798" s="436"/>
      <c r="X798" s="437"/>
      <c r="Y798" s="33">
        <v>2.64</v>
      </c>
      <c r="Z798" s="33">
        <f t="shared" si="126"/>
        <v>71509.680000000008</v>
      </c>
      <c r="AA798" s="33"/>
      <c r="AB798" s="33"/>
      <c r="AC798" s="438"/>
      <c r="AD798" s="33"/>
    </row>
    <row r="799" spans="1:30" x14ac:dyDescent="0.3">
      <c r="A799" s="439"/>
      <c r="B799" s="439"/>
      <c r="C799" s="23"/>
      <c r="D799" s="23"/>
      <c r="E799" s="35"/>
      <c r="F799" s="641"/>
      <c r="G799" s="110"/>
      <c r="H799" s="487"/>
      <c r="I799" s="433"/>
      <c r="J799" s="433"/>
      <c r="K799" s="26"/>
      <c r="L799" s="27"/>
      <c r="M799" s="27"/>
      <c r="N799" s="434"/>
      <c r="O799" s="434"/>
      <c r="P799" s="434"/>
      <c r="Q799" s="69"/>
      <c r="R799" s="69"/>
      <c r="S799" s="69"/>
      <c r="T799" s="435"/>
      <c r="U799" s="435"/>
      <c r="V799" s="435"/>
      <c r="W799" s="436"/>
      <c r="X799" s="437"/>
      <c r="Y799" s="33"/>
      <c r="Z799" s="33"/>
      <c r="AA799" s="33"/>
      <c r="AB799" s="33"/>
      <c r="AC799" s="438"/>
      <c r="AD799" s="33"/>
    </row>
    <row r="800" spans="1:30" x14ac:dyDescent="0.3">
      <c r="A800" s="20"/>
      <c r="B800" s="20"/>
      <c r="C800" s="20">
        <v>1000000001</v>
      </c>
      <c r="D800" s="20"/>
      <c r="E800" s="21" t="s">
        <v>72</v>
      </c>
      <c r="F800" s="643"/>
      <c r="G800" s="644"/>
      <c r="H800" s="485">
        <f>SUM(H779:H799)</f>
        <v>571745</v>
      </c>
      <c r="I800" s="431"/>
      <c r="J800" s="431"/>
      <c r="K800" s="431"/>
      <c r="L800" s="431"/>
      <c r="M800" s="431"/>
      <c r="N800" s="431">
        <f>AVERAGE(N778:N799)</f>
        <v>23575.0170231296</v>
      </c>
      <c r="O800" s="431">
        <f>AVERAGE(O778:O799)</f>
        <v>45293.776702012852</v>
      </c>
      <c r="P800" s="431"/>
      <c r="Q800" s="431"/>
      <c r="R800" s="431"/>
      <c r="S800" s="440">
        <f>SUM(S778:S799)</f>
        <v>110.98067999999999</v>
      </c>
      <c r="T800" s="441">
        <f>S800/8.7*10000/H800</f>
        <v>0.22311345092654941</v>
      </c>
      <c r="U800" s="440"/>
      <c r="V800" s="440"/>
      <c r="W800" s="442"/>
      <c r="X800" s="22"/>
      <c r="Y800" s="22"/>
      <c r="Z800" s="432">
        <f>SUM(Z779:Z799)</f>
        <v>1761997.48</v>
      </c>
      <c r="AA800" s="432"/>
      <c r="AB800" s="432"/>
      <c r="AC800" s="432"/>
      <c r="AD800" s="432"/>
    </row>
    <row r="801" spans="1:30" x14ac:dyDescent="0.3">
      <c r="A801" s="146"/>
      <c r="B801" s="146"/>
      <c r="C801" s="23"/>
      <c r="D801" s="14"/>
      <c r="E801" s="35"/>
      <c r="F801" s="641"/>
      <c r="G801" s="110"/>
      <c r="H801" s="487"/>
      <c r="I801" s="433"/>
      <c r="J801" s="433"/>
      <c r="K801" s="26"/>
      <c r="L801" s="27"/>
      <c r="M801" s="27"/>
      <c r="N801" s="434"/>
      <c r="O801" s="434"/>
      <c r="P801" s="434"/>
      <c r="Q801" s="69"/>
      <c r="R801" s="69"/>
      <c r="S801" s="69"/>
      <c r="T801" s="435"/>
      <c r="U801" s="435"/>
      <c r="V801" s="435"/>
      <c r="W801" s="436"/>
      <c r="X801" s="437"/>
      <c r="Y801" s="33"/>
      <c r="Z801" s="33"/>
      <c r="AA801" s="33"/>
      <c r="AB801" s="33"/>
      <c r="AC801" s="438"/>
      <c r="AD801" s="33"/>
    </row>
    <row r="802" spans="1:30" ht="27.6" x14ac:dyDescent="0.3">
      <c r="A802" s="146">
        <v>44440.833333333336</v>
      </c>
      <c r="B802" s="146">
        <v>44443.229166666664</v>
      </c>
      <c r="C802" s="23"/>
      <c r="D802" s="14"/>
      <c r="E802" s="35" t="s">
        <v>945</v>
      </c>
      <c r="F802" s="641" t="s">
        <v>852</v>
      </c>
      <c r="G802" s="110" t="s">
        <v>212</v>
      </c>
      <c r="H802" s="487">
        <f>56302-H803</f>
        <v>53155</v>
      </c>
      <c r="I802" s="433"/>
      <c r="J802" s="433">
        <v>56280</v>
      </c>
      <c r="K802" s="26">
        <f>H802+H803-J802</f>
        <v>22</v>
      </c>
      <c r="L802" s="27">
        <f>B802-A802</f>
        <v>2.3958333333284827</v>
      </c>
      <c r="M802" s="27">
        <f>[189]ARKAS!$F$95</f>
        <v>1.4895833333018043</v>
      </c>
      <c r="N802" s="434">
        <f>(H802+H803)/L802</f>
        <v>23499.965217438883</v>
      </c>
      <c r="O802" s="567">
        <f>(H802+H803)/M802</f>
        <v>37797.146853946884</v>
      </c>
      <c r="P802" s="434">
        <v>30000</v>
      </c>
      <c r="Q802" s="69">
        <f>(80754/10000)*8.7</f>
        <v>70.255979999999994</v>
      </c>
      <c r="R802" s="69">
        <f>(67262/10000)*8.7</f>
        <v>58.517939999999996</v>
      </c>
      <c r="S802" s="69">
        <f>Q802-R802</f>
        <v>11.738039999999998</v>
      </c>
      <c r="T802" s="435">
        <f>S802/8.7*10000/(H802+H803)</f>
        <v>0.23963624738019965</v>
      </c>
      <c r="U802" s="435">
        <f>S802/8.5*10000/(H802+H803)</f>
        <v>0.24527474731855725</v>
      </c>
      <c r="V802" s="435"/>
      <c r="W802" s="436"/>
      <c r="X802" s="32"/>
      <c r="Y802" s="33">
        <v>2.64</v>
      </c>
      <c r="Z802" s="33">
        <f t="shared" ref="Z802:Z814" si="127">H802*Y802</f>
        <v>140329.20000000001</v>
      </c>
      <c r="AA802" s="33"/>
      <c r="AB802" s="33"/>
      <c r="AC802" s="438"/>
      <c r="AD802" s="33"/>
    </row>
    <row r="803" spans="1:30" x14ac:dyDescent="0.3">
      <c r="A803" s="146"/>
      <c r="B803" s="146"/>
      <c r="C803" s="23"/>
      <c r="D803" s="14"/>
      <c r="E803" s="35" t="s">
        <v>946</v>
      </c>
      <c r="F803" s="641"/>
      <c r="G803" s="45"/>
      <c r="H803" s="487">
        <v>3147</v>
      </c>
      <c r="I803" s="433"/>
      <c r="J803" s="433"/>
      <c r="K803" s="26"/>
      <c r="L803" s="27"/>
      <c r="M803" s="27"/>
      <c r="N803" s="434"/>
      <c r="O803" s="434"/>
      <c r="P803" s="434"/>
      <c r="Q803" s="69"/>
      <c r="R803" s="69"/>
      <c r="S803" s="69"/>
      <c r="T803" s="435"/>
      <c r="U803" s="435"/>
      <c r="V803" s="435"/>
      <c r="W803" s="31"/>
      <c r="X803" s="32"/>
      <c r="Y803" s="33">
        <v>6.5</v>
      </c>
      <c r="Z803" s="33">
        <f t="shared" si="127"/>
        <v>20455.5</v>
      </c>
      <c r="AA803" s="33"/>
      <c r="AB803" s="33"/>
      <c r="AC803" s="438"/>
      <c r="AD803" s="33"/>
    </row>
    <row r="804" spans="1:30" x14ac:dyDescent="0.3">
      <c r="A804" s="146">
        <v>44443.479166666664</v>
      </c>
      <c r="B804" s="146">
        <v>44444.604166666664</v>
      </c>
      <c r="C804" s="23"/>
      <c r="D804" s="14"/>
      <c r="E804" s="35" t="s">
        <v>947</v>
      </c>
      <c r="F804" s="641"/>
      <c r="G804" s="36" t="s">
        <v>328</v>
      </c>
      <c r="H804" s="433">
        <f>32518-H805</f>
        <v>25163</v>
      </c>
      <c r="I804" s="433"/>
      <c r="J804" s="433">
        <v>87450</v>
      </c>
      <c r="K804" s="26">
        <f>H804+H805-J804</f>
        <v>-54932</v>
      </c>
      <c r="L804" s="27">
        <f>B804-A804</f>
        <v>1.125</v>
      </c>
      <c r="M804" s="27">
        <f>[189]LEVANTE!$F$55</f>
        <v>0.89409722222141375</v>
      </c>
      <c r="N804" s="434">
        <f>(H804+H805)/L804</f>
        <v>28904.888888888891</v>
      </c>
      <c r="O804" s="567">
        <f>(H804+H805)/M804</f>
        <v>36369.646601974637</v>
      </c>
      <c r="P804" s="434">
        <v>30000</v>
      </c>
      <c r="Q804" s="69">
        <f>(66897/10000)*8.7</f>
        <v>58.200389999999999</v>
      </c>
      <c r="R804" s="69">
        <f>(60177/10000)*8.7</f>
        <v>52.353989999999989</v>
      </c>
      <c r="S804" s="69">
        <f>Q804-R804</f>
        <v>5.8464000000000098</v>
      </c>
      <c r="T804" s="435">
        <f>S804/8.7*10000/(H804+H805)</f>
        <v>0.20665477581647124</v>
      </c>
      <c r="U804" s="435">
        <f>S804/8.5*10000/(H804+H805)</f>
        <v>0.21151724112979994</v>
      </c>
      <c r="V804" s="435"/>
      <c r="W804" s="31"/>
      <c r="X804" s="32"/>
      <c r="Y804" s="33">
        <v>2.64</v>
      </c>
      <c r="Z804" s="33">
        <f t="shared" si="127"/>
        <v>66430.320000000007</v>
      </c>
      <c r="AA804" s="33"/>
      <c r="AB804" s="33"/>
      <c r="AC804" s="438"/>
      <c r="AD804" s="33"/>
    </row>
    <row r="805" spans="1:30" x14ac:dyDescent="0.3">
      <c r="A805" s="146"/>
      <c r="B805" s="439"/>
      <c r="C805" s="23"/>
      <c r="D805" s="23"/>
      <c r="E805" s="35" t="s">
        <v>948</v>
      </c>
      <c r="F805" s="641"/>
      <c r="G805" s="110"/>
      <c r="H805" s="487">
        <v>7355</v>
      </c>
      <c r="I805" s="433"/>
      <c r="J805" s="433"/>
      <c r="K805" s="26"/>
      <c r="L805" s="27"/>
      <c r="M805" s="27"/>
      <c r="N805" s="434"/>
      <c r="O805" s="434"/>
      <c r="P805" s="434"/>
      <c r="Q805" s="69"/>
      <c r="R805" s="69"/>
      <c r="S805" s="69"/>
      <c r="T805" s="435"/>
      <c r="U805" s="435"/>
      <c r="V805" s="69"/>
      <c r="W805" s="436"/>
      <c r="X805" s="437"/>
      <c r="Y805" s="33">
        <v>6.5</v>
      </c>
      <c r="Z805" s="33">
        <f t="shared" si="127"/>
        <v>47807.5</v>
      </c>
      <c r="AA805" s="33"/>
      <c r="AB805" s="33"/>
      <c r="AC805" s="438"/>
      <c r="AD805" s="33"/>
    </row>
    <row r="806" spans="1:30" x14ac:dyDescent="0.3">
      <c r="A806" s="146">
        <v>44446.184027777781</v>
      </c>
      <c r="B806" s="146">
        <v>44447.940972222219</v>
      </c>
      <c r="C806" s="23"/>
      <c r="D806" s="23"/>
      <c r="E806" s="35" t="s">
        <v>949</v>
      </c>
      <c r="F806" s="641" t="s">
        <v>859</v>
      </c>
      <c r="G806" s="110" t="s">
        <v>328</v>
      </c>
      <c r="H806" s="487">
        <f>40217-H807</f>
        <v>34217</v>
      </c>
      <c r="I806" s="433"/>
      <c r="J806" s="433">
        <v>75060</v>
      </c>
      <c r="K806" s="26">
        <f>H806+H807-J806</f>
        <v>-34843</v>
      </c>
      <c r="L806" s="27">
        <f>B806-A806</f>
        <v>1.7569444444379769</v>
      </c>
      <c r="M806" s="27">
        <f>'[189]PAN ELDORADO'!$F$60</f>
        <v>1.2135416666557528</v>
      </c>
      <c r="N806" s="434">
        <f>(H806+H807)/L806</f>
        <v>22890.308300479519</v>
      </c>
      <c r="O806" s="567">
        <f>(H806+H807)/M806</f>
        <v>33140.188841499759</v>
      </c>
      <c r="P806" s="434">
        <v>30000</v>
      </c>
      <c r="Q806" s="69">
        <f>(57403/10000)*8.7</f>
        <v>49.94061</v>
      </c>
      <c r="R806" s="69">
        <f>(47438/10000)*8.7</f>
        <v>41.271059999999999</v>
      </c>
      <c r="S806" s="69">
        <f>Q806-R806</f>
        <v>8.669550000000001</v>
      </c>
      <c r="T806" s="435">
        <f>S806/8.7*10000/(H806+H807)</f>
        <v>0.24778078921848973</v>
      </c>
      <c r="U806" s="435">
        <f>S806/8.5*10000/(H806+H807)</f>
        <v>0.25361092543539537</v>
      </c>
      <c r="V806" s="69"/>
      <c r="W806" s="436"/>
      <c r="X806" s="437"/>
      <c r="Y806" s="33">
        <v>2.64</v>
      </c>
      <c r="Z806" s="33">
        <f t="shared" si="127"/>
        <v>90332.88</v>
      </c>
      <c r="AA806" s="33"/>
      <c r="AB806" s="33"/>
      <c r="AC806" s="438"/>
      <c r="AD806" s="33"/>
    </row>
    <row r="807" spans="1:30" x14ac:dyDescent="0.3">
      <c r="A807" s="146"/>
      <c r="B807" s="439"/>
      <c r="C807" s="23"/>
      <c r="D807" s="23"/>
      <c r="E807" s="35" t="s">
        <v>950</v>
      </c>
      <c r="F807" s="641"/>
      <c r="G807" s="110"/>
      <c r="H807" s="487">
        <v>6000</v>
      </c>
      <c r="I807" s="433"/>
      <c r="J807" s="433"/>
      <c r="K807" s="26"/>
      <c r="L807" s="27"/>
      <c r="M807" s="27"/>
      <c r="N807" s="434"/>
      <c r="O807" s="434"/>
      <c r="P807" s="434"/>
      <c r="Q807" s="69"/>
      <c r="R807" s="69"/>
      <c r="S807" s="69"/>
      <c r="T807" s="435"/>
      <c r="U807" s="435"/>
      <c r="V807" s="69"/>
      <c r="W807" s="436"/>
      <c r="X807" s="437"/>
      <c r="Y807" s="33">
        <v>6.5</v>
      </c>
      <c r="Z807" s="33">
        <f t="shared" si="127"/>
        <v>39000</v>
      </c>
      <c r="AA807" s="33"/>
      <c r="AB807" s="33"/>
      <c r="AC807" s="438"/>
      <c r="AD807" s="33"/>
    </row>
    <row r="808" spans="1:30" x14ac:dyDescent="0.3">
      <c r="A808" s="146">
        <v>44448.875</v>
      </c>
      <c r="B808" s="146">
        <v>44450.451388888891</v>
      </c>
      <c r="C808" s="23"/>
      <c r="D808" s="23"/>
      <c r="E808" s="35" t="s">
        <v>503</v>
      </c>
      <c r="F808" s="641"/>
      <c r="G808" s="110" t="s">
        <v>328</v>
      </c>
      <c r="H808" s="487">
        <f>46184-H809</f>
        <v>38866</v>
      </c>
      <c r="I808" s="433"/>
      <c r="J808" s="433">
        <v>71500</v>
      </c>
      <c r="K808" s="26">
        <f>H808+H809-J808</f>
        <v>-25316</v>
      </c>
      <c r="L808" s="27">
        <f>B808-A808</f>
        <v>1.5763888888905058</v>
      </c>
      <c r="M808" s="27">
        <f>'[189]JIAN QIN'!$F$84</f>
        <v>0.94444444440402242</v>
      </c>
      <c r="N808" s="434">
        <f>(H808+H809)/L808</f>
        <v>29297.339207018409</v>
      </c>
      <c r="O808" s="567">
        <f>(H808+H809)/M808</f>
        <v>48900.705884445881</v>
      </c>
      <c r="P808" s="434">
        <v>30000</v>
      </c>
      <c r="Q808" s="69">
        <f>(120750/10000)*8.7</f>
        <v>105.05249999999998</v>
      </c>
      <c r="R808" s="69">
        <f>(111651/10000)*8.7</f>
        <v>97.136369999999999</v>
      </c>
      <c r="S808" s="69">
        <f>Q808-R808</f>
        <v>7.9161299999999812</v>
      </c>
      <c r="T808" s="435">
        <f>S808/8.7*10000/(H808+H809)</f>
        <v>0.1970162826953053</v>
      </c>
      <c r="U808" s="435">
        <f>S808/8.5*10000/(H808+H809)</f>
        <v>0.2016519599351948</v>
      </c>
      <c r="V808" s="69"/>
      <c r="W808" s="436"/>
      <c r="X808" s="437"/>
      <c r="Y808" s="33">
        <v>2.64</v>
      </c>
      <c r="Z808" s="33">
        <f t="shared" si="127"/>
        <v>102606.24</v>
      </c>
      <c r="AA808" s="33"/>
      <c r="AB808" s="33"/>
      <c r="AC808" s="438"/>
      <c r="AD808" s="33"/>
    </row>
    <row r="809" spans="1:30" x14ac:dyDescent="0.3">
      <c r="A809" s="146"/>
      <c r="B809" s="439"/>
      <c r="C809" s="23"/>
      <c r="D809" s="23"/>
      <c r="E809" s="35" t="s">
        <v>504</v>
      </c>
      <c r="F809" s="641"/>
      <c r="G809" s="110"/>
      <c r="H809" s="487">
        <v>7318</v>
      </c>
      <c r="I809" s="433"/>
      <c r="J809" s="433"/>
      <c r="K809" s="26"/>
      <c r="L809" s="27"/>
      <c r="M809" s="27"/>
      <c r="N809" s="434"/>
      <c r="O809" s="434"/>
      <c r="P809" s="434"/>
      <c r="Q809" s="69"/>
      <c r="R809" s="69"/>
      <c r="S809" s="69"/>
      <c r="T809" s="435"/>
      <c r="U809" s="435"/>
      <c r="V809" s="69"/>
      <c r="W809" s="436"/>
      <c r="X809" s="437"/>
      <c r="Y809" s="33">
        <v>6.5</v>
      </c>
      <c r="Z809" s="33">
        <f t="shared" si="127"/>
        <v>47567</v>
      </c>
      <c r="AA809" s="33"/>
      <c r="AB809" s="33"/>
      <c r="AC809" s="438"/>
      <c r="AD809" s="33"/>
    </row>
    <row r="810" spans="1:30" x14ac:dyDescent="0.3">
      <c r="A810" s="146">
        <v>44452.291666666664</v>
      </c>
      <c r="B810" s="146">
        <v>44454.215277777781</v>
      </c>
      <c r="C810" s="23"/>
      <c r="D810" s="23"/>
      <c r="E810" s="35" t="s">
        <v>951</v>
      </c>
      <c r="F810" s="641"/>
      <c r="G810" s="25" t="s">
        <v>328</v>
      </c>
      <c r="H810" s="433">
        <v>49039</v>
      </c>
      <c r="I810" s="433"/>
      <c r="J810" s="433">
        <v>87300</v>
      </c>
      <c r="K810" s="26">
        <f>H810-J810</f>
        <v>-38261</v>
      </c>
      <c r="L810" s="27">
        <f>B810-A810</f>
        <v>1.9236111111167702</v>
      </c>
      <c r="M810" s="27">
        <f>'[189]OCEAN DIAMOND'!$F$92</f>
        <v>1.0399305555644482</v>
      </c>
      <c r="N810" s="434">
        <f>(H810)/L810</f>
        <v>25493.198555881681</v>
      </c>
      <c r="O810" s="434">
        <f>(H810)/M810</f>
        <v>47156.033388578391</v>
      </c>
      <c r="P810" s="434">
        <v>30000</v>
      </c>
      <c r="Q810" s="69">
        <f>(108585/10000)*8.7</f>
        <v>94.468949999999992</v>
      </c>
      <c r="R810" s="69">
        <f>(98495/10000)*8.7</f>
        <v>85.690650000000005</v>
      </c>
      <c r="S810" s="69">
        <f>Q810-R810</f>
        <v>8.7782999999999873</v>
      </c>
      <c r="T810" s="435">
        <f>S810/8.7*10000/(H810)</f>
        <v>0.20575460347886346</v>
      </c>
      <c r="U810" s="435">
        <f>S810/8.5*10000/(H810)</f>
        <v>0.21059588826660142</v>
      </c>
      <c r="V810" s="69"/>
      <c r="W810" s="436"/>
      <c r="X810" s="437"/>
      <c r="Y810" s="33">
        <v>2.64</v>
      </c>
      <c r="Z810" s="33">
        <f t="shared" si="127"/>
        <v>129462.96</v>
      </c>
      <c r="AA810" s="33"/>
      <c r="AB810" s="33"/>
      <c r="AC810" s="438"/>
      <c r="AD810" s="33"/>
    </row>
    <row r="811" spans="1:30" x14ac:dyDescent="0.3">
      <c r="A811" s="146">
        <v>44455</v>
      </c>
      <c r="B811" s="146">
        <v>44456.166666666664</v>
      </c>
      <c r="C811" s="23"/>
      <c r="D811" s="23"/>
      <c r="E811" s="35" t="s">
        <v>952</v>
      </c>
      <c r="F811" s="641"/>
      <c r="G811" s="25" t="s">
        <v>328</v>
      </c>
      <c r="H811" s="433">
        <v>37459</v>
      </c>
      <c r="I811" s="433"/>
      <c r="J811" s="433">
        <v>88000</v>
      </c>
      <c r="K811" s="26">
        <f>H811-J811</f>
        <v>-50541</v>
      </c>
      <c r="L811" s="27">
        <f>B811-A811</f>
        <v>1.1666666666642413</v>
      </c>
      <c r="M811" s="27">
        <f>[189]WELPROFIT!$F$67</f>
        <v>0.72916666667394259</v>
      </c>
      <c r="N811" s="434">
        <f>(H811)/L811</f>
        <v>32107.714285781032</v>
      </c>
      <c r="O811" s="434">
        <f>(H811)/M811</f>
        <v>51372.342856630246</v>
      </c>
      <c r="P811" s="434">
        <v>30000</v>
      </c>
      <c r="Q811" s="69">
        <f>(97254/10000)*8.7</f>
        <v>84.610979999999998</v>
      </c>
      <c r="R811" s="69">
        <f>(90868/10000)*8.7</f>
        <v>79.055160000000001</v>
      </c>
      <c r="S811" s="69">
        <f>Q811-R811</f>
        <v>5.5558199999999971</v>
      </c>
      <c r="T811" s="435">
        <f>S811/8.7*10000/(H811)</f>
        <v>0.17047972449878526</v>
      </c>
      <c r="U811" s="435">
        <f>S811/8.5*10000/(H811)</f>
        <v>0.17449101213405077</v>
      </c>
      <c r="V811" s="69"/>
      <c r="W811" s="436"/>
      <c r="X811" s="437"/>
      <c r="Y811" s="33">
        <v>2.64</v>
      </c>
      <c r="Z811" s="33">
        <f t="shared" si="127"/>
        <v>98891.760000000009</v>
      </c>
      <c r="AA811" s="33"/>
      <c r="AB811" s="33"/>
      <c r="AC811" s="438"/>
      <c r="AD811" s="33"/>
    </row>
    <row r="812" spans="1:30" x14ac:dyDescent="0.3">
      <c r="A812" s="146">
        <v>44457.527777777781</v>
      </c>
      <c r="B812" s="146">
        <v>44460.916666666664</v>
      </c>
      <c r="C812" s="23"/>
      <c r="D812" s="23"/>
      <c r="E812" s="35" t="s">
        <v>953</v>
      </c>
      <c r="F812" s="641"/>
      <c r="G812" s="110" t="s">
        <v>212</v>
      </c>
      <c r="H812" s="487">
        <v>50007</v>
      </c>
      <c r="I812" s="433"/>
      <c r="J812" s="433">
        <v>50000</v>
      </c>
      <c r="K812" s="26">
        <f>H812-J812</f>
        <v>7</v>
      </c>
      <c r="L812" s="27">
        <f>B812-A812</f>
        <v>3.3888888888832298</v>
      </c>
      <c r="M812" s="27">
        <f>[189]GUNALEILA!$F$137</f>
        <v>0.99652777778343682</v>
      </c>
      <c r="N812" s="434">
        <f>(H812)/L812</f>
        <v>14756.163934450871</v>
      </c>
      <c r="O812" s="434">
        <f>(H812)/M812</f>
        <v>50181.240417833498</v>
      </c>
      <c r="P812" s="434">
        <v>30000</v>
      </c>
      <c r="Q812" s="69">
        <f>(133678/10000)*8.7</f>
        <v>116.29986</v>
      </c>
      <c r="R812" s="69">
        <f>(121012/10000)*8.7</f>
        <v>105.28044</v>
      </c>
      <c r="S812" s="69">
        <f>Q812-R812</f>
        <v>11.019419999999997</v>
      </c>
      <c r="T812" s="435">
        <f>S812/8.7*10000/(H812)</f>
        <v>0.2532845401643769</v>
      </c>
      <c r="U812" s="435">
        <f>S812/8.5*10000/(H812)</f>
        <v>0.25924417640353875</v>
      </c>
      <c r="V812" s="69"/>
      <c r="W812" s="436"/>
      <c r="X812" s="437"/>
      <c r="Y812" s="33">
        <v>2.64</v>
      </c>
      <c r="Z812" s="33">
        <f t="shared" si="127"/>
        <v>132018.48000000001</v>
      </c>
      <c r="AA812" s="33"/>
      <c r="AB812" s="33"/>
      <c r="AC812" s="438"/>
      <c r="AD812" s="33"/>
    </row>
    <row r="813" spans="1:30" x14ac:dyDescent="0.3">
      <c r="A813" s="146">
        <v>44461.180555555555</v>
      </c>
      <c r="B813" s="146">
        <v>44463.684027777781</v>
      </c>
      <c r="C813" s="23"/>
      <c r="D813" s="23"/>
      <c r="E813" s="35" t="s">
        <v>954</v>
      </c>
      <c r="F813" s="641"/>
      <c r="G813" s="25" t="s">
        <v>328</v>
      </c>
      <c r="H813" s="433">
        <v>57263</v>
      </c>
      <c r="I813" s="433"/>
      <c r="J813" s="433">
        <v>73424</v>
      </c>
      <c r="K813" s="26">
        <f t="shared" ref="K813:K814" si="128">H813-J813</f>
        <v>-16161</v>
      </c>
      <c r="L813" s="27">
        <f>B813-A813</f>
        <v>2.5034722222262644</v>
      </c>
      <c r="M813" s="27">
        <f>[189]SUBARNAREKHA!$F$100</f>
        <v>1.145833333349098</v>
      </c>
      <c r="N813" s="434">
        <f>(H813)/L813</f>
        <v>22873.431345316741</v>
      </c>
      <c r="O813" s="434">
        <f>(H813)/M813</f>
        <v>49974.981817494248</v>
      </c>
      <c r="P813" s="434">
        <v>30000</v>
      </c>
      <c r="Q813" s="69">
        <f>(120720/10000)*8.7</f>
        <v>105.02639999999998</v>
      </c>
      <c r="R813" s="69">
        <f>(108940/10000)*8.7</f>
        <v>94.777799999999999</v>
      </c>
      <c r="S813" s="69">
        <f>Q813-R813</f>
        <v>10.248599999999982</v>
      </c>
      <c r="T813" s="435">
        <f>S813/8.7*10000/(H813)</f>
        <v>0.2057174790004013</v>
      </c>
      <c r="U813" s="435">
        <f>S813/8.5*10000/(H813)</f>
        <v>0.21055789027099897</v>
      </c>
      <c r="V813" s="69"/>
      <c r="W813" s="436"/>
      <c r="X813" s="437"/>
      <c r="Y813" s="33">
        <v>2.64</v>
      </c>
      <c r="Z813" s="33">
        <f t="shared" si="127"/>
        <v>151174.32</v>
      </c>
      <c r="AA813" s="33"/>
      <c r="AB813" s="33"/>
      <c r="AC813" s="438"/>
      <c r="AD813" s="33"/>
    </row>
    <row r="814" spans="1:30" x14ac:dyDescent="0.3">
      <c r="A814" s="146">
        <v>44464.861111111109</v>
      </c>
      <c r="B814" s="146">
        <v>44467.770833333336</v>
      </c>
      <c r="C814" s="23"/>
      <c r="D814" s="23"/>
      <c r="E814" s="35" t="s">
        <v>955</v>
      </c>
      <c r="F814" s="641"/>
      <c r="G814" s="110" t="s">
        <v>212</v>
      </c>
      <c r="H814" s="487">
        <v>60500</v>
      </c>
      <c r="I814" s="433"/>
      <c r="J814" s="433">
        <v>60500</v>
      </c>
      <c r="K814" s="26">
        <f t="shared" si="128"/>
        <v>0</v>
      </c>
      <c r="L814" s="27">
        <f>B814-A814</f>
        <v>2.9097222222262644</v>
      </c>
      <c r="M814" s="27">
        <f>'[189]STAR ATHENA'!$F$91</f>
        <v>1.246527777779799</v>
      </c>
      <c r="N814" s="434">
        <f>(H814)/L814</f>
        <v>20792.362768467534</v>
      </c>
      <c r="O814" s="434">
        <f>(H814)/M814</f>
        <v>48534.818941425481</v>
      </c>
      <c r="P814" s="434">
        <v>30000</v>
      </c>
      <c r="Q814" s="69">
        <f>(106969/10000)*8.7</f>
        <v>93.063029999999983</v>
      </c>
      <c r="R814" s="69">
        <f>(94146/10000)*8.7</f>
        <v>81.907019999999989</v>
      </c>
      <c r="S814" s="69">
        <f>Q814-R814</f>
        <v>11.156009999999995</v>
      </c>
      <c r="T814" s="435">
        <f>S814/8.7*10000/(H814)</f>
        <v>0.21195041322314043</v>
      </c>
      <c r="U814" s="435">
        <f>S814/8.5*10000/(H814)</f>
        <v>0.2169374817695672</v>
      </c>
      <c r="V814" s="69"/>
      <c r="W814" s="436"/>
      <c r="X814" s="437"/>
      <c r="Y814" s="33">
        <v>2.64</v>
      </c>
      <c r="Z814" s="33">
        <f t="shared" si="127"/>
        <v>159720</v>
      </c>
      <c r="AA814" s="33"/>
      <c r="AB814" s="33"/>
      <c r="AC814" s="438"/>
      <c r="AD814" s="33"/>
    </row>
    <row r="815" spans="1:30" x14ac:dyDescent="0.3">
      <c r="A815" s="439"/>
      <c r="B815" s="439"/>
      <c r="C815" s="23"/>
      <c r="D815" s="23"/>
      <c r="E815" s="35"/>
      <c r="F815" s="641"/>
      <c r="G815" s="110"/>
      <c r="H815" s="487"/>
      <c r="I815" s="433"/>
      <c r="J815" s="433"/>
      <c r="K815" s="26"/>
      <c r="L815" s="27"/>
      <c r="M815" s="27"/>
      <c r="N815" s="434"/>
      <c r="O815" s="434"/>
      <c r="P815" s="434"/>
      <c r="Q815" s="69"/>
      <c r="R815" s="69"/>
      <c r="S815" s="69"/>
      <c r="T815" s="435"/>
      <c r="U815" s="435"/>
      <c r="V815" s="435"/>
      <c r="W815" s="436"/>
      <c r="X815" s="437"/>
      <c r="Y815" s="33"/>
      <c r="Z815" s="33"/>
      <c r="AA815" s="33"/>
      <c r="AB815" s="33"/>
      <c r="AC815" s="438"/>
      <c r="AD815" s="33"/>
    </row>
    <row r="816" spans="1:30" x14ac:dyDescent="0.3">
      <c r="A816" s="20"/>
      <c r="B816" s="20"/>
      <c r="C816" s="20">
        <v>1000000001</v>
      </c>
      <c r="D816" s="20"/>
      <c r="E816" s="21" t="s">
        <v>78</v>
      </c>
      <c r="F816" s="643"/>
      <c r="G816" s="644"/>
      <c r="H816" s="485">
        <f>SUM(H802:H815)</f>
        <v>429489</v>
      </c>
      <c r="I816" s="431"/>
      <c r="J816" s="431"/>
      <c r="K816" s="431"/>
      <c r="L816" s="431"/>
      <c r="M816" s="431"/>
      <c r="N816" s="431">
        <f>AVERAGE(N802:N815)</f>
        <v>24512.819167080397</v>
      </c>
      <c r="O816" s="431">
        <f>AVERAGE(O802:O815)</f>
        <v>44825.233955981006</v>
      </c>
      <c r="P816" s="431"/>
      <c r="Q816" s="431"/>
      <c r="R816" s="431"/>
      <c r="S816" s="440">
        <f>SUM(S802:S815)</f>
        <v>80.928269999999955</v>
      </c>
      <c r="T816" s="441">
        <f>S816/8.7*10000/H816</f>
        <v>0.21658529089219969</v>
      </c>
      <c r="U816" s="440"/>
      <c r="V816" s="440"/>
      <c r="W816" s="442"/>
      <c r="X816" s="22"/>
      <c r="Y816" s="22"/>
      <c r="Z816" s="432">
        <f>SUM(Z802:Z815)</f>
        <v>1225796.1599999999</v>
      </c>
      <c r="AA816" s="432"/>
      <c r="AB816" s="432"/>
      <c r="AC816" s="432"/>
      <c r="AD816" s="432"/>
    </row>
    <row r="817" spans="1:30" x14ac:dyDescent="0.3">
      <c r="A817" s="146"/>
      <c r="B817" s="146"/>
      <c r="C817" s="23"/>
      <c r="D817" s="14"/>
      <c r="E817" s="35"/>
      <c r="F817" s="641"/>
      <c r="G817" s="110"/>
      <c r="H817" s="487"/>
      <c r="I817" s="433"/>
      <c r="J817" s="433"/>
      <c r="K817" s="26"/>
      <c r="L817" s="27"/>
      <c r="M817" s="27"/>
      <c r="N817" s="434"/>
      <c r="O817" s="434"/>
      <c r="P817" s="434"/>
      <c r="Q817" s="69"/>
      <c r="R817" s="69"/>
      <c r="S817" s="69"/>
      <c r="T817" s="435"/>
      <c r="U817" s="435"/>
      <c r="V817" s="435"/>
      <c r="W817" s="436"/>
      <c r="X817" s="437"/>
      <c r="Y817" s="33"/>
      <c r="Z817" s="33"/>
      <c r="AA817" s="33"/>
      <c r="AB817" s="33"/>
      <c r="AC817" s="438"/>
      <c r="AD817" s="33"/>
    </row>
    <row r="818" spans="1:30" ht="27.6" x14ac:dyDescent="0.3">
      <c r="A818" s="146">
        <v>44469.763888888891</v>
      </c>
      <c r="B818" s="146">
        <v>44472.298611111109</v>
      </c>
      <c r="C818" s="23"/>
      <c r="D818" s="14"/>
      <c r="E818" s="35" t="s">
        <v>122</v>
      </c>
      <c r="F818" s="641" t="s">
        <v>852</v>
      </c>
      <c r="G818" s="110" t="s">
        <v>328</v>
      </c>
      <c r="H818" s="487">
        <v>77000</v>
      </c>
      <c r="I818" s="433"/>
      <c r="J818" s="433">
        <v>77000</v>
      </c>
      <c r="K818" s="26">
        <f t="shared" ref="K818:K819" si="129">H818-J818</f>
        <v>0</v>
      </c>
      <c r="L818" s="27">
        <f>B818-A818</f>
        <v>2.5347222222189885</v>
      </c>
      <c r="M818" s="27">
        <f>[190]NOZOMI!$F$118</f>
        <v>1.567708333341822</v>
      </c>
      <c r="N818" s="434">
        <f>(H818)/L818</f>
        <v>30378.082191819576</v>
      </c>
      <c r="O818" s="434">
        <f>(H818)/M818</f>
        <v>49116.279069501492</v>
      </c>
      <c r="P818" s="434">
        <v>30000</v>
      </c>
      <c r="Q818" s="69">
        <f>(90861/10000)*8.7</f>
        <v>79.04907</v>
      </c>
      <c r="R818" s="69">
        <f>(76639/10000)*8.7</f>
        <v>66.675929999999994</v>
      </c>
      <c r="S818" s="69">
        <f>Q818-R818</f>
        <v>12.373140000000006</v>
      </c>
      <c r="T818" s="435">
        <f>S818/8.7*10000/(H818)</f>
        <v>0.18470129870129878</v>
      </c>
      <c r="U818" s="435">
        <f>S818/8.5*10000/(H818)</f>
        <v>0.18904721161191759</v>
      </c>
      <c r="V818" s="435"/>
      <c r="W818" s="436"/>
      <c r="X818" s="32"/>
      <c r="Y818" s="33">
        <v>2.64</v>
      </c>
      <c r="Z818" s="33">
        <f t="shared" ref="Z818:Z821" si="130">H818*Y818</f>
        <v>203280</v>
      </c>
      <c r="AA818" s="33"/>
      <c r="AB818" s="33"/>
      <c r="AC818" s="438"/>
      <c r="AD818" s="33"/>
    </row>
    <row r="819" spans="1:30" x14ac:dyDescent="0.3">
      <c r="A819" s="146">
        <v>44474.069444444445</v>
      </c>
      <c r="B819" s="146">
        <v>44477.159722222219</v>
      </c>
      <c r="C819" s="23"/>
      <c r="D819" s="14"/>
      <c r="E819" s="35" t="s">
        <v>956</v>
      </c>
      <c r="F819" s="641"/>
      <c r="G819" s="45" t="s">
        <v>328</v>
      </c>
      <c r="H819" s="487">
        <v>88000</v>
      </c>
      <c r="I819" s="433"/>
      <c r="J819" s="433">
        <v>88000</v>
      </c>
      <c r="K819" s="26">
        <f t="shared" si="129"/>
        <v>0</v>
      </c>
      <c r="L819" s="27">
        <f>B819-A819</f>
        <v>3.0902777777737356</v>
      </c>
      <c r="M819" s="27">
        <f>[190]HAMDA!$F$134</f>
        <v>1.6579861110864538</v>
      </c>
      <c r="N819" s="434">
        <f>(H819)/L819</f>
        <v>28476.404494419272</v>
      </c>
      <c r="O819" s="434">
        <f>(H819)/M819</f>
        <v>53076.439791365265</v>
      </c>
      <c r="P819" s="434">
        <v>30000</v>
      </c>
      <c r="Q819" s="69">
        <f>(73646/10000)*8.7</f>
        <v>64.072019999999995</v>
      </c>
      <c r="R819" s="69">
        <f>(58078/10000)*8.7</f>
        <v>50.527859999999997</v>
      </c>
      <c r="S819" s="69">
        <f>Q819-R819</f>
        <v>13.544159999999998</v>
      </c>
      <c r="T819" s="435">
        <f>S819/8.7*10000/(H819)</f>
        <v>0.1769090909090909</v>
      </c>
      <c r="U819" s="435">
        <f>S819/8.5*10000/(H819)</f>
        <v>0.18107165775401068</v>
      </c>
      <c r="V819" s="435"/>
      <c r="W819" s="31"/>
      <c r="X819" s="32"/>
      <c r="Y819" s="33">
        <v>2.64</v>
      </c>
      <c r="Z819" s="33">
        <f t="shared" si="130"/>
        <v>232320</v>
      </c>
      <c r="AA819" s="33"/>
      <c r="AB819" s="33"/>
      <c r="AC819" s="438"/>
      <c r="AD819" s="33"/>
    </row>
    <row r="820" spans="1:30" x14ac:dyDescent="0.3">
      <c r="A820" s="146">
        <v>44479.729166666664</v>
      </c>
      <c r="B820" s="146">
        <v>44483.670138888891</v>
      </c>
      <c r="C820" s="23"/>
      <c r="D820" s="23"/>
      <c r="E820" s="35" t="s">
        <v>788</v>
      </c>
      <c r="F820" s="641"/>
      <c r="G820" s="110" t="s">
        <v>328</v>
      </c>
      <c r="H820" s="487">
        <f>80008-H821</f>
        <v>73141</v>
      </c>
      <c r="I820" s="433"/>
      <c r="J820" s="433">
        <v>80008</v>
      </c>
      <c r="K820" s="26">
        <f>H820+H821-J820</f>
        <v>0</v>
      </c>
      <c r="L820" s="27">
        <f>B820-A820</f>
        <v>3.9409722222262644</v>
      </c>
      <c r="M820" s="27">
        <f>'[190]PAN ENERGEN'!$F$136</f>
        <v>1.7152777778125408</v>
      </c>
      <c r="N820" s="434">
        <f>(H820+H821)/L820</f>
        <v>20301.589427291954</v>
      </c>
      <c r="O820" s="567">
        <f>(H820+H821)/M820</f>
        <v>46644.340080026333</v>
      </c>
      <c r="P820" s="434">
        <v>30000</v>
      </c>
      <c r="Q820" s="69">
        <f>(178088/10000)*8.7</f>
        <v>154.93656000000001</v>
      </c>
      <c r="R820" s="69">
        <f>(159636/10000)*8.7</f>
        <v>138.88332</v>
      </c>
      <c r="S820" s="69">
        <f>Q820-R820</f>
        <v>16.053240000000017</v>
      </c>
      <c r="T820" s="435">
        <f>S820/8.7*10000/(H820+H821)</f>
        <v>0.2306269373062696</v>
      </c>
      <c r="U820" s="435">
        <f>S820/8.5*10000/(H820+H821)</f>
        <v>0.23605345347818185</v>
      </c>
      <c r="V820" s="69"/>
      <c r="W820" s="436"/>
      <c r="X820" s="437"/>
      <c r="Y820" s="33">
        <v>2.64</v>
      </c>
      <c r="Z820" s="33">
        <f t="shared" si="130"/>
        <v>193092.24000000002</v>
      </c>
      <c r="AA820" s="33"/>
      <c r="AB820" s="33"/>
      <c r="AC820" s="438"/>
      <c r="AD820" s="33"/>
    </row>
    <row r="821" spans="1:30" x14ac:dyDescent="0.3">
      <c r="A821" s="439"/>
      <c r="B821" s="439"/>
      <c r="C821" s="23"/>
      <c r="D821" s="23"/>
      <c r="E821" s="35" t="s">
        <v>957</v>
      </c>
      <c r="F821" s="641"/>
      <c r="G821" s="110"/>
      <c r="H821" s="487">
        <v>6867</v>
      </c>
      <c r="I821" s="433"/>
      <c r="J821" s="433"/>
      <c r="K821" s="26"/>
      <c r="L821" s="27"/>
      <c r="M821" s="27"/>
      <c r="N821" s="434"/>
      <c r="O821" s="434"/>
      <c r="P821" s="434"/>
      <c r="Q821" s="69"/>
      <c r="R821" s="69"/>
      <c r="S821" s="69"/>
      <c r="T821" s="435"/>
      <c r="U821" s="435"/>
      <c r="V821" s="435"/>
      <c r="W821" s="436"/>
      <c r="X821" s="437"/>
      <c r="Y821" s="33">
        <v>6.5</v>
      </c>
      <c r="Z821" s="33">
        <f t="shared" si="130"/>
        <v>44635.5</v>
      </c>
      <c r="AA821" s="33"/>
      <c r="AB821" s="33"/>
      <c r="AC821" s="438"/>
      <c r="AD821" s="33"/>
    </row>
    <row r="822" spans="1:30" ht="15.6" x14ac:dyDescent="0.3">
      <c r="A822" s="721" t="s">
        <v>958</v>
      </c>
      <c r="B822" s="721"/>
      <c r="C822" s="721"/>
      <c r="D822" s="721"/>
      <c r="E822" s="721"/>
      <c r="F822" s="721"/>
      <c r="G822" s="721"/>
      <c r="H822" s="721"/>
      <c r="I822" s="721"/>
      <c r="J822" s="721"/>
      <c r="K822" s="721"/>
      <c r="L822" s="721"/>
      <c r="M822" s="721"/>
      <c r="N822" s="721"/>
      <c r="O822" s="721"/>
      <c r="P822" s="721"/>
      <c r="Q822" s="721"/>
      <c r="R822" s="721"/>
      <c r="S822" s="721"/>
      <c r="T822" s="721"/>
      <c r="U822" s="721"/>
      <c r="V822" s="721"/>
      <c r="W822" s="721"/>
      <c r="X822" s="721"/>
      <c r="Y822" s="721"/>
      <c r="Z822" s="721"/>
      <c r="AA822" s="33"/>
      <c r="AB822" s="33"/>
      <c r="AC822" s="438"/>
      <c r="AD822" s="33"/>
    </row>
    <row r="823" spans="1:30" x14ac:dyDescent="0.3">
      <c r="A823" s="439"/>
      <c r="B823" s="439"/>
      <c r="C823" s="23"/>
      <c r="D823" s="23"/>
      <c r="E823" s="35"/>
      <c r="F823" s="641"/>
      <c r="G823" s="110"/>
      <c r="H823" s="487"/>
      <c r="I823" s="433"/>
      <c r="J823" s="433"/>
      <c r="K823" s="26"/>
      <c r="L823" s="27"/>
      <c r="M823" s="27"/>
      <c r="N823" s="434"/>
      <c r="O823" s="434"/>
      <c r="P823" s="434"/>
      <c r="Q823" s="69"/>
      <c r="R823" s="69"/>
      <c r="S823" s="69"/>
      <c r="T823" s="435"/>
      <c r="U823" s="435"/>
      <c r="V823" s="435"/>
      <c r="W823" s="436"/>
      <c r="X823" s="437"/>
      <c r="Y823" s="33"/>
      <c r="Z823" s="33"/>
      <c r="AA823" s="33"/>
      <c r="AB823" s="33"/>
      <c r="AC823" s="438"/>
      <c r="AD823" s="33"/>
    </row>
    <row r="824" spans="1:30" x14ac:dyDescent="0.3">
      <c r="A824" s="20"/>
      <c r="B824" s="20"/>
      <c r="C824" s="20">
        <v>1000000001</v>
      </c>
      <c r="D824" s="20"/>
      <c r="E824" s="21" t="s">
        <v>84</v>
      </c>
      <c r="F824" s="643"/>
      <c r="G824" s="644"/>
      <c r="H824" s="485">
        <f>SUM(H817:H823)</f>
        <v>245008</v>
      </c>
      <c r="I824" s="431"/>
      <c r="J824" s="431"/>
      <c r="K824" s="431"/>
      <c r="L824" s="431"/>
      <c r="M824" s="431"/>
      <c r="N824" s="431">
        <f>AVERAGE(N817:N823)</f>
        <v>26385.358704510265</v>
      </c>
      <c r="O824" s="431">
        <f>AVERAGE(O817:O823)</f>
        <v>49612.352980297699</v>
      </c>
      <c r="P824" s="431"/>
      <c r="Q824" s="431"/>
      <c r="R824" s="431"/>
      <c r="S824" s="440">
        <f>SUM(S817:S823)</f>
        <v>41.970540000000021</v>
      </c>
      <c r="T824" s="441">
        <f>S824/8.7*10000/H824</f>
        <v>0.19689969307124677</v>
      </c>
      <c r="U824" s="440"/>
      <c r="V824" s="440"/>
      <c r="W824" s="442"/>
      <c r="X824" s="22"/>
      <c r="Y824" s="22"/>
      <c r="Z824" s="432">
        <f>SUM(Z818:Z821)</f>
        <v>673327.74</v>
      </c>
      <c r="AA824" s="432"/>
      <c r="AB824" s="432"/>
      <c r="AC824" s="432"/>
      <c r="AD824" s="432"/>
    </row>
    <row r="825" spans="1:30" x14ac:dyDescent="0.3">
      <c r="E825" s="39"/>
      <c r="F825" s="642"/>
      <c r="G825" s="171"/>
      <c r="H825" s="619"/>
      <c r="AC825" s="3"/>
      <c r="AD825" s="3"/>
    </row>
    <row r="826" spans="1:30" x14ac:dyDescent="0.3">
      <c r="A826" s="439"/>
      <c r="B826" s="439"/>
      <c r="C826" s="23"/>
      <c r="D826" s="23"/>
      <c r="E826" s="35"/>
      <c r="F826" s="641"/>
      <c r="G826" s="110"/>
      <c r="H826" s="487"/>
      <c r="I826" s="433"/>
      <c r="J826" s="433"/>
      <c r="K826" s="26"/>
      <c r="L826" s="27"/>
      <c r="M826" s="27"/>
      <c r="N826" s="434"/>
      <c r="O826" s="434"/>
      <c r="P826" s="434"/>
      <c r="Q826" s="69"/>
      <c r="R826" s="69"/>
      <c r="S826" s="69"/>
      <c r="T826" s="435"/>
      <c r="U826" s="435"/>
      <c r="V826" s="435"/>
      <c r="W826" s="436"/>
      <c r="X826" s="437"/>
      <c r="Y826" s="33"/>
      <c r="Z826" s="33"/>
      <c r="AA826" s="33"/>
      <c r="AB826" s="33"/>
      <c r="AC826" s="438"/>
      <c r="AD826" s="33"/>
    </row>
    <row r="827" spans="1:30" x14ac:dyDescent="0.3">
      <c r="A827" s="20"/>
      <c r="B827" s="20"/>
      <c r="C827" s="20">
        <v>1000000001</v>
      </c>
      <c r="D827" s="20"/>
      <c r="E827" s="21" t="s">
        <v>89</v>
      </c>
      <c r="F827" s="643"/>
      <c r="G827" s="644"/>
      <c r="H827" s="485">
        <f>SUM(0)</f>
        <v>0</v>
      </c>
      <c r="I827" s="431"/>
      <c r="J827" s="431"/>
      <c r="K827" s="431"/>
      <c r="L827" s="431"/>
      <c r="M827" s="431"/>
      <c r="N827" s="431"/>
      <c r="O827" s="431"/>
      <c r="P827" s="431"/>
      <c r="Q827" s="431"/>
      <c r="R827" s="431"/>
      <c r="S827" s="440">
        <f>SUM(S825:S826)</f>
        <v>0</v>
      </c>
      <c r="T827" s="441" t="e">
        <f>S827/8.7*10000/H827</f>
        <v>#DIV/0!</v>
      </c>
      <c r="U827" s="440"/>
      <c r="V827" s="440"/>
      <c r="W827" s="442"/>
      <c r="X827" s="22"/>
      <c r="Y827" s="22"/>
      <c r="Z827" s="432">
        <v>360000</v>
      </c>
      <c r="AA827" s="432"/>
      <c r="AB827" s="432"/>
      <c r="AC827" s="432"/>
      <c r="AD827" s="432"/>
    </row>
    <row r="828" spans="1:30" x14ac:dyDescent="0.3">
      <c r="A828" s="439"/>
      <c r="B828" s="439"/>
      <c r="C828" s="23"/>
      <c r="D828" s="23"/>
      <c r="F828" s="646"/>
      <c r="G828" s="171"/>
      <c r="H828" s="171"/>
      <c r="I828"/>
      <c r="J828"/>
      <c r="K828"/>
      <c r="L828" s="27"/>
      <c r="M828" s="27"/>
      <c r="N828" s="434"/>
      <c r="O828" s="434"/>
      <c r="P828" s="434"/>
      <c r="Q828" s="69"/>
      <c r="R828" s="69"/>
      <c r="S828" s="69"/>
      <c r="T828" s="435"/>
      <c r="U828" s="435"/>
      <c r="V828" s="435"/>
      <c r="W828" s="436"/>
      <c r="X828" s="437"/>
      <c r="Y828" s="33"/>
      <c r="Z828" s="33"/>
      <c r="AA828" s="33"/>
      <c r="AB828" s="33"/>
      <c r="AC828" s="438"/>
      <c r="AD828" s="33"/>
    </row>
    <row r="829" spans="1:30" x14ac:dyDescent="0.3">
      <c r="E829" s="261"/>
      <c r="F829" s="646"/>
      <c r="G829" s="171"/>
      <c r="H829" s="608"/>
      <c r="AC829" s="3"/>
      <c r="AD829" s="3"/>
    </row>
    <row r="830" spans="1:30" x14ac:dyDescent="0.3">
      <c r="A830" s="20"/>
      <c r="B830" s="20"/>
      <c r="C830" s="20">
        <v>1000000001</v>
      </c>
      <c r="D830" s="20"/>
      <c r="E830" s="21" t="s">
        <v>95</v>
      </c>
      <c r="F830" s="643"/>
      <c r="G830" s="644"/>
      <c r="H830" s="485">
        <f>SUM(H829:H829)</f>
        <v>0</v>
      </c>
      <c r="I830" s="431"/>
      <c r="J830" s="431"/>
      <c r="K830" s="431"/>
      <c r="L830" s="431"/>
      <c r="M830" s="431"/>
      <c r="N830" s="431"/>
      <c r="O830" s="431"/>
      <c r="P830" s="431"/>
      <c r="Q830" s="431"/>
      <c r="R830" s="431"/>
      <c r="S830" s="440">
        <f>SUM(S828:S828)</f>
        <v>0</v>
      </c>
      <c r="T830" s="441" t="e">
        <f>S830/8.7*10000/H830</f>
        <v>#DIV/0!</v>
      </c>
      <c r="U830" s="440"/>
      <c r="V830" s="440"/>
      <c r="W830" s="442"/>
      <c r="X830" s="22"/>
      <c r="Y830" s="22"/>
      <c r="Z830" s="432">
        <v>360000</v>
      </c>
      <c r="AA830" s="432"/>
      <c r="AB830" s="432"/>
      <c r="AC830" s="432"/>
      <c r="AD830" s="432"/>
    </row>
    <row r="833" spans="1:30" x14ac:dyDescent="0.3">
      <c r="A833" s="371" t="s">
        <v>269</v>
      </c>
      <c r="B833" s="24"/>
      <c r="C833" s="24"/>
      <c r="D833" s="24"/>
      <c r="E833" s="24"/>
      <c r="F833" s="12"/>
      <c r="G833" s="110"/>
      <c r="H833" s="640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4"/>
      <c r="Y833" s="24"/>
      <c r="Z833" s="372"/>
      <c r="AA833" s="372"/>
      <c r="AB833" s="372"/>
      <c r="AC833" s="372"/>
      <c r="AD833" s="372"/>
    </row>
    <row r="834" spans="1:30" ht="41.4" x14ac:dyDescent="0.3">
      <c r="A834" s="4" t="s">
        <v>0</v>
      </c>
      <c r="B834" s="4" t="s">
        <v>1</v>
      </c>
      <c r="C834" s="4" t="s">
        <v>2</v>
      </c>
      <c r="D834" s="4" t="s">
        <v>3</v>
      </c>
      <c r="E834" s="5" t="s">
        <v>4</v>
      </c>
      <c r="F834" s="5" t="s">
        <v>850</v>
      </c>
      <c r="G834" s="5" t="s">
        <v>5</v>
      </c>
      <c r="H834" s="426" t="s">
        <v>6</v>
      </c>
      <c r="I834" s="426" t="s">
        <v>7</v>
      </c>
      <c r="J834" s="426" t="s">
        <v>8</v>
      </c>
      <c r="K834" s="426" t="s">
        <v>9</v>
      </c>
      <c r="L834" s="426" t="s">
        <v>10</v>
      </c>
      <c r="M834" s="426" t="s">
        <v>11</v>
      </c>
      <c r="N834" s="426" t="s">
        <v>12</v>
      </c>
      <c r="O834" s="426" t="s">
        <v>13</v>
      </c>
      <c r="P834" s="426" t="s">
        <v>14</v>
      </c>
      <c r="Q834" s="426" t="s">
        <v>15</v>
      </c>
      <c r="R834" s="426" t="s">
        <v>16</v>
      </c>
      <c r="S834" s="426" t="s">
        <v>17</v>
      </c>
      <c r="T834" s="426" t="s">
        <v>18</v>
      </c>
      <c r="U834" s="426" t="s">
        <v>19</v>
      </c>
      <c r="V834" s="426"/>
      <c r="W834" s="426" t="s">
        <v>21</v>
      </c>
      <c r="X834" s="427" t="s">
        <v>22</v>
      </c>
      <c r="Y834" s="427" t="s">
        <v>23</v>
      </c>
      <c r="Z834" s="428" t="s">
        <v>24</v>
      </c>
      <c r="AA834" s="428" t="s">
        <v>489</v>
      </c>
      <c r="AB834" s="428" t="s">
        <v>26</v>
      </c>
      <c r="AC834" s="429" t="s">
        <v>27</v>
      </c>
      <c r="AD834" s="430" t="s">
        <v>28</v>
      </c>
    </row>
    <row r="835" spans="1:30" x14ac:dyDescent="0.3">
      <c r="A835" s="146"/>
      <c r="B835" s="146"/>
      <c r="C835" s="23"/>
      <c r="D835" s="14"/>
      <c r="E835" s="35"/>
      <c r="F835" s="641"/>
      <c r="G835" s="110"/>
      <c r="H835" s="487"/>
      <c r="I835" s="433"/>
      <c r="J835" s="433"/>
      <c r="K835" s="26"/>
      <c r="L835" s="27"/>
      <c r="M835" s="27"/>
      <c r="N835" s="434"/>
      <c r="O835" s="434"/>
      <c r="P835" s="434"/>
      <c r="Q835" s="69"/>
      <c r="R835" s="69"/>
      <c r="S835" s="69"/>
      <c r="T835" s="435"/>
      <c r="U835" s="435"/>
      <c r="V835" s="435"/>
      <c r="W835" s="436"/>
      <c r="X835" s="437"/>
      <c r="Y835" s="33"/>
      <c r="Z835" s="33"/>
      <c r="AA835" s="33"/>
      <c r="AB835" s="33"/>
      <c r="AC835" s="438"/>
      <c r="AD835" s="33"/>
    </row>
    <row r="836" spans="1:30" x14ac:dyDescent="0.3">
      <c r="A836" s="47"/>
      <c r="B836" s="47"/>
      <c r="C836" s="23"/>
      <c r="D836" s="23"/>
      <c r="E836" s="35"/>
      <c r="F836" s="641"/>
      <c r="G836" s="110"/>
      <c r="H836" s="487"/>
      <c r="I836" s="433"/>
      <c r="J836" s="433"/>
      <c r="K836" s="26"/>
      <c r="L836" s="27"/>
      <c r="M836" s="27"/>
      <c r="N836" s="434"/>
      <c r="O836" s="434"/>
      <c r="P836" s="434"/>
      <c r="Q836" s="69"/>
      <c r="R836" s="69"/>
      <c r="S836" s="69"/>
      <c r="T836" s="435"/>
      <c r="U836" s="435"/>
      <c r="V836" s="435"/>
      <c r="W836" s="436"/>
      <c r="X836" s="437"/>
      <c r="Y836" s="33"/>
      <c r="Z836" s="33"/>
      <c r="AA836" s="33"/>
      <c r="AB836" s="33"/>
      <c r="AC836" s="438"/>
      <c r="AD836" s="33"/>
    </row>
    <row r="837" spans="1:30" x14ac:dyDescent="0.3">
      <c r="A837" s="47"/>
      <c r="B837" s="665">
        <v>44588</v>
      </c>
      <c r="C837" s="23"/>
      <c r="D837" s="23"/>
      <c r="E837" s="720" t="s">
        <v>1111</v>
      </c>
      <c r="F837" s="720"/>
      <c r="G837" s="720"/>
      <c r="H837" s="720"/>
      <c r="I837" s="720"/>
      <c r="J837" s="720"/>
      <c r="K837" s="720"/>
      <c r="L837" s="720"/>
      <c r="M837" s="720"/>
      <c r="N837" s="720"/>
      <c r="O837" s="720"/>
      <c r="P837" s="720"/>
      <c r="Q837" s="720"/>
      <c r="R837" s="720"/>
      <c r="S837" s="720"/>
      <c r="T837" s="720"/>
      <c r="U837" s="720"/>
      <c r="V837" s="720"/>
      <c r="W837" s="720"/>
      <c r="X837" s="720"/>
      <c r="Y837" s="720"/>
      <c r="Z837" s="720"/>
      <c r="AA837" s="720"/>
      <c r="AB837" s="720"/>
      <c r="AC837" s="720"/>
      <c r="AD837" s="720"/>
    </row>
    <row r="838" spans="1:30" x14ac:dyDescent="0.3">
      <c r="A838" s="439"/>
      <c r="B838" s="439"/>
      <c r="C838" s="23"/>
      <c r="D838" s="23"/>
      <c r="E838" s="39"/>
      <c r="F838" s="642"/>
      <c r="G838" s="110"/>
      <c r="H838" s="619"/>
      <c r="I838" s="433"/>
      <c r="J838" s="433"/>
      <c r="K838" s="26"/>
      <c r="L838" s="27"/>
      <c r="M838" s="27"/>
      <c r="N838" s="434"/>
      <c r="O838" s="434"/>
      <c r="P838" s="434"/>
      <c r="Q838" s="69"/>
      <c r="R838" s="69"/>
      <c r="S838" s="69"/>
      <c r="T838" s="435"/>
      <c r="U838" s="435"/>
      <c r="V838" s="435"/>
      <c r="W838" s="436"/>
      <c r="X838" s="437"/>
      <c r="Y838" s="19"/>
      <c r="Z838" s="19"/>
      <c r="AA838" s="33"/>
      <c r="AB838" s="33"/>
      <c r="AC838" s="438"/>
      <c r="AD838" s="33"/>
    </row>
    <row r="839" spans="1:30" x14ac:dyDescent="0.3">
      <c r="A839" s="20"/>
      <c r="B839" s="20"/>
      <c r="C839" s="20">
        <v>1000000001</v>
      </c>
      <c r="D839" s="20"/>
      <c r="E839" s="21" t="s">
        <v>30</v>
      </c>
      <c r="F839" s="643"/>
      <c r="G839" s="644"/>
      <c r="H839" s="485">
        <f>SUM(H836:H838)</f>
        <v>0</v>
      </c>
      <c r="I839" s="431"/>
      <c r="J839" s="431"/>
      <c r="K839" s="431"/>
      <c r="L839" s="431"/>
      <c r="M839" s="431"/>
      <c r="N839" s="431" t="e">
        <f>AVERAGE(N836:N837)</f>
        <v>#DIV/0!</v>
      </c>
      <c r="O839" s="431" t="e">
        <f>AVERAGE(O836:O837)</f>
        <v>#DIV/0!</v>
      </c>
      <c r="P839" s="431"/>
      <c r="Q839" s="431"/>
      <c r="R839" s="431"/>
      <c r="S839" s="440">
        <f>SUM(S835:S838)</f>
        <v>0</v>
      </c>
      <c r="T839" s="441" t="e">
        <f>S839/8.7*10000/H839</f>
        <v>#DIV/0!</v>
      </c>
      <c r="U839" s="440"/>
      <c r="V839" s="440"/>
      <c r="W839" s="442"/>
      <c r="X839" s="22"/>
      <c r="Y839" s="22"/>
      <c r="Z839" s="432">
        <f>SUM(Z836:Z838)</f>
        <v>0</v>
      </c>
      <c r="AA839" s="432"/>
      <c r="AB839" s="432"/>
      <c r="AC839" s="432"/>
      <c r="AD839" s="432"/>
    </row>
    <row r="840" spans="1:30" x14ac:dyDescent="0.3">
      <c r="A840" s="24"/>
      <c r="B840" s="24"/>
      <c r="C840" s="24"/>
      <c r="D840" s="24"/>
      <c r="E840" s="24"/>
      <c r="F840" s="12"/>
      <c r="G840" s="110"/>
      <c r="H840" s="110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435"/>
      <c r="W840" s="436"/>
      <c r="X840" s="437"/>
      <c r="Y840" s="33"/>
      <c r="Z840" s="33"/>
      <c r="AA840" s="33"/>
      <c r="AB840" s="33"/>
      <c r="AC840" s="438"/>
      <c r="AD840" s="33"/>
    </row>
    <row r="841" spans="1:30" x14ac:dyDescent="0.3">
      <c r="A841" s="146">
        <v>44591.625</v>
      </c>
      <c r="B841" s="146">
        <v>44612.680555555555</v>
      </c>
      <c r="C841" s="23"/>
      <c r="D841" s="23"/>
      <c r="E841" s="35" t="s">
        <v>1112</v>
      </c>
      <c r="F841" s="641"/>
      <c r="G841" s="110" t="s">
        <v>91</v>
      </c>
      <c r="H841" s="487">
        <v>200350</v>
      </c>
      <c r="I841" s="433"/>
      <c r="J841" s="433">
        <v>200300</v>
      </c>
      <c r="K841" s="26">
        <f>H841-J841</f>
        <v>50</v>
      </c>
      <c r="L841" s="27">
        <f>B841-A841</f>
        <v>21.055555555554747</v>
      </c>
      <c r="M841" s="27">
        <f>[191]FAKARAVA!$J$358</f>
        <v>8.7444444445007115</v>
      </c>
      <c r="N841" s="567">
        <f t="shared" ref="N841" si="131">(H841)/L841</f>
        <v>9515.3034300795207</v>
      </c>
      <c r="O841" s="567">
        <f t="shared" ref="O841" si="132">H841/M841</f>
        <v>22911.689961733133</v>
      </c>
      <c r="P841" s="434">
        <v>25000</v>
      </c>
      <c r="Q841" s="648">
        <f>80516+269494</f>
        <v>350010</v>
      </c>
      <c r="R841" s="648">
        <v>291152</v>
      </c>
      <c r="S841" s="648">
        <f t="shared" ref="S841" si="133">Q841-R841</f>
        <v>58858</v>
      </c>
      <c r="T841" s="435">
        <f>S841/(H841)</f>
        <v>0.29377589218866984</v>
      </c>
      <c r="U841" s="435">
        <f>S841/(H841)</f>
        <v>0.29377589218866984</v>
      </c>
      <c r="V841" s="435"/>
      <c r="W841" s="436"/>
      <c r="X841" s="437"/>
      <c r="Y841" s="33"/>
      <c r="Z841" s="33"/>
      <c r="AA841" s="33"/>
      <c r="AB841" s="33"/>
      <c r="AC841" s="438"/>
      <c r="AD841" s="33"/>
    </row>
    <row r="842" spans="1:30" x14ac:dyDescent="0.3">
      <c r="A842" s="146"/>
      <c r="B842" s="146"/>
      <c r="C842" s="23"/>
      <c r="D842" s="23"/>
      <c r="E842" s="39"/>
      <c r="F842" s="642"/>
      <c r="G842" s="169"/>
      <c r="H842" s="619"/>
      <c r="I842" s="433"/>
      <c r="J842" s="433"/>
      <c r="K842" s="26"/>
      <c r="L842" s="27"/>
      <c r="M842" s="27"/>
      <c r="N842" s="434"/>
      <c r="O842" s="434"/>
      <c r="P842" s="434"/>
      <c r="Q842" s="69"/>
      <c r="R842" s="69"/>
      <c r="S842" s="69"/>
      <c r="T842" s="435"/>
      <c r="U842" s="435"/>
      <c r="V842" s="435"/>
      <c r="W842" s="436"/>
      <c r="X842" s="437"/>
      <c r="Y842" s="19"/>
      <c r="Z842" s="19"/>
      <c r="AA842" s="33"/>
      <c r="AB842" s="33"/>
      <c r="AC842" s="438"/>
      <c r="AD842" s="33"/>
    </row>
    <row r="843" spans="1:30" x14ac:dyDescent="0.3">
      <c r="A843" s="20"/>
      <c r="B843" s="20"/>
      <c r="C843" s="20">
        <v>1000000001</v>
      </c>
      <c r="D843" s="20"/>
      <c r="E843" s="21" t="s">
        <v>37</v>
      </c>
      <c r="F843" s="643"/>
      <c r="G843" s="644"/>
      <c r="H843" s="485">
        <f>SUM(H841)</f>
        <v>200350</v>
      </c>
      <c r="I843" s="431"/>
      <c r="J843" s="431"/>
      <c r="K843" s="431"/>
      <c r="L843" s="431"/>
      <c r="M843" s="431"/>
      <c r="N843" s="431">
        <f>AVERAGE(N840:N841)</f>
        <v>9515.3034300795207</v>
      </c>
      <c r="O843" s="431">
        <f>AVERAGE(O840:O841)</f>
        <v>22911.689961733133</v>
      </c>
      <c r="P843" s="431"/>
      <c r="Q843" s="431"/>
      <c r="R843" s="431"/>
      <c r="S843" s="431">
        <f>SUM(S841:S841)</f>
        <v>58858</v>
      </c>
      <c r="T843" s="441">
        <f>S843/H843</f>
        <v>0.29377589218866984</v>
      </c>
      <c r="U843" s="440"/>
      <c r="V843" s="440"/>
      <c r="W843" s="442"/>
      <c r="X843" s="22"/>
      <c r="Y843" s="22"/>
      <c r="Z843" s="432">
        <f>SUM(Z841:Z841)</f>
        <v>0</v>
      </c>
      <c r="AA843" s="432"/>
      <c r="AB843" s="432"/>
      <c r="AC843" s="432"/>
      <c r="AD843" s="432"/>
    </row>
    <row r="844" spans="1:30" x14ac:dyDescent="0.3">
      <c r="A844" s="146"/>
      <c r="B844" s="20"/>
      <c r="C844" s="23"/>
      <c r="D844" s="14"/>
      <c r="E844" s="661"/>
      <c r="F844" s="641"/>
      <c r="G844" s="110"/>
      <c r="H844" s="487"/>
      <c r="I844" s="433"/>
      <c r="J844" s="433"/>
      <c r="K844" s="26"/>
      <c r="L844" s="27"/>
      <c r="M844" s="27"/>
      <c r="N844" s="434"/>
      <c r="O844" s="434"/>
      <c r="P844" s="434"/>
      <c r="Q844" s="69"/>
      <c r="R844" s="69"/>
      <c r="S844" s="69"/>
      <c r="T844" s="435"/>
      <c r="U844" s="435"/>
      <c r="V844" s="435"/>
      <c r="W844" s="436"/>
      <c r="X844" s="437"/>
      <c r="Y844" s="33"/>
      <c r="Z844" s="33"/>
      <c r="AA844" s="33"/>
      <c r="AB844" s="33"/>
      <c r="AC844" s="438"/>
      <c r="AD844" s="33"/>
    </row>
    <row r="845" spans="1:30" x14ac:dyDescent="0.3">
      <c r="A845" s="146">
        <v>44618.527777777781</v>
      </c>
      <c r="B845" s="146">
        <v>44637.472222222219</v>
      </c>
      <c r="C845" s="666"/>
      <c r="D845" s="667"/>
      <c r="E845" s="35" t="s">
        <v>1113</v>
      </c>
      <c r="F845" s="641"/>
      <c r="G845" s="110" t="s">
        <v>91</v>
      </c>
      <c r="H845" s="487">
        <v>202702</v>
      </c>
      <c r="I845" s="433"/>
      <c r="J845" s="433">
        <v>202700</v>
      </c>
      <c r="K845" s="26">
        <f>H845-J845</f>
        <v>2</v>
      </c>
      <c r="L845" s="27">
        <f>B845-A845</f>
        <v>18.944444444437977</v>
      </c>
      <c r="M845" s="27">
        <f>[192]JUDD!$J$354</f>
        <v>7.4010416666460515</v>
      </c>
      <c r="N845" s="567">
        <f t="shared" ref="N845" si="134">(H845)/L845</f>
        <v>10699.812316719195</v>
      </c>
      <c r="O845" s="567">
        <f t="shared" ref="O845" si="135">H845/M845</f>
        <v>27388.306826255037</v>
      </c>
      <c r="P845" s="434">
        <v>25000</v>
      </c>
      <c r="Q845" s="648">
        <v>281987</v>
      </c>
      <c r="R845" s="648">
        <v>219721</v>
      </c>
      <c r="S845" s="648">
        <f t="shared" ref="S845" si="136">Q845-R845</f>
        <v>62266</v>
      </c>
      <c r="T845" s="435">
        <f>S845/(H845)</f>
        <v>0.30717999822399383</v>
      </c>
      <c r="U845" s="435">
        <f>S845/(H845)</f>
        <v>0.30717999822399383</v>
      </c>
      <c r="V845" s="668"/>
      <c r="W845" s="669"/>
      <c r="X845" s="413"/>
      <c r="Y845" s="53"/>
      <c r="Z845" s="53"/>
      <c r="AA845" s="33"/>
      <c r="AB845" s="33"/>
      <c r="AC845" s="438"/>
      <c r="AD845" s="33"/>
    </row>
    <row r="846" spans="1:30" x14ac:dyDescent="0.3">
      <c r="A846" s="439"/>
      <c r="B846" s="439"/>
      <c r="C846" s="23"/>
      <c r="D846" s="23"/>
      <c r="E846" s="39"/>
      <c r="F846" s="642"/>
      <c r="G846" s="169"/>
      <c r="H846" s="619"/>
      <c r="I846" s="433"/>
      <c r="J846" s="433"/>
      <c r="K846" s="26"/>
      <c r="L846" s="27"/>
      <c r="M846" s="27"/>
      <c r="N846" s="434"/>
      <c r="O846" s="434"/>
      <c r="P846" s="434"/>
      <c r="Q846" s="69"/>
      <c r="R846" s="69"/>
      <c r="S846" s="69"/>
      <c r="T846" s="435"/>
      <c r="U846" s="435"/>
      <c r="V846" s="435"/>
      <c r="W846" s="436"/>
      <c r="X846" s="437"/>
      <c r="Y846" s="19"/>
      <c r="Z846" s="19"/>
      <c r="AA846" s="33"/>
      <c r="AB846" s="33"/>
      <c r="AC846" s="438"/>
      <c r="AD846" s="33"/>
    </row>
    <row r="847" spans="1:30" x14ac:dyDescent="0.3">
      <c r="A847" s="20"/>
      <c r="B847" s="20"/>
      <c r="C847" s="20">
        <v>1000000001</v>
      </c>
      <c r="D847" s="20"/>
      <c r="E847" s="21" t="s">
        <v>42</v>
      </c>
      <c r="F847" s="643"/>
      <c r="G847" s="644"/>
      <c r="H847" s="485">
        <f>SUM(H844:H846)</f>
        <v>202702</v>
      </c>
      <c r="I847" s="431"/>
      <c r="J847" s="431"/>
      <c r="K847" s="431"/>
      <c r="L847" s="431"/>
      <c r="M847" s="431"/>
      <c r="N847" s="431">
        <f>AVERAGE(N844:N845)</f>
        <v>10699.812316719195</v>
      </c>
      <c r="O847" s="431">
        <f>AVERAGE(O844:O845)</f>
        <v>27388.306826255037</v>
      </c>
      <c r="P847" s="431"/>
      <c r="Q847" s="431"/>
      <c r="R847" s="431"/>
      <c r="S847" s="431">
        <f>SUM(S844:S846)</f>
        <v>62266</v>
      </c>
      <c r="T847" s="441">
        <f>S847/H847</f>
        <v>0.30717999822399383</v>
      </c>
      <c r="U847" s="440"/>
      <c r="V847" s="440"/>
      <c r="W847" s="442"/>
      <c r="X847" s="22"/>
      <c r="Y847" s="22"/>
      <c r="Z847" s="432">
        <f>SUM(Z845:Z846)</f>
        <v>0</v>
      </c>
      <c r="AA847" s="432"/>
      <c r="AB847" s="432"/>
      <c r="AC847" s="432"/>
      <c r="AD847" s="432"/>
    </row>
    <row r="848" spans="1:30" x14ac:dyDescent="0.3">
      <c r="A848" s="670"/>
      <c r="B848" s="670"/>
      <c r="C848" s="70"/>
      <c r="D848" s="70"/>
      <c r="E848" s="71"/>
      <c r="F848" s="671"/>
      <c r="G848" s="606"/>
      <c r="H848" s="610"/>
      <c r="I848" s="512"/>
      <c r="J848" s="512"/>
      <c r="K848" s="73"/>
      <c r="L848" s="27"/>
      <c r="M848" s="27"/>
      <c r="N848" s="567"/>
      <c r="O848" s="567"/>
      <c r="P848" s="567"/>
      <c r="Q848" s="75"/>
      <c r="R848" s="75"/>
      <c r="S848" s="75"/>
      <c r="T848" s="612"/>
      <c r="U848" s="612"/>
      <c r="V848" s="612"/>
      <c r="W848" s="672"/>
      <c r="X848" s="673"/>
      <c r="Y848" s="58"/>
      <c r="Z848" s="58"/>
      <c r="AA848" s="58"/>
      <c r="AB848" s="33"/>
      <c r="AC848" s="438"/>
      <c r="AD848" s="33"/>
    </row>
    <row r="849" spans="1:30" x14ac:dyDescent="0.3">
      <c r="A849" s="146">
        <v>44644.166666666664</v>
      </c>
      <c r="B849" s="146">
        <v>44660.597222222219</v>
      </c>
      <c r="C849" s="666"/>
      <c r="D849" s="666"/>
      <c r="E849" s="71" t="s">
        <v>1114</v>
      </c>
      <c r="F849" s="671"/>
      <c r="G849" s="562" t="s">
        <v>91</v>
      </c>
      <c r="H849" s="610">
        <v>203622</v>
      </c>
      <c r="I849" s="512"/>
      <c r="J849" s="512">
        <v>202850</v>
      </c>
      <c r="K849" s="26">
        <f>H849-J849</f>
        <v>772</v>
      </c>
      <c r="L849" s="27">
        <f>B849-A849</f>
        <v>16.430555555554747</v>
      </c>
      <c r="M849" s="27">
        <f>'[193]PINK SANDS'!$J$295</f>
        <v>7.8090277778133483</v>
      </c>
      <c r="N849" s="567">
        <f t="shared" ref="N849" si="137">(H849)/L849</f>
        <v>12392.885883348032</v>
      </c>
      <c r="O849" s="567">
        <f t="shared" ref="O849" si="138">H849/M849</f>
        <v>26075.204979872335</v>
      </c>
      <c r="P849" s="434">
        <v>25000</v>
      </c>
      <c r="Q849" s="648">
        <v>209451</v>
      </c>
      <c r="R849" s="648">
        <v>155086</v>
      </c>
      <c r="S849" s="648">
        <f t="shared" ref="S849" si="139">Q849-R849</f>
        <v>54365</v>
      </c>
      <c r="T849" s="435">
        <f>S849/(H849)</f>
        <v>0.2669898144601271</v>
      </c>
      <c r="U849" s="435">
        <f>S849/(H849)</f>
        <v>0.2669898144601271</v>
      </c>
      <c r="V849" s="668"/>
      <c r="W849" s="516"/>
      <c r="X849" s="674"/>
      <c r="Y849" s="53"/>
      <c r="Z849" s="53"/>
      <c r="AA849" s="58"/>
      <c r="AB849" s="33"/>
      <c r="AC849" s="438"/>
      <c r="AD849" s="33"/>
    </row>
    <row r="850" spans="1:30" x14ac:dyDescent="0.3">
      <c r="A850" s="439"/>
      <c r="B850" s="439"/>
      <c r="C850" s="23"/>
      <c r="D850" s="23"/>
      <c r="E850" s="35"/>
      <c r="F850" s="641"/>
      <c r="G850" s="110"/>
      <c r="H850" s="487"/>
      <c r="I850" s="433"/>
      <c r="J850" s="433"/>
      <c r="K850" s="26"/>
      <c r="L850" s="27"/>
      <c r="M850" s="27"/>
      <c r="N850" s="434"/>
      <c r="O850" s="434"/>
      <c r="P850" s="434"/>
      <c r="Q850" s="69"/>
      <c r="R850" s="69"/>
      <c r="S850" s="69"/>
      <c r="T850" s="435"/>
      <c r="U850" s="435"/>
      <c r="V850" s="435"/>
      <c r="W850" s="436"/>
      <c r="X850" s="437"/>
      <c r="Y850" s="33"/>
      <c r="Z850" s="33"/>
      <c r="AA850" s="33"/>
      <c r="AB850" s="33"/>
      <c r="AC850" s="438"/>
      <c r="AD850" s="33"/>
    </row>
    <row r="851" spans="1:30" x14ac:dyDescent="0.3">
      <c r="A851" s="20"/>
      <c r="B851" s="20"/>
      <c r="C851" s="20">
        <v>1000000001</v>
      </c>
      <c r="D851" s="20"/>
      <c r="E851" s="21" t="s">
        <v>43</v>
      </c>
      <c r="F851" s="643"/>
      <c r="G851" s="644"/>
      <c r="H851" s="485">
        <f>SUM(H848:H850)</f>
        <v>203622</v>
      </c>
      <c r="I851" s="431"/>
      <c r="J851" s="431"/>
      <c r="K851" s="431"/>
      <c r="L851" s="431"/>
      <c r="M851" s="431"/>
      <c r="N851" s="431">
        <f>AVERAGE(N849:N849)</f>
        <v>12392.885883348032</v>
      </c>
      <c r="O851" s="431">
        <f>AVERAGE(O849:O849)</f>
        <v>26075.204979872335</v>
      </c>
      <c r="P851" s="431"/>
      <c r="Q851" s="431"/>
      <c r="R851" s="431"/>
      <c r="S851" s="431">
        <f>SUM(S848:S850)</f>
        <v>54365</v>
      </c>
      <c r="T851" s="441">
        <f>S851/H851</f>
        <v>0.2669898144601271</v>
      </c>
      <c r="U851" s="440"/>
      <c r="V851" s="440"/>
      <c r="W851" s="442"/>
      <c r="X851" s="22"/>
      <c r="Y851" s="22"/>
      <c r="Z851" s="432">
        <f>SUM(Z849:Z850)</f>
        <v>0</v>
      </c>
      <c r="AA851" s="432"/>
      <c r="AB851" s="432"/>
      <c r="AC851" s="432"/>
      <c r="AD851" s="432"/>
    </row>
    <row r="852" spans="1:30" x14ac:dyDescent="0.3">
      <c r="A852" s="146"/>
      <c r="B852" s="146"/>
      <c r="C852" s="23"/>
      <c r="D852" s="14"/>
      <c r="E852" s="35"/>
      <c r="F852" s="641"/>
      <c r="G852" s="110"/>
      <c r="H852" s="487"/>
      <c r="I852" s="433"/>
      <c r="J852" s="433"/>
      <c r="K852" s="26"/>
      <c r="L852" s="27"/>
      <c r="M852" s="27"/>
      <c r="N852" s="434"/>
      <c r="O852" s="434"/>
      <c r="P852" s="434"/>
      <c r="Q852" s="69"/>
      <c r="R852" s="69"/>
      <c r="S852" s="69"/>
      <c r="T852" s="435"/>
      <c r="U852" s="435"/>
      <c r="V852" s="435"/>
      <c r="W852" s="436"/>
      <c r="X852" s="437"/>
      <c r="Y852" s="33"/>
      <c r="Z852" s="33"/>
      <c r="AA852" s="33"/>
      <c r="AB852" s="33"/>
      <c r="AC852" s="438"/>
      <c r="AD852" s="33"/>
    </row>
    <row r="853" spans="1:30" x14ac:dyDescent="0.3">
      <c r="A853" s="146">
        <v>44662.826388888891</v>
      </c>
      <c r="B853" s="146">
        <v>44697.25</v>
      </c>
      <c r="C853" s="666"/>
      <c r="D853" s="666"/>
      <c r="E853" s="71" t="s">
        <v>1115</v>
      </c>
      <c r="F853" s="671"/>
      <c r="G853" s="562" t="s">
        <v>91</v>
      </c>
      <c r="H853" s="610">
        <v>198813</v>
      </c>
      <c r="I853" s="512"/>
      <c r="J853" s="512">
        <v>198700</v>
      </c>
      <c r="K853" s="26">
        <f>H853-J853</f>
        <v>113</v>
      </c>
      <c r="L853" s="27">
        <f>B853-A853</f>
        <v>34.423611111109494</v>
      </c>
      <c r="M853" s="27">
        <f>[194]RANGIROA!$J$417</f>
        <v>7.7013888889341615</v>
      </c>
      <c r="N853" s="567">
        <f t="shared" ref="N853" si="140">(H853)/L853</f>
        <v>5775.4835586042655</v>
      </c>
      <c r="O853" s="567">
        <f t="shared" ref="O853" si="141">H853/M853</f>
        <v>25815.213705889724</v>
      </c>
      <c r="P853" s="434">
        <v>25000</v>
      </c>
      <c r="Q853" s="648">
        <f>151836+114123</f>
        <v>265959</v>
      </c>
      <c r="R853" s="648">
        <v>177629</v>
      </c>
      <c r="S853" s="648">
        <f t="shared" ref="S853" si="142">Q853-R853</f>
        <v>88330</v>
      </c>
      <c r="T853" s="435">
        <f>S853/(H853)</f>
        <v>0.44428684240970157</v>
      </c>
      <c r="U853" s="435">
        <f>S853/(H853)</f>
        <v>0.44428684240970157</v>
      </c>
      <c r="V853" s="675"/>
      <c r="W853" s="443"/>
      <c r="X853" s="32"/>
      <c r="Y853" s="54"/>
      <c r="Z853" s="54"/>
      <c r="AA853" s="33"/>
      <c r="AB853" s="33"/>
      <c r="AC853" s="438"/>
      <c r="AD853" s="33"/>
    </row>
    <row r="854" spans="1:30" x14ac:dyDescent="0.3">
      <c r="A854" s="146"/>
      <c r="B854" s="146"/>
      <c r="C854" s="23"/>
      <c r="D854" s="14"/>
      <c r="E854" s="39"/>
      <c r="F854" s="642"/>
      <c r="G854" s="424"/>
      <c r="H854" s="619"/>
      <c r="I854" s="433"/>
      <c r="J854" s="433"/>
      <c r="K854" s="26"/>
      <c r="L854" s="27"/>
      <c r="M854" s="27"/>
      <c r="N854" s="434"/>
      <c r="O854" s="434"/>
      <c r="P854" s="434"/>
      <c r="Q854" s="69"/>
      <c r="R854" s="69"/>
      <c r="S854" s="69"/>
      <c r="T854" s="435"/>
      <c r="U854" s="435"/>
      <c r="V854" s="435"/>
      <c r="W854" s="436"/>
      <c r="X854" s="32"/>
      <c r="Y854" s="19"/>
      <c r="Z854" s="19"/>
      <c r="AA854" s="33"/>
      <c r="AB854" s="33"/>
      <c r="AC854" s="438"/>
      <c r="AD854" s="33"/>
    </row>
    <row r="855" spans="1:30" x14ac:dyDescent="0.3">
      <c r="A855" s="20"/>
      <c r="B855" s="20"/>
      <c r="C855" s="20">
        <v>1000000001</v>
      </c>
      <c r="D855" s="20"/>
      <c r="E855" s="21" t="s">
        <v>52</v>
      </c>
      <c r="F855" s="643"/>
      <c r="G855" s="644"/>
      <c r="H855" s="485">
        <f>SUM(H853:H854)</f>
        <v>198813</v>
      </c>
      <c r="I855" s="431"/>
      <c r="J855" s="431"/>
      <c r="K855" s="431"/>
      <c r="L855" s="431"/>
      <c r="M855" s="431"/>
      <c r="N855" s="431">
        <f>AVERAGE(N853:N853)</f>
        <v>5775.4835586042655</v>
      </c>
      <c r="O855" s="431">
        <f>AVERAGE(O853:O853)</f>
        <v>25815.213705889724</v>
      </c>
      <c r="P855" s="431"/>
      <c r="Q855" s="431"/>
      <c r="R855" s="431"/>
      <c r="S855" s="431">
        <f>SUM(S852:S854)</f>
        <v>88330</v>
      </c>
      <c r="T855" s="441">
        <f>S855/H855</f>
        <v>0.44428684240970157</v>
      </c>
      <c r="U855" s="440"/>
      <c r="V855" s="440"/>
      <c r="W855" s="442"/>
      <c r="X855" s="22"/>
      <c r="Y855" s="22"/>
      <c r="Z855" s="432">
        <f>SUM(Z853:Z854)</f>
        <v>0</v>
      </c>
      <c r="AA855" s="432"/>
      <c r="AB855" s="432"/>
      <c r="AC855" s="432"/>
      <c r="AD855" s="432"/>
    </row>
    <row r="856" spans="1:30" x14ac:dyDescent="0.3">
      <c r="A856" s="59"/>
      <c r="B856" s="59"/>
      <c r="C856" s="50"/>
      <c r="D856" s="676"/>
      <c r="E856" s="35"/>
      <c r="F856" s="641"/>
      <c r="G856" s="45"/>
      <c r="H856" s="487"/>
      <c r="I856" s="487"/>
      <c r="J856" s="433"/>
      <c r="K856" s="31"/>
      <c r="L856" s="565"/>
      <c r="M856" s="565"/>
      <c r="N856" s="433"/>
      <c r="O856" s="433"/>
      <c r="P856" s="433"/>
      <c r="Q856" s="69"/>
      <c r="R856" s="69"/>
      <c r="S856" s="69"/>
      <c r="T856" s="675"/>
      <c r="U856" s="675"/>
      <c r="V856" s="675"/>
      <c r="W856" s="443"/>
      <c r="X856" s="32"/>
      <c r="Y856" s="54"/>
      <c r="Z856" s="54"/>
      <c r="AA856" s="33"/>
      <c r="AB856" s="33"/>
      <c r="AC856" s="438"/>
      <c r="AD856" s="33"/>
    </row>
    <row r="857" spans="1:30" x14ac:dyDescent="0.3">
      <c r="A857" s="146">
        <v>44698.458333333336</v>
      </c>
      <c r="B857" s="146">
        <v>44718.263888888891</v>
      </c>
      <c r="C857" s="50"/>
      <c r="D857" s="676"/>
      <c r="E857" s="35" t="s">
        <v>1116</v>
      </c>
      <c r="F857" s="641"/>
      <c r="G857" s="562" t="s">
        <v>91</v>
      </c>
      <c r="H857" s="487">
        <v>204665</v>
      </c>
      <c r="I857" s="433"/>
      <c r="J857" s="433">
        <v>204600</v>
      </c>
      <c r="K857" s="26">
        <f>H857-J857</f>
        <v>65</v>
      </c>
      <c r="L857" s="27">
        <f>B857-A857</f>
        <v>19.805555555554747</v>
      </c>
      <c r="M857" s="27">
        <f>[195]CONQUISTADOR!$J$297</f>
        <v>7.7743055555450464</v>
      </c>
      <c r="N857" s="567">
        <f t="shared" ref="N857:N858" si="143">(H857)/L857</f>
        <v>10333.716690042498</v>
      </c>
      <c r="O857" s="567">
        <f t="shared" ref="O857:O858" si="144">H857/M857</f>
        <v>26325.824028619776</v>
      </c>
      <c r="P857" s="434">
        <v>25000</v>
      </c>
      <c r="Q857" s="648">
        <v>235909</v>
      </c>
      <c r="R857" s="648">
        <v>175789</v>
      </c>
      <c r="S857" s="648">
        <f t="shared" ref="S857:S858" si="145">Q857-R857</f>
        <v>60120</v>
      </c>
      <c r="T857" s="435">
        <f>S857/(H857)</f>
        <v>0.29374832042606208</v>
      </c>
      <c r="U857" s="435">
        <f>S857/(H857)</f>
        <v>0.29374832042606208</v>
      </c>
      <c r="V857" s="69"/>
      <c r="W857" s="443"/>
      <c r="X857" s="677"/>
      <c r="Y857" s="54"/>
      <c r="Z857" s="54"/>
      <c r="AA857" s="33"/>
      <c r="AB857" s="33"/>
      <c r="AC857" s="438"/>
      <c r="AD857" s="33"/>
    </row>
    <row r="858" spans="1:30" x14ac:dyDescent="0.3">
      <c r="A858" s="146">
        <v>44718.819444444445</v>
      </c>
      <c r="B858" s="146">
        <v>44735.111111111109</v>
      </c>
      <c r="C858" s="50"/>
      <c r="D858" s="50"/>
      <c r="E858" s="35" t="s">
        <v>1112</v>
      </c>
      <c r="F858" s="641"/>
      <c r="G858" s="45" t="s">
        <v>91</v>
      </c>
      <c r="H858" s="487">
        <v>200500</v>
      </c>
      <c r="I858" s="433"/>
      <c r="J858" s="433">
        <v>200250</v>
      </c>
      <c r="K858" s="26">
        <f>H858-J858</f>
        <v>250</v>
      </c>
      <c r="L858" s="27">
        <f>B858-A858</f>
        <v>16.291666666664241</v>
      </c>
      <c r="M858" s="27">
        <f>[195]FAKARAVA!$J$280</f>
        <v>7.7013888888654449</v>
      </c>
      <c r="N858" s="567">
        <f t="shared" si="143"/>
        <v>12306.905370845821</v>
      </c>
      <c r="O858" s="567">
        <f t="shared" si="144"/>
        <v>26034.265103776277</v>
      </c>
      <c r="P858" s="434">
        <v>25000</v>
      </c>
      <c r="Q858" s="648">
        <v>175069</v>
      </c>
      <c r="R858" s="648">
        <v>119269</v>
      </c>
      <c r="S858" s="648">
        <f t="shared" si="145"/>
        <v>55800</v>
      </c>
      <c r="T858" s="435">
        <f>S858/(H858)</f>
        <v>0.27830423940149623</v>
      </c>
      <c r="U858" s="435">
        <f>S858/(H858)</f>
        <v>0.27830423940149623</v>
      </c>
      <c r="V858" s="69"/>
      <c r="W858" s="443"/>
      <c r="X858" s="677"/>
      <c r="Y858" s="54"/>
      <c r="Z858" s="54"/>
      <c r="AA858" s="33"/>
      <c r="AB858" s="33"/>
      <c r="AC858" s="438"/>
      <c r="AD858" s="33"/>
    </row>
    <row r="859" spans="1:30" x14ac:dyDescent="0.3">
      <c r="A859" s="176"/>
      <c r="B859" s="176"/>
      <c r="C859" s="50"/>
      <c r="D859" s="50"/>
      <c r="E859" s="35"/>
      <c r="F859" s="641"/>
      <c r="G859" s="45"/>
      <c r="H859" s="487"/>
      <c r="I859" s="433"/>
      <c r="J859" s="433"/>
      <c r="K859" s="31"/>
      <c r="L859" s="565"/>
      <c r="M859" s="565"/>
      <c r="N859" s="433"/>
      <c r="O859" s="433"/>
      <c r="P859" s="433"/>
      <c r="Q859" s="69"/>
      <c r="R859" s="69"/>
      <c r="S859" s="69"/>
      <c r="T859" s="675"/>
      <c r="U859" s="675"/>
      <c r="V859" s="675"/>
      <c r="W859" s="443"/>
      <c r="X859" s="677"/>
      <c r="Y859" s="54"/>
      <c r="Z859" s="54"/>
      <c r="AA859" s="33"/>
      <c r="AB859" s="33"/>
      <c r="AC859" s="438"/>
      <c r="AD859" s="33"/>
    </row>
    <row r="860" spans="1:30" x14ac:dyDescent="0.3">
      <c r="A860" s="146"/>
      <c r="B860" s="146"/>
      <c r="C860" s="20">
        <v>1000000001</v>
      </c>
      <c r="D860" s="20"/>
      <c r="E860" s="21" t="s">
        <v>60</v>
      </c>
      <c r="F860" s="643"/>
      <c r="G860" s="644"/>
      <c r="H860" s="485">
        <f>SUM(H856:H859)</f>
        <v>405165</v>
      </c>
      <c r="I860" s="431"/>
      <c r="J860" s="431"/>
      <c r="K860" s="431"/>
      <c r="L860" s="431"/>
      <c r="M860" s="431"/>
      <c r="N860" s="431">
        <f>AVERAGE(N856:N858)</f>
        <v>11320.31103044416</v>
      </c>
      <c r="O860" s="431">
        <f>AVERAGE(O856:O858)</f>
        <v>26180.044566198027</v>
      </c>
      <c r="P860" s="431"/>
      <c r="Q860" s="431"/>
      <c r="R860" s="431"/>
      <c r="S860" s="431">
        <f>SUM(S857:S859)</f>
        <v>115920</v>
      </c>
      <c r="T860" s="441">
        <f>S860/H860</f>
        <v>0.28610566065676946</v>
      </c>
      <c r="U860" s="440"/>
      <c r="V860" s="440"/>
      <c r="W860" s="442"/>
      <c r="X860" s="22"/>
      <c r="Y860" s="22"/>
      <c r="Z860" s="432">
        <f>SUM(Z856:Z859)</f>
        <v>0</v>
      </c>
      <c r="AA860" s="432"/>
      <c r="AB860" s="432"/>
      <c r="AC860" s="432"/>
      <c r="AD860" s="432"/>
    </row>
    <row r="861" spans="1:30" x14ac:dyDescent="0.3">
      <c r="F861" s="646"/>
      <c r="G861" s="171"/>
      <c r="H861" s="647"/>
      <c r="AC861" s="3"/>
      <c r="AD861" s="3"/>
    </row>
    <row r="862" spans="1:30" x14ac:dyDescent="0.3">
      <c r="A862" s="146">
        <v>44744.763888888891</v>
      </c>
      <c r="B862" s="146">
        <v>44763.638888888891</v>
      </c>
      <c r="C862" s="50"/>
      <c r="D862" s="50"/>
      <c r="E862" s="35" t="s">
        <v>1114</v>
      </c>
      <c r="F862" s="641"/>
      <c r="G862" s="45" t="s">
        <v>91</v>
      </c>
      <c r="H862" s="487">
        <v>203670</v>
      </c>
      <c r="I862" s="433"/>
      <c r="J862" s="433">
        <v>203650</v>
      </c>
      <c r="K862" s="31">
        <f>H862-J862</f>
        <v>20</v>
      </c>
      <c r="L862" s="27">
        <f>B862-A862</f>
        <v>18.875</v>
      </c>
      <c r="M862" s="27">
        <f>'[196]PINK SANDS'!$J$293</f>
        <v>9.732638888850488</v>
      </c>
      <c r="N862" s="567">
        <f t="shared" ref="N862" si="146">(H862)/L862</f>
        <v>10790.46357615894</v>
      </c>
      <c r="O862" s="567">
        <f t="shared" ref="O862" si="147">H862/M862</f>
        <v>20926.493043250601</v>
      </c>
      <c r="P862" s="434">
        <v>25000</v>
      </c>
      <c r="Q862" s="648">
        <v>246309</v>
      </c>
      <c r="R862" s="648">
        <v>188089</v>
      </c>
      <c r="S862" s="648">
        <f t="shared" ref="S862" si="148">Q862-R862</f>
        <v>58220</v>
      </c>
      <c r="T862" s="435">
        <f>S862/(H862)</f>
        <v>0.28585456866499731</v>
      </c>
      <c r="U862" s="435">
        <f>S862/(H862)</f>
        <v>0.28585456866499731</v>
      </c>
      <c r="V862" s="675"/>
      <c r="W862" s="443"/>
      <c r="X862" s="677"/>
      <c r="Y862" s="54"/>
      <c r="Z862" s="54"/>
      <c r="AA862" s="33"/>
      <c r="AB862" s="33"/>
      <c r="AC862" s="438"/>
      <c r="AD862" s="33"/>
    </row>
    <row r="863" spans="1:30" x14ac:dyDescent="0.3">
      <c r="A863" s="146"/>
      <c r="B863" s="146"/>
      <c r="C863" s="23"/>
      <c r="D863" s="23"/>
      <c r="E863" s="35"/>
      <c r="F863" s="641"/>
      <c r="G863" s="110"/>
      <c r="H863" s="487"/>
      <c r="I863" s="433"/>
      <c r="J863" s="433"/>
      <c r="K863" s="26"/>
      <c r="L863" s="27"/>
      <c r="M863" s="27"/>
      <c r="N863" s="434"/>
      <c r="O863" s="434"/>
      <c r="P863" s="434"/>
      <c r="Q863" s="69"/>
      <c r="R863" s="69"/>
      <c r="S863" s="69"/>
      <c r="T863" s="435"/>
      <c r="U863" s="435"/>
      <c r="V863" s="435"/>
      <c r="W863" s="436"/>
      <c r="X863" s="437"/>
      <c r="Y863" s="33"/>
      <c r="Z863" s="33"/>
      <c r="AA863" s="33"/>
      <c r="AB863" s="33"/>
      <c r="AC863" s="438"/>
      <c r="AD863" s="33"/>
    </row>
    <row r="864" spans="1:30" x14ac:dyDescent="0.3">
      <c r="A864" s="146"/>
      <c r="B864" s="146"/>
      <c r="C864" s="20">
        <v>1000000001</v>
      </c>
      <c r="D864" s="20"/>
      <c r="E864" s="21" t="s">
        <v>67</v>
      </c>
      <c r="F864" s="643"/>
      <c r="G864" s="644"/>
      <c r="H864" s="485">
        <f>SUM(H862:H863)</f>
        <v>203670</v>
      </c>
      <c r="I864" s="431"/>
      <c r="J864" s="431"/>
      <c r="K864" s="431"/>
      <c r="L864" s="431"/>
      <c r="M864" s="431"/>
      <c r="N864" s="431">
        <f>AVERAGE(N862:N862)</f>
        <v>10790.46357615894</v>
      </c>
      <c r="O864" s="431">
        <f>AVERAGE(O862:O862)</f>
        <v>20926.493043250601</v>
      </c>
      <c r="P864" s="431"/>
      <c r="Q864" s="431"/>
      <c r="R864" s="431"/>
      <c r="S864" s="431">
        <f>SUM(S862:S863)</f>
        <v>58220</v>
      </c>
      <c r="T864" s="441">
        <f>S864/H864</f>
        <v>0.28585456866499731</v>
      </c>
      <c r="U864" s="440"/>
      <c r="V864" s="440"/>
      <c r="W864" s="442"/>
      <c r="X864" s="22"/>
      <c r="Y864" s="22"/>
      <c r="Z864" s="432">
        <f>SUM(Z862:Z863)</f>
        <v>0</v>
      </c>
      <c r="AA864" s="432"/>
      <c r="AB864" s="432"/>
      <c r="AC864" s="432"/>
      <c r="AD864" s="432"/>
    </row>
    <row r="865" spans="1:30" x14ac:dyDescent="0.3">
      <c r="A865" s="146"/>
      <c r="B865" s="146"/>
      <c r="C865" s="23"/>
      <c r="D865" s="14"/>
      <c r="E865" s="35"/>
      <c r="F865" s="641"/>
      <c r="G865" s="110"/>
      <c r="H865" s="487"/>
      <c r="I865" s="433"/>
      <c r="J865" s="433"/>
      <c r="K865" s="26"/>
      <c r="L865" s="27"/>
      <c r="M865" s="27"/>
      <c r="N865" s="434"/>
      <c r="O865" s="434"/>
      <c r="P865" s="434"/>
      <c r="Q865" s="69"/>
      <c r="R865" s="69"/>
      <c r="S865" s="69"/>
      <c r="T865" s="435"/>
      <c r="U865" s="435"/>
      <c r="V865" s="435"/>
      <c r="W865" s="436"/>
      <c r="X865" s="437"/>
      <c r="Y865" s="33"/>
      <c r="Z865" s="33"/>
      <c r="AA865" s="33"/>
      <c r="AB865" s="33"/>
      <c r="AC865" s="438"/>
      <c r="AD865" s="33"/>
    </row>
    <row r="866" spans="1:30" x14ac:dyDescent="0.3">
      <c r="A866" s="146">
        <v>44772.493055555555</v>
      </c>
      <c r="B866" s="146">
        <v>44791.229166666664</v>
      </c>
      <c r="C866" s="50"/>
      <c r="D866" s="676"/>
      <c r="E866" s="35" t="s">
        <v>1117</v>
      </c>
      <c r="F866" s="641"/>
      <c r="G866" s="45" t="s">
        <v>91</v>
      </c>
      <c r="H866" s="487">
        <v>202728</v>
      </c>
      <c r="I866" s="433"/>
      <c r="J866" s="31">
        <v>202700</v>
      </c>
      <c r="K866" s="31">
        <f>H866-J866</f>
        <v>28</v>
      </c>
      <c r="L866" s="27">
        <f>B866-A866</f>
        <v>18.736111111109494</v>
      </c>
      <c r="M866" s="27">
        <f>[197]MARINI!$J$305</f>
        <v>7.0562500000010502</v>
      </c>
      <c r="N866" s="567">
        <f t="shared" ref="N866" si="149">(H866)/L866</f>
        <v>10820.174944404196</v>
      </c>
      <c r="O866" s="567">
        <f t="shared" ref="O866" si="150">H866/M866</f>
        <v>28730.274579269419</v>
      </c>
      <c r="P866" s="434">
        <v>25000</v>
      </c>
      <c r="Q866" s="648">
        <v>217249</v>
      </c>
      <c r="R866" s="648">
        <v>161269</v>
      </c>
      <c r="S866" s="648">
        <f t="shared" ref="S866" si="151">Q866-R866</f>
        <v>55980</v>
      </c>
      <c r="T866" s="435">
        <f>S866/(H866)</f>
        <v>0.27613353853439093</v>
      </c>
      <c r="U866" s="435">
        <f>S866/(H866)</f>
        <v>0.27613353853439093</v>
      </c>
      <c r="V866" s="675"/>
      <c r="W866" s="443"/>
      <c r="X866" s="677"/>
      <c r="Y866" s="54"/>
      <c r="Z866" s="54"/>
      <c r="AA866" s="33"/>
      <c r="AB866" s="33"/>
      <c r="AC866" s="438"/>
      <c r="AD866" s="33"/>
    </row>
    <row r="867" spans="1:30" x14ac:dyDescent="0.3">
      <c r="A867" s="678"/>
      <c r="B867" s="678"/>
      <c r="C867" s="50"/>
      <c r="D867" s="50"/>
      <c r="E867" s="35"/>
      <c r="F867" s="641"/>
      <c r="G867" s="45"/>
      <c r="H867" s="487"/>
      <c r="I867" s="433"/>
      <c r="J867" s="433"/>
      <c r="K867" s="31"/>
      <c r="L867" s="565"/>
      <c r="M867" s="565"/>
      <c r="N867" s="433"/>
      <c r="O867" s="433"/>
      <c r="P867" s="433"/>
      <c r="Q867" s="69"/>
      <c r="R867" s="69"/>
      <c r="S867" s="69"/>
      <c r="T867" s="675"/>
      <c r="U867" s="675"/>
      <c r="V867" s="675"/>
      <c r="W867" s="443"/>
      <c r="X867" s="677"/>
      <c r="Y867" s="54"/>
      <c r="Z867" s="54"/>
      <c r="AA867" s="33"/>
      <c r="AB867" s="33"/>
      <c r="AC867" s="438"/>
      <c r="AD867" s="33"/>
    </row>
    <row r="868" spans="1:30" x14ac:dyDescent="0.3">
      <c r="A868" s="20"/>
      <c r="B868" s="20"/>
      <c r="C868" s="20">
        <v>1000000001</v>
      </c>
      <c r="D868" s="20"/>
      <c r="E868" s="21" t="s">
        <v>72</v>
      </c>
      <c r="F868" s="643"/>
      <c r="G868" s="644"/>
      <c r="H868" s="485">
        <f>SUM(H866:H867)</f>
        <v>202728</v>
      </c>
      <c r="I868" s="431"/>
      <c r="J868" s="431"/>
      <c r="K868" s="431"/>
      <c r="L868" s="431"/>
      <c r="M868" s="431"/>
      <c r="N868" s="431">
        <f>AVERAGE(N865:N867)</f>
        <v>10820.174944404196</v>
      </c>
      <c r="O868" s="431">
        <f>AVERAGE(O865:O867)</f>
        <v>28730.274579269419</v>
      </c>
      <c r="P868" s="431"/>
      <c r="Q868" s="431"/>
      <c r="R868" s="431"/>
      <c r="S868" s="431">
        <f>SUM(S865:S867)</f>
        <v>55980</v>
      </c>
      <c r="T868" s="441">
        <f>S868/H868</f>
        <v>0.27613353853439093</v>
      </c>
      <c r="U868" s="440"/>
      <c r="V868" s="440"/>
      <c r="W868" s="442"/>
      <c r="X868" s="22"/>
      <c r="Y868" s="22"/>
      <c r="Z868" s="432">
        <f>SUM(Z866:Z867)</f>
        <v>0</v>
      </c>
      <c r="AA868" s="432"/>
      <c r="AB868" s="432"/>
      <c r="AC868" s="432"/>
      <c r="AD868" s="432"/>
    </row>
    <row r="869" spans="1:30" x14ac:dyDescent="0.3">
      <c r="A869" s="146"/>
      <c r="B869" s="146"/>
      <c r="C869" s="23"/>
      <c r="D869" s="14"/>
      <c r="E869" s="35"/>
      <c r="F869" s="641"/>
      <c r="G869" s="110"/>
      <c r="H869" s="487"/>
      <c r="I869" s="433"/>
      <c r="J869" s="433"/>
      <c r="K869" s="26"/>
      <c r="L869" s="27"/>
      <c r="M869" s="27"/>
      <c r="N869" s="434"/>
      <c r="O869" s="434"/>
      <c r="P869" s="434"/>
      <c r="Q869" s="69"/>
      <c r="R869" s="69"/>
      <c r="S869" s="69"/>
      <c r="T869" s="435"/>
      <c r="U869" s="435"/>
      <c r="V869" s="435"/>
      <c r="W869" s="436"/>
      <c r="X869" s="437"/>
      <c r="Y869" s="33"/>
      <c r="Z869" s="33"/>
      <c r="AA869" s="33"/>
      <c r="AB869" s="33"/>
      <c r="AC869" s="438"/>
      <c r="AD869" s="33"/>
    </row>
    <row r="870" spans="1:30" x14ac:dyDescent="0.3">
      <c r="A870" s="146">
        <v>44794.638888888891</v>
      </c>
      <c r="B870" s="146">
        <v>44814.75</v>
      </c>
      <c r="C870" s="50"/>
      <c r="D870" s="676"/>
      <c r="E870" s="35" t="s">
        <v>1115</v>
      </c>
      <c r="F870" s="641"/>
      <c r="G870" s="45" t="s">
        <v>91</v>
      </c>
      <c r="H870" s="487">
        <v>199614</v>
      </c>
      <c r="I870" s="433"/>
      <c r="J870" s="31">
        <v>199600</v>
      </c>
      <c r="K870" s="31">
        <f>H870-J870</f>
        <v>14</v>
      </c>
      <c r="L870" s="27">
        <f>B870-A870</f>
        <v>20.111111111109494</v>
      </c>
      <c r="M870" s="27">
        <f>[198]RANGIROA!$J$270</f>
        <v>6.9722222222262644</v>
      </c>
      <c r="N870" s="567">
        <f t="shared" ref="N870:N871" si="152">(H870)/L870</f>
        <v>9925.5580110505216</v>
      </c>
      <c r="O870" s="567">
        <f t="shared" ref="O870:O871" si="153">H870/M870</f>
        <v>28629.896414326031</v>
      </c>
      <c r="P870" s="434">
        <v>25000</v>
      </c>
      <c r="Q870" s="648">
        <f>156169+40000</f>
        <v>196169</v>
      </c>
      <c r="R870" s="648">
        <v>138989</v>
      </c>
      <c r="S870" s="648">
        <f t="shared" ref="S870:S871" si="154">Q870-R870</f>
        <v>57180</v>
      </c>
      <c r="T870" s="435">
        <f>S870/(H870)</f>
        <v>0.28645285400823589</v>
      </c>
      <c r="U870" s="435">
        <f>S870/(H870)</f>
        <v>0.28645285400823589</v>
      </c>
      <c r="V870" s="675"/>
      <c r="W870" s="443"/>
      <c r="X870" s="32"/>
      <c r="Y870" s="54"/>
      <c r="Z870" s="54"/>
      <c r="AA870" s="33"/>
      <c r="AB870" s="33"/>
      <c r="AC870" s="438"/>
      <c r="AD870" s="33"/>
    </row>
    <row r="871" spans="1:30" x14ac:dyDescent="0.3">
      <c r="A871" s="146">
        <v>44816.701388888891</v>
      </c>
      <c r="B871" s="146">
        <v>44832.451388888891</v>
      </c>
      <c r="C871" s="50"/>
      <c r="D871" s="50"/>
      <c r="E871" s="35" t="s">
        <v>1116</v>
      </c>
      <c r="F871" s="641"/>
      <c r="G871" s="45" t="s">
        <v>91</v>
      </c>
      <c r="H871" s="487">
        <v>204402</v>
      </c>
      <c r="I871" s="433"/>
      <c r="J871" s="433">
        <v>204400</v>
      </c>
      <c r="K871" s="31">
        <f>H871-J871</f>
        <v>2</v>
      </c>
      <c r="L871" s="27">
        <f>B871-A871</f>
        <v>15.75</v>
      </c>
      <c r="M871" s="27">
        <f>[198]CONQUISTADOR!$J$289</f>
        <v>7.1527777777955635</v>
      </c>
      <c r="N871" s="567">
        <f t="shared" si="152"/>
        <v>12977.904761904761</v>
      </c>
      <c r="O871" s="567">
        <f t="shared" si="153"/>
        <v>28576.590291191078</v>
      </c>
      <c r="P871" s="434">
        <v>25000</v>
      </c>
      <c r="Q871" s="648">
        <v>136289</v>
      </c>
      <c r="R871" s="648">
        <v>85726</v>
      </c>
      <c r="S871" s="648">
        <f t="shared" si="154"/>
        <v>50563</v>
      </c>
      <c r="T871" s="435">
        <f>S871/(H871)</f>
        <v>0.24737037798064598</v>
      </c>
      <c r="U871" s="435">
        <f>S871/(H871)</f>
        <v>0.24737037798064598</v>
      </c>
      <c r="V871" s="69"/>
      <c r="W871" s="443"/>
      <c r="X871" s="677"/>
      <c r="Y871" s="54"/>
      <c r="Z871" s="54"/>
      <c r="AA871" s="33"/>
      <c r="AB871" s="33"/>
      <c r="AC871" s="438"/>
      <c r="AD871" s="33"/>
    </row>
    <row r="872" spans="1:30" x14ac:dyDescent="0.3">
      <c r="A872" s="439"/>
      <c r="B872" s="439"/>
      <c r="C872" s="23"/>
      <c r="D872" s="23"/>
      <c r="E872" s="35"/>
      <c r="F872" s="641"/>
      <c r="G872" s="110"/>
      <c r="H872" s="487"/>
      <c r="I872" s="433"/>
      <c r="J872" s="433"/>
      <c r="K872" s="26"/>
      <c r="L872" s="27"/>
      <c r="M872" s="27"/>
      <c r="N872" s="434"/>
      <c r="O872" s="434"/>
      <c r="P872" s="434"/>
      <c r="Q872" s="69"/>
      <c r="R872" s="69"/>
      <c r="S872" s="69"/>
      <c r="T872" s="435"/>
      <c r="U872" s="435"/>
      <c r="V872" s="435"/>
      <c r="W872" s="436"/>
      <c r="X872" s="437"/>
      <c r="Y872" s="33"/>
      <c r="Z872" s="33"/>
      <c r="AA872" s="33"/>
      <c r="AB872" s="33"/>
      <c r="AC872" s="438"/>
      <c r="AD872" s="33"/>
    </row>
    <row r="873" spans="1:30" x14ac:dyDescent="0.3">
      <c r="A873" s="20"/>
      <c r="B873" s="20"/>
      <c r="C873" s="20">
        <v>1000000001</v>
      </c>
      <c r="D873" s="20"/>
      <c r="E873" s="21" t="s">
        <v>78</v>
      </c>
      <c r="F873" s="643"/>
      <c r="G873" s="644"/>
      <c r="H873" s="485">
        <f>SUM(H870:H872)</f>
        <v>404016</v>
      </c>
      <c r="I873" s="431"/>
      <c r="J873" s="431"/>
      <c r="K873" s="431"/>
      <c r="L873" s="431"/>
      <c r="M873" s="431"/>
      <c r="N873" s="431">
        <f>AVERAGE(N870:N872)</f>
        <v>11451.731386477641</v>
      </c>
      <c r="O873" s="431">
        <f>AVERAGE(O870:O872)</f>
        <v>28603.243352758553</v>
      </c>
      <c r="P873" s="431"/>
      <c r="Q873" s="431"/>
      <c r="R873" s="431"/>
      <c r="S873" s="431">
        <f>SUM(S869:S872)</f>
        <v>107743</v>
      </c>
      <c r="T873" s="441">
        <f>S873/H873</f>
        <v>0.26668003247396144</v>
      </c>
      <c r="U873" s="440"/>
      <c r="V873" s="440"/>
      <c r="W873" s="442"/>
      <c r="X873" s="22"/>
      <c r="Y873" s="22"/>
      <c r="Z873" s="432">
        <f>SUM(Z870:Z872)</f>
        <v>0</v>
      </c>
      <c r="AA873" s="432"/>
      <c r="AB873" s="432"/>
      <c r="AC873" s="432"/>
      <c r="AD873" s="432"/>
    </row>
    <row r="874" spans="1:30" x14ac:dyDescent="0.3">
      <c r="A874" s="146"/>
      <c r="B874" s="146"/>
      <c r="C874" s="23"/>
      <c r="D874" s="14"/>
      <c r="E874" s="35"/>
      <c r="F874" s="641"/>
      <c r="G874" s="110"/>
      <c r="H874" s="487"/>
      <c r="I874" s="433"/>
      <c r="J874" s="433"/>
      <c r="K874" s="26"/>
      <c r="L874" s="27"/>
      <c r="M874" s="27"/>
      <c r="N874" s="434"/>
      <c r="O874" s="434"/>
      <c r="P874" s="434"/>
      <c r="Q874" s="69"/>
      <c r="R874" s="69"/>
      <c r="S874" s="69"/>
      <c r="T874" s="435"/>
      <c r="U874" s="435"/>
      <c r="V874" s="435"/>
      <c r="W874" s="436"/>
      <c r="X874" s="437"/>
      <c r="Y874" s="33"/>
      <c r="Z874" s="33"/>
      <c r="AA874" s="33"/>
      <c r="AB874" s="33"/>
      <c r="AC874" s="438"/>
      <c r="AD874" s="33"/>
    </row>
    <row r="875" spans="1:30" x14ac:dyDescent="0.3">
      <c r="A875" s="146">
        <v>44832.826388888891</v>
      </c>
      <c r="B875" s="146">
        <v>44857.027777777781</v>
      </c>
      <c r="C875" s="50"/>
      <c r="D875" s="676"/>
      <c r="E875" s="35" t="s">
        <v>1118</v>
      </c>
      <c r="F875" s="641"/>
      <c r="G875" s="45" t="s">
        <v>91</v>
      </c>
      <c r="H875" s="487">
        <v>202503</v>
      </c>
      <c r="I875" s="433"/>
      <c r="J875" s="433">
        <v>202500</v>
      </c>
      <c r="K875" s="31">
        <f>H875-J875</f>
        <v>3</v>
      </c>
      <c r="L875" s="27">
        <f>B875-A875</f>
        <v>24.201388888890506</v>
      </c>
      <c r="M875" s="27">
        <f>[199]CANCUN!$J$327</f>
        <v>7.5520833333648625</v>
      </c>
      <c r="N875" s="567">
        <f t="shared" ref="N875" si="155">(H875)/L875</f>
        <v>8367.4123385934145</v>
      </c>
      <c r="O875" s="567">
        <f t="shared" ref="O875" si="156">H875/M875</f>
        <v>26814.19034471564</v>
      </c>
      <c r="P875" s="434">
        <v>25000</v>
      </c>
      <c r="Q875" s="648">
        <f>(85309+40000)</f>
        <v>125309</v>
      </c>
      <c r="R875" s="648">
        <v>56419</v>
      </c>
      <c r="S875" s="648">
        <f t="shared" ref="S875" si="157">Q875-R875</f>
        <v>68890</v>
      </c>
      <c r="T875" s="435">
        <f>S875/(H875)</f>
        <v>0.34019249097544235</v>
      </c>
      <c r="U875" s="435">
        <f>S875/(H875)</f>
        <v>0.34019249097544235</v>
      </c>
      <c r="V875" s="675"/>
      <c r="W875" s="443"/>
      <c r="X875" s="32"/>
      <c r="Y875" s="54"/>
      <c r="Z875" s="54"/>
      <c r="AA875" s="33"/>
      <c r="AB875" s="33"/>
      <c r="AC875" s="438"/>
      <c r="AD875" s="33"/>
    </row>
    <row r="876" spans="1:30" x14ac:dyDescent="0.3">
      <c r="A876" s="439"/>
      <c r="B876" s="439"/>
      <c r="C876" s="23"/>
      <c r="D876" s="23"/>
      <c r="E876" s="35"/>
      <c r="F876" s="641"/>
      <c r="G876" s="110"/>
      <c r="H876" s="487"/>
      <c r="I876" s="433"/>
      <c r="J876" s="433"/>
      <c r="K876" s="26"/>
      <c r="L876" s="27"/>
      <c r="M876" s="27"/>
      <c r="N876" s="434"/>
      <c r="O876" s="434"/>
      <c r="P876" s="434"/>
      <c r="Q876" s="69"/>
      <c r="R876" s="69"/>
      <c r="S876" s="69"/>
      <c r="T876" s="435"/>
      <c r="U876" s="435"/>
      <c r="V876" s="435"/>
      <c r="W876" s="436"/>
      <c r="X876" s="437"/>
      <c r="Y876" s="33"/>
      <c r="Z876" s="33"/>
      <c r="AA876" s="33"/>
      <c r="AB876" s="33"/>
      <c r="AC876" s="438"/>
      <c r="AD876" s="33"/>
    </row>
    <row r="877" spans="1:30" x14ac:dyDescent="0.3">
      <c r="A877" s="20"/>
      <c r="B877" s="20"/>
      <c r="C877" s="20">
        <v>1000000001</v>
      </c>
      <c r="D877" s="20"/>
      <c r="E877" s="21" t="s">
        <v>84</v>
      </c>
      <c r="F877" s="643"/>
      <c r="G877" s="644"/>
      <c r="H877" s="485">
        <f>SUM(H874:H876)</f>
        <v>202503</v>
      </c>
      <c r="I877" s="431"/>
      <c r="J877" s="431"/>
      <c r="K877" s="431"/>
      <c r="L877" s="431"/>
      <c r="M877" s="431"/>
      <c r="N877" s="431">
        <f>AVERAGE(N874:N876)</f>
        <v>8367.4123385934145</v>
      </c>
      <c r="O877" s="431">
        <f>AVERAGE(O874:O876)</f>
        <v>26814.19034471564</v>
      </c>
      <c r="P877" s="431"/>
      <c r="Q877" s="431"/>
      <c r="R877" s="431"/>
      <c r="S877" s="431">
        <f>SUM(S875:S876)</f>
        <v>68890</v>
      </c>
      <c r="T877" s="441">
        <f>S877/H877</f>
        <v>0.34019249097544235</v>
      </c>
      <c r="U877" s="440"/>
      <c r="V877" s="440"/>
      <c r="W877" s="442"/>
      <c r="X877" s="22"/>
      <c r="Y877" s="22"/>
      <c r="Z877" s="432">
        <f>SUM(Z875:Z875)</f>
        <v>0</v>
      </c>
      <c r="AA877" s="432"/>
      <c r="AB877" s="432"/>
      <c r="AC877" s="432"/>
      <c r="AD877" s="432"/>
    </row>
    <row r="878" spans="1:30" x14ac:dyDescent="0.3">
      <c r="E878" s="39"/>
      <c r="F878" s="642"/>
      <c r="G878" s="171"/>
      <c r="H878" s="619"/>
      <c r="AC878" s="3"/>
      <c r="AD878" s="3"/>
    </row>
    <row r="879" spans="1:30" x14ac:dyDescent="0.3">
      <c r="A879" s="146">
        <v>44859.798611111109</v>
      </c>
      <c r="B879" s="146">
        <v>44876.024305555555</v>
      </c>
      <c r="E879" s="35" t="s">
        <v>1114</v>
      </c>
      <c r="F879" s="641"/>
      <c r="G879" s="45" t="s">
        <v>91</v>
      </c>
      <c r="H879" s="487">
        <v>203701</v>
      </c>
      <c r="I879" s="433"/>
      <c r="J879" s="433">
        <v>203650</v>
      </c>
      <c r="K879" s="31">
        <f>H879-J879</f>
        <v>51</v>
      </c>
      <c r="L879" s="27">
        <f>B879-A879</f>
        <v>16.225694444445253</v>
      </c>
      <c r="M879" s="565">
        <f>'[200]PINK SANDS'!$J$313</f>
        <v>6.9722222222117125</v>
      </c>
      <c r="N879" s="567">
        <f t="shared" ref="N879:N880" si="158">(H879)/L879</f>
        <v>12554.223839074915</v>
      </c>
      <c r="O879" s="567">
        <f t="shared" ref="O879:O880" si="159">H879/M879</f>
        <v>29216.079681318941</v>
      </c>
      <c r="P879" s="434">
        <v>25000</v>
      </c>
      <c r="Q879" s="648">
        <f>(101331+40000)</f>
        <v>141331</v>
      </c>
      <c r="R879" s="648">
        <v>43131</v>
      </c>
      <c r="S879" s="648">
        <f t="shared" ref="S879:S880" si="160">Q879-R879</f>
        <v>98200</v>
      </c>
      <c r="T879" s="435">
        <f>S879/(H879)</f>
        <v>0.48207912577748757</v>
      </c>
      <c r="U879" s="435">
        <f>S879/(H879)</f>
        <v>0.48207912577748757</v>
      </c>
      <c r="AC879" s="3"/>
      <c r="AD879" s="3"/>
    </row>
    <row r="880" spans="1:30" x14ac:dyDescent="0.3">
      <c r="A880" s="146">
        <v>44878.65625</v>
      </c>
      <c r="B880" s="146">
        <v>44893.854166666664</v>
      </c>
      <c r="E880" s="35" t="s">
        <v>1113</v>
      </c>
      <c r="F880" s="642"/>
      <c r="G880" s="171" t="s">
        <v>91</v>
      </c>
      <c r="H880" s="487">
        <v>202250</v>
      </c>
      <c r="J880" s="1">
        <v>203650</v>
      </c>
      <c r="K880" s="31">
        <f>H880-J880</f>
        <v>-1400</v>
      </c>
      <c r="L880" s="27">
        <f>B880-A880</f>
        <v>15.197916666664241</v>
      </c>
      <c r="M880" s="565">
        <f>[200]JUDD!$J$280</f>
        <v>7.4340277778173913</v>
      </c>
      <c r="N880" s="567">
        <f t="shared" si="158"/>
        <v>13307.745030845166</v>
      </c>
      <c r="O880" s="567">
        <f t="shared" si="159"/>
        <v>27205.978514567778</v>
      </c>
      <c r="P880" s="434">
        <v>25000</v>
      </c>
      <c r="Q880" s="648">
        <v>119291</v>
      </c>
      <c r="R880" s="648">
        <v>61461</v>
      </c>
      <c r="S880" s="648">
        <f t="shared" si="160"/>
        <v>57830</v>
      </c>
      <c r="T880" s="435">
        <f>S880/(H880)</f>
        <v>0.28593325092707045</v>
      </c>
      <c r="U880" s="435">
        <f>S880/(H880)</f>
        <v>0.28593325092707045</v>
      </c>
      <c r="AC880" s="3"/>
      <c r="AD880" s="3"/>
    </row>
    <row r="881" spans="1:30" x14ac:dyDescent="0.3">
      <c r="A881" s="439"/>
      <c r="B881" s="439"/>
      <c r="C881" s="23"/>
      <c r="D881" s="23"/>
      <c r="E881" s="35"/>
      <c r="F881" s="641"/>
      <c r="G881" s="110"/>
      <c r="H881" s="487"/>
      <c r="I881" s="433"/>
      <c r="J881" s="433"/>
      <c r="K881" s="26"/>
      <c r="L881" s="27"/>
      <c r="M881" s="27"/>
      <c r="N881" s="434"/>
      <c r="O881" s="434"/>
      <c r="P881" s="434"/>
      <c r="Q881" s="69"/>
      <c r="R881" s="69"/>
      <c r="S881" s="69"/>
      <c r="T881" s="435"/>
      <c r="U881" s="435"/>
      <c r="V881" s="435"/>
      <c r="W881" s="436"/>
      <c r="X881" s="437"/>
      <c r="Y881" s="33"/>
      <c r="Z881" s="33"/>
      <c r="AA881" s="33"/>
      <c r="AB881" s="33"/>
      <c r="AC881" s="438"/>
      <c r="AD881" s="33"/>
    </row>
    <row r="882" spans="1:30" x14ac:dyDescent="0.3">
      <c r="A882" s="20"/>
      <c r="B882" s="20"/>
      <c r="C882" s="20">
        <v>1000000001</v>
      </c>
      <c r="D882" s="20"/>
      <c r="E882" s="21" t="s">
        <v>89</v>
      </c>
      <c r="F882" s="643"/>
      <c r="G882" s="644"/>
      <c r="H882" s="485">
        <f>SUM(H878:H881)</f>
        <v>405951</v>
      </c>
      <c r="I882" s="431"/>
      <c r="J882" s="431"/>
      <c r="K882" s="431"/>
      <c r="L882" s="431"/>
      <c r="M882" s="431"/>
      <c r="N882" s="431">
        <f>AVERAGE(N878:N881)</f>
        <v>12930.984434960041</v>
      </c>
      <c r="O882" s="431">
        <f>AVERAGE(O878:O881)</f>
        <v>28211.029097943359</v>
      </c>
      <c r="P882" s="431"/>
      <c r="Q882" s="431"/>
      <c r="R882" s="431"/>
      <c r="S882" s="431">
        <f>SUM(S878:S881)</f>
        <v>156030</v>
      </c>
      <c r="T882" s="441">
        <f>S882/H882</f>
        <v>0.38435673270912007</v>
      </c>
      <c r="U882" s="440"/>
      <c r="V882" s="440"/>
      <c r="W882" s="442"/>
      <c r="X882" s="22"/>
      <c r="Y882" s="22"/>
      <c r="Z882" s="432">
        <v>360000</v>
      </c>
      <c r="AA882" s="432"/>
      <c r="AB882" s="432"/>
      <c r="AC882" s="432"/>
      <c r="AD882" s="432"/>
    </row>
    <row r="883" spans="1:30" x14ac:dyDescent="0.3">
      <c r="A883" s="439"/>
      <c r="B883" s="439"/>
      <c r="C883" s="23"/>
      <c r="D883" s="23"/>
      <c r="F883" s="646"/>
      <c r="G883" s="171"/>
      <c r="H883" s="171"/>
      <c r="I883"/>
      <c r="J883"/>
      <c r="K883"/>
      <c r="L883" s="27"/>
      <c r="M883" s="27"/>
      <c r="N883" s="434"/>
      <c r="O883" s="434"/>
      <c r="P883" s="434"/>
      <c r="Q883" s="69"/>
      <c r="R883" s="69"/>
      <c r="S883" s="69"/>
      <c r="T883" s="435"/>
      <c r="U883" s="435"/>
      <c r="V883" s="435"/>
      <c r="W883" s="436"/>
      <c r="X883" s="437"/>
      <c r="Y883" s="33"/>
      <c r="Z883" s="33"/>
      <c r="AA883" s="33"/>
      <c r="AB883" s="33"/>
      <c r="AC883" s="438"/>
      <c r="AD883" s="33"/>
    </row>
    <row r="884" spans="1:30" x14ac:dyDescent="0.3">
      <c r="A884" s="146">
        <v>44895.090277777781</v>
      </c>
      <c r="B884" s="146">
        <v>44915.3125</v>
      </c>
      <c r="C884" s="23"/>
      <c r="D884" s="23"/>
      <c r="E884" s="35" t="s">
        <v>1112</v>
      </c>
      <c r="F884" s="641"/>
      <c r="G884" s="45" t="s">
        <v>91</v>
      </c>
      <c r="H884" s="487">
        <v>202241</v>
      </c>
      <c r="I884" s="433"/>
      <c r="J884" s="433">
        <v>202241</v>
      </c>
      <c r="K884" s="26">
        <f>H884-J884</f>
        <v>0</v>
      </c>
      <c r="L884" s="27">
        <f>B884-A884</f>
        <v>20.222222222218988</v>
      </c>
      <c r="M884" s="565">
        <f>[201]FAKARAVA!$J$284</f>
        <v>6.6041666666351375</v>
      </c>
      <c r="N884" s="567">
        <f t="shared" ref="N884:N885" si="161">(H884)/L884</f>
        <v>10000.928571430171</v>
      </c>
      <c r="O884" s="567">
        <f t="shared" ref="O884:O885" si="162">H884/M884</f>
        <v>30623.242902354403</v>
      </c>
      <c r="P884" s="434">
        <v>25000</v>
      </c>
      <c r="Q884" s="648">
        <v>127731</v>
      </c>
      <c r="R884" s="648">
        <v>53922</v>
      </c>
      <c r="S884" s="648">
        <f t="shared" ref="S884:S885" si="163">Q884-R884</f>
        <v>73809</v>
      </c>
      <c r="T884" s="435">
        <f>S884/(H884)</f>
        <v>0.36495567169861698</v>
      </c>
      <c r="U884" s="435">
        <f>S884/(H884)</f>
        <v>0.36495567169861698</v>
      </c>
      <c r="V884" s="435"/>
      <c r="W884" s="436"/>
      <c r="X884" s="437"/>
      <c r="Y884" s="33"/>
      <c r="Z884" s="33"/>
      <c r="AA884" s="33"/>
      <c r="AB884" s="33"/>
      <c r="AC884" s="438"/>
      <c r="AD884" s="33"/>
    </row>
    <row r="885" spans="1:30" x14ac:dyDescent="0.3">
      <c r="A885" s="146">
        <v>44918.034722222219</v>
      </c>
      <c r="B885" s="146">
        <v>44925.993055555555</v>
      </c>
      <c r="C885" s="23"/>
      <c r="D885" s="23"/>
      <c r="E885" s="35" t="s">
        <v>1117</v>
      </c>
      <c r="F885" s="641"/>
      <c r="G885" s="45" t="s">
        <v>91</v>
      </c>
      <c r="H885" s="487">
        <v>53849</v>
      </c>
      <c r="I885" s="433"/>
      <c r="J885" s="433">
        <v>201900</v>
      </c>
      <c r="K885" s="26">
        <f>H885-J885</f>
        <v>-148051</v>
      </c>
      <c r="L885" s="27">
        <f>B885-A885</f>
        <v>7.9583333333357587</v>
      </c>
      <c r="M885" s="565">
        <f>[201]MARINI!$J$92</f>
        <v>1.7743055555474712</v>
      </c>
      <c r="N885" s="567">
        <f t="shared" si="161"/>
        <v>6766.3664921445352</v>
      </c>
      <c r="O885" s="567">
        <f t="shared" si="162"/>
        <v>30349.338551997382</v>
      </c>
      <c r="P885" s="434">
        <v>25000</v>
      </c>
      <c r="Q885" s="648">
        <v>94123</v>
      </c>
      <c r="R885" s="648">
        <v>68823</v>
      </c>
      <c r="S885" s="648">
        <f t="shared" si="163"/>
        <v>25300</v>
      </c>
      <c r="T885" s="435">
        <f>S885/(H885)</f>
        <v>0.46983230886367433</v>
      </c>
      <c r="U885" s="435">
        <f>S885/(H885)</f>
        <v>0.46983230886367433</v>
      </c>
      <c r="V885" s="435"/>
      <c r="W885" s="436"/>
      <c r="X885" s="437"/>
      <c r="Y885" s="33"/>
      <c r="Z885" s="33"/>
      <c r="AA885" s="33"/>
      <c r="AB885" s="33"/>
      <c r="AC885" s="438"/>
      <c r="AD885" s="33"/>
    </row>
    <row r="886" spans="1:30" x14ac:dyDescent="0.3">
      <c r="F886" s="646"/>
      <c r="G886" s="171"/>
      <c r="H886" s="647"/>
      <c r="AC886" s="3"/>
      <c r="AD886" s="3"/>
    </row>
    <row r="887" spans="1:30" x14ac:dyDescent="0.3">
      <c r="A887" s="20"/>
      <c r="B887" s="20"/>
      <c r="C887" s="20">
        <v>1000000001</v>
      </c>
      <c r="D887" s="20"/>
      <c r="E887" s="21" t="s">
        <v>95</v>
      </c>
      <c r="F887" s="643"/>
      <c r="G887" s="644"/>
      <c r="H887" s="485">
        <f>SUM(H883:H886)</f>
        <v>256090</v>
      </c>
      <c r="I887" s="431"/>
      <c r="J887" s="431"/>
      <c r="K887" s="431"/>
      <c r="L887" s="431"/>
      <c r="M887" s="431"/>
      <c r="N887" s="431">
        <f>AVERAGE(N883:N886)</f>
        <v>8383.6475317873537</v>
      </c>
      <c r="O887" s="431">
        <f>AVERAGE(O883:O886)</f>
        <v>30486.290727175892</v>
      </c>
      <c r="P887" s="431"/>
      <c r="Q887" s="431"/>
      <c r="R887" s="431"/>
      <c r="S887" s="431">
        <f>SUM(S883:S886)</f>
        <v>99109</v>
      </c>
      <c r="T887" s="441">
        <f>S887/H887</f>
        <v>0.38700847358350582</v>
      </c>
      <c r="U887" s="440"/>
      <c r="V887" s="440"/>
      <c r="W887" s="442"/>
      <c r="X887" s="22"/>
      <c r="Y887" s="22"/>
      <c r="Z887" s="432">
        <v>360000</v>
      </c>
      <c r="AA887" s="432"/>
      <c r="AB887" s="432"/>
      <c r="AC887" s="432"/>
      <c r="AD887" s="432"/>
    </row>
  </sheetData>
  <autoFilter ref="A7:AC141" xr:uid="{F6CA0ADE-335D-4D68-BF0B-0D6AE57D79DE}"/>
  <mergeCells count="147">
    <mergeCell ref="S60:S61"/>
    <mergeCell ref="T60:T61"/>
    <mergeCell ref="M60:M61"/>
    <mergeCell ref="AB60:AB61"/>
    <mergeCell ref="U18:U19"/>
    <mergeCell ref="U37:U38"/>
    <mergeCell ref="U50:U51"/>
    <mergeCell ref="U60:U61"/>
    <mergeCell ref="T18:T19"/>
    <mergeCell ref="AB37:AB38"/>
    <mergeCell ref="AB50:AB51"/>
    <mergeCell ref="AB25:AB26"/>
    <mergeCell ref="T50:T51"/>
    <mergeCell ref="T37:T38"/>
    <mergeCell ref="T16:T17"/>
    <mergeCell ref="N18:N19"/>
    <mergeCell ref="U16:U17"/>
    <mergeCell ref="R18:R19"/>
    <mergeCell ref="Q18:Q19"/>
    <mergeCell ref="S18:S19"/>
    <mergeCell ref="M18:M19"/>
    <mergeCell ref="O18:O19"/>
    <mergeCell ref="L16:L17"/>
    <mergeCell ref="M16:M17"/>
    <mergeCell ref="N16:N17"/>
    <mergeCell ref="O16:O17"/>
    <mergeCell ref="P16:P17"/>
    <mergeCell ref="L18:L19"/>
    <mergeCell ref="P18:P19"/>
    <mergeCell ref="AB16:AB17"/>
    <mergeCell ref="Q16:Q17"/>
    <mergeCell ref="R16:R17"/>
    <mergeCell ref="S16:S17"/>
    <mergeCell ref="A25:A26"/>
    <mergeCell ref="A16:A17"/>
    <mergeCell ref="B16:B17"/>
    <mergeCell ref="B37:B38"/>
    <mergeCell ref="B18:B19"/>
    <mergeCell ref="A37:A38"/>
    <mergeCell ref="B25:B26"/>
    <mergeCell ref="A18:A19"/>
    <mergeCell ref="I37:I38"/>
    <mergeCell ref="D16:D17"/>
    <mergeCell ref="D18:D19"/>
    <mergeCell ref="D25:D26"/>
    <mergeCell ref="F16:F17"/>
    <mergeCell ref="G16:G17"/>
    <mergeCell ref="I16:I17"/>
    <mergeCell ref="J16:J17"/>
    <mergeCell ref="I18:I19"/>
    <mergeCell ref="J18:J19"/>
    <mergeCell ref="K18:K19"/>
    <mergeCell ref="K16:K17"/>
    <mergeCell ref="M50:M51"/>
    <mergeCell ref="R37:R38"/>
    <mergeCell ref="S37:S38"/>
    <mergeCell ref="Q37:Q38"/>
    <mergeCell ref="D50:D51"/>
    <mergeCell ref="J37:J38"/>
    <mergeCell ref="K37:K38"/>
    <mergeCell ref="D37:D38"/>
    <mergeCell ref="L37:L38"/>
    <mergeCell ref="N50:N51"/>
    <mergeCell ref="O50:O51"/>
    <mergeCell ref="N37:N38"/>
    <mergeCell ref="O37:O38"/>
    <mergeCell ref="K50:K51"/>
    <mergeCell ref="P50:P51"/>
    <mergeCell ref="Q50:Q51"/>
    <mergeCell ref="M37:M38"/>
    <mergeCell ref="S50:S51"/>
    <mergeCell ref="P37:P38"/>
    <mergeCell ref="R50:R51"/>
    <mergeCell ref="A60:A61"/>
    <mergeCell ref="B60:B61"/>
    <mergeCell ref="I60:I61"/>
    <mergeCell ref="J60:J61"/>
    <mergeCell ref="K60:K61"/>
    <mergeCell ref="L60:L61"/>
    <mergeCell ref="A50:A51"/>
    <mergeCell ref="A74:A75"/>
    <mergeCell ref="B74:B75"/>
    <mergeCell ref="D74:D75"/>
    <mergeCell ref="E74:E75"/>
    <mergeCell ref="F74:F75"/>
    <mergeCell ref="G74:G75"/>
    <mergeCell ref="D60:D61"/>
    <mergeCell ref="B50:B51"/>
    <mergeCell ref="I50:I51"/>
    <mergeCell ref="J50:J51"/>
    <mergeCell ref="L50:L51"/>
    <mergeCell ref="N60:N61"/>
    <mergeCell ref="O60:O61"/>
    <mergeCell ref="P60:P61"/>
    <mergeCell ref="Q60:Q61"/>
    <mergeCell ref="R60:R61"/>
    <mergeCell ref="F133:F135"/>
    <mergeCell ref="F93:F94"/>
    <mergeCell ref="F96:F97"/>
    <mergeCell ref="F98:F99"/>
    <mergeCell ref="F111:F112"/>
    <mergeCell ref="F114:F115"/>
    <mergeCell ref="F117:F118"/>
    <mergeCell ref="F123:F124"/>
    <mergeCell ref="G123:G124"/>
    <mergeCell ref="F125:F126"/>
    <mergeCell ref="G93:G94"/>
    <mergeCell ref="G96:G97"/>
    <mergeCell ref="G98:G99"/>
    <mergeCell ref="G111:G112"/>
    <mergeCell ref="G114:G115"/>
    <mergeCell ref="G117:G118"/>
    <mergeCell ref="G125:G126"/>
    <mergeCell ref="J150:J151"/>
    <mergeCell ref="I150:I151"/>
    <mergeCell ref="K150:K151"/>
    <mergeCell ref="AB74:AB75"/>
    <mergeCell ref="U74:U75"/>
    <mergeCell ref="O74:O75"/>
    <mergeCell ref="P74:P75"/>
    <mergeCell ref="Q74:Q75"/>
    <mergeCell ref="R74:R75"/>
    <mergeCell ref="S74:S75"/>
    <mergeCell ref="T74:T75"/>
    <mergeCell ref="I74:I75"/>
    <mergeCell ref="J74:J75"/>
    <mergeCell ref="K74:K75"/>
    <mergeCell ref="L74:L75"/>
    <mergeCell ref="M74:M75"/>
    <mergeCell ref="N74:N75"/>
    <mergeCell ref="I94:X94"/>
    <mergeCell ref="I97:X97"/>
    <mergeCell ref="I99:X99"/>
    <mergeCell ref="E837:AD837"/>
    <mergeCell ref="E559:AC559"/>
    <mergeCell ref="E563:AC563"/>
    <mergeCell ref="A822:Z822"/>
    <mergeCell ref="D232:D235"/>
    <mergeCell ref="AB232:AB235"/>
    <mergeCell ref="D246:D247"/>
    <mergeCell ref="AB246:AB247"/>
    <mergeCell ref="D191:D192"/>
    <mergeCell ref="AB191:AB192"/>
    <mergeCell ref="D200:D202"/>
    <mergeCell ref="AB200:AB202"/>
    <mergeCell ref="D219:D221"/>
    <mergeCell ref="AB219:AB221"/>
  </mergeCells>
  <pageMargins left="0.70866141732283505" right="0.70866141732283505" top="0.74803149606299202" bottom="0.74803149606299202" header="0.31496062992126" footer="0.31496062992126"/>
  <pageSetup scale="28"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CBE6-CDF8-4809-B2FB-88C51E3719B2}">
  <sheetPr>
    <tabColor theme="3"/>
    <pageSetUpPr fitToPage="1"/>
  </sheetPr>
  <dimension ref="A1:AE356"/>
  <sheetViews>
    <sheetView tabSelected="1" zoomScale="70" zoomScaleNormal="70" workbookViewId="0">
      <pane ySplit="1" topLeftCell="A278" activePane="bottomLeft" state="frozen"/>
      <selection activeCell="E1" sqref="E1"/>
      <selection pane="bottomLeft" activeCell="B23" sqref="B23"/>
    </sheetView>
  </sheetViews>
  <sheetFormatPr defaultRowHeight="14.4" x14ac:dyDescent="0.3"/>
  <cols>
    <col min="1" max="1" width="18.109375" style="688" customWidth="1"/>
    <col min="2" max="2" width="15.5546875" style="688" bestFit="1" customWidth="1"/>
    <col min="3" max="4" width="15.5546875" hidden="1" customWidth="1"/>
    <col min="5" max="5" width="22.5546875" bestFit="1" customWidth="1"/>
    <col min="6" max="6" width="9.109375" customWidth="1"/>
    <col min="7" max="8" width="10.6640625" style="1" customWidth="1"/>
    <col min="9" max="9" width="10.88671875" style="1" customWidth="1"/>
    <col min="10" max="10" width="9.5546875" style="1" customWidth="1"/>
    <col min="11" max="11" width="10.44140625" style="1" customWidth="1"/>
    <col min="12" max="12" width="9.109375" style="1" customWidth="1"/>
    <col min="13" max="13" width="10.44140625" style="1" customWidth="1"/>
    <col min="14" max="14" width="11.33203125" style="1" bestFit="1" customWidth="1"/>
    <col min="15" max="16" width="10" style="1" customWidth="1"/>
    <col min="17" max="17" width="9.5546875" style="1" customWidth="1"/>
    <col min="18" max="20" width="12.44140625" style="1" customWidth="1"/>
    <col min="21" max="21" width="12.44140625" style="1" hidden="1" customWidth="1"/>
    <col min="22" max="22" width="11.88671875" style="1" customWidth="1"/>
    <col min="23" max="23" width="13.109375" customWidth="1"/>
    <col min="24" max="24" width="9.33203125" customWidth="1"/>
    <col min="25" max="25" width="12.5546875" style="3" customWidth="1"/>
    <col min="26" max="26" width="11.6640625" style="3" bestFit="1" customWidth="1"/>
    <col min="27" max="27" width="13.44140625" style="3" customWidth="1"/>
    <col min="28" max="28" width="14.109375" style="3" customWidth="1"/>
    <col min="29" max="29" width="10.77734375" customWidth="1"/>
    <col min="30" max="30" width="11.5546875" bestFit="1" customWidth="1"/>
    <col min="31" max="31" width="10.44140625" bestFit="1" customWidth="1"/>
    <col min="32" max="32" width="12.33203125" bestFit="1" customWidth="1"/>
    <col min="257" max="257" width="18.109375" customWidth="1"/>
    <col min="258" max="258" width="15.5546875" bestFit="1" customWidth="1"/>
    <col min="259" max="260" width="0" hidden="1" customWidth="1"/>
    <col min="261" max="261" width="22.5546875" bestFit="1" customWidth="1"/>
    <col min="263" max="264" width="10.6640625" customWidth="1"/>
    <col min="265" max="265" width="10.88671875" customWidth="1"/>
    <col min="266" max="266" width="9.5546875" customWidth="1"/>
    <col min="267" max="267" width="10.44140625" customWidth="1"/>
    <col min="269" max="269" width="10.44140625" customWidth="1"/>
    <col min="270" max="270" width="11.33203125" bestFit="1" customWidth="1"/>
    <col min="271" max="271" width="10" customWidth="1"/>
    <col min="272" max="273" width="8.109375" customWidth="1"/>
    <col min="274" max="276" width="12.44140625" customWidth="1"/>
    <col min="277" max="277" width="0" hidden="1" customWidth="1"/>
    <col min="278" max="278" width="11.88671875" customWidth="1"/>
    <col min="279" max="279" width="13.109375" customWidth="1"/>
    <col min="280" max="280" width="9.33203125" customWidth="1"/>
    <col min="281" max="281" width="12.5546875" customWidth="1"/>
    <col min="282" max="282" width="11.6640625" bestFit="1" customWidth="1"/>
    <col min="283" max="283" width="13.44140625" customWidth="1"/>
    <col min="284" max="284" width="14.109375" customWidth="1"/>
    <col min="286" max="286" width="11.5546875" bestFit="1" customWidth="1"/>
    <col min="287" max="287" width="10.44140625" bestFit="1" customWidth="1"/>
    <col min="288" max="288" width="12.33203125" bestFit="1" customWidth="1"/>
    <col min="513" max="513" width="18.109375" customWidth="1"/>
    <col min="514" max="514" width="15.5546875" bestFit="1" customWidth="1"/>
    <col min="515" max="516" width="0" hidden="1" customWidth="1"/>
    <col min="517" max="517" width="22.5546875" bestFit="1" customWidth="1"/>
    <col min="519" max="520" width="10.6640625" customWidth="1"/>
    <col min="521" max="521" width="10.88671875" customWidth="1"/>
    <col min="522" max="522" width="9.5546875" customWidth="1"/>
    <col min="523" max="523" width="10.44140625" customWidth="1"/>
    <col min="525" max="525" width="10.44140625" customWidth="1"/>
    <col min="526" max="526" width="11.33203125" bestFit="1" customWidth="1"/>
    <col min="527" max="527" width="10" customWidth="1"/>
    <col min="528" max="529" width="8.109375" customWidth="1"/>
    <col min="530" max="532" width="12.44140625" customWidth="1"/>
    <col min="533" max="533" width="0" hidden="1" customWidth="1"/>
    <col min="534" max="534" width="11.88671875" customWidth="1"/>
    <col min="535" max="535" width="13.109375" customWidth="1"/>
    <col min="536" max="536" width="9.33203125" customWidth="1"/>
    <col min="537" max="537" width="12.5546875" customWidth="1"/>
    <col min="538" max="538" width="11.6640625" bestFit="1" customWidth="1"/>
    <col min="539" max="539" width="13.44140625" customWidth="1"/>
    <col min="540" max="540" width="14.109375" customWidth="1"/>
    <col min="542" max="542" width="11.5546875" bestFit="1" customWidth="1"/>
    <col min="543" max="543" width="10.44140625" bestFit="1" customWidth="1"/>
    <col min="544" max="544" width="12.33203125" bestFit="1" customWidth="1"/>
    <col min="769" max="769" width="18.109375" customWidth="1"/>
    <col min="770" max="770" width="15.5546875" bestFit="1" customWidth="1"/>
    <col min="771" max="772" width="0" hidden="1" customWidth="1"/>
    <col min="773" max="773" width="22.5546875" bestFit="1" customWidth="1"/>
    <col min="775" max="776" width="10.6640625" customWidth="1"/>
    <col min="777" max="777" width="10.88671875" customWidth="1"/>
    <col min="778" max="778" width="9.5546875" customWidth="1"/>
    <col min="779" max="779" width="10.44140625" customWidth="1"/>
    <col min="781" max="781" width="10.44140625" customWidth="1"/>
    <col min="782" max="782" width="11.33203125" bestFit="1" customWidth="1"/>
    <col min="783" max="783" width="10" customWidth="1"/>
    <col min="784" max="785" width="8.109375" customWidth="1"/>
    <col min="786" max="788" width="12.44140625" customWidth="1"/>
    <col min="789" max="789" width="0" hidden="1" customWidth="1"/>
    <col min="790" max="790" width="11.88671875" customWidth="1"/>
    <col min="791" max="791" width="13.109375" customWidth="1"/>
    <col min="792" max="792" width="9.33203125" customWidth="1"/>
    <col min="793" max="793" width="12.5546875" customWidth="1"/>
    <col min="794" max="794" width="11.6640625" bestFit="1" customWidth="1"/>
    <col min="795" max="795" width="13.44140625" customWidth="1"/>
    <col min="796" max="796" width="14.109375" customWidth="1"/>
    <col min="798" max="798" width="11.5546875" bestFit="1" customWidth="1"/>
    <col min="799" max="799" width="10.44140625" bestFit="1" customWidth="1"/>
    <col min="800" max="800" width="12.33203125" bestFit="1" customWidth="1"/>
    <col min="1025" max="1025" width="18.109375" customWidth="1"/>
    <col min="1026" max="1026" width="15.5546875" bestFit="1" customWidth="1"/>
    <col min="1027" max="1028" width="0" hidden="1" customWidth="1"/>
    <col min="1029" max="1029" width="22.5546875" bestFit="1" customWidth="1"/>
    <col min="1031" max="1032" width="10.6640625" customWidth="1"/>
    <col min="1033" max="1033" width="10.88671875" customWidth="1"/>
    <col min="1034" max="1034" width="9.5546875" customWidth="1"/>
    <col min="1035" max="1035" width="10.44140625" customWidth="1"/>
    <col min="1037" max="1037" width="10.44140625" customWidth="1"/>
    <col min="1038" max="1038" width="11.33203125" bestFit="1" customWidth="1"/>
    <col min="1039" max="1039" width="10" customWidth="1"/>
    <col min="1040" max="1041" width="8.109375" customWidth="1"/>
    <col min="1042" max="1044" width="12.44140625" customWidth="1"/>
    <col min="1045" max="1045" width="0" hidden="1" customWidth="1"/>
    <col min="1046" max="1046" width="11.88671875" customWidth="1"/>
    <col min="1047" max="1047" width="13.109375" customWidth="1"/>
    <col min="1048" max="1048" width="9.33203125" customWidth="1"/>
    <col min="1049" max="1049" width="12.5546875" customWidth="1"/>
    <col min="1050" max="1050" width="11.6640625" bestFit="1" customWidth="1"/>
    <col min="1051" max="1051" width="13.44140625" customWidth="1"/>
    <col min="1052" max="1052" width="14.109375" customWidth="1"/>
    <col min="1054" max="1054" width="11.5546875" bestFit="1" customWidth="1"/>
    <col min="1055" max="1055" width="10.44140625" bestFit="1" customWidth="1"/>
    <col min="1056" max="1056" width="12.33203125" bestFit="1" customWidth="1"/>
    <col min="1281" max="1281" width="18.109375" customWidth="1"/>
    <col min="1282" max="1282" width="15.5546875" bestFit="1" customWidth="1"/>
    <col min="1283" max="1284" width="0" hidden="1" customWidth="1"/>
    <col min="1285" max="1285" width="22.5546875" bestFit="1" customWidth="1"/>
    <col min="1287" max="1288" width="10.6640625" customWidth="1"/>
    <col min="1289" max="1289" width="10.88671875" customWidth="1"/>
    <col min="1290" max="1290" width="9.5546875" customWidth="1"/>
    <col min="1291" max="1291" width="10.44140625" customWidth="1"/>
    <col min="1293" max="1293" width="10.44140625" customWidth="1"/>
    <col min="1294" max="1294" width="11.33203125" bestFit="1" customWidth="1"/>
    <col min="1295" max="1295" width="10" customWidth="1"/>
    <col min="1296" max="1297" width="8.109375" customWidth="1"/>
    <col min="1298" max="1300" width="12.44140625" customWidth="1"/>
    <col min="1301" max="1301" width="0" hidden="1" customWidth="1"/>
    <col min="1302" max="1302" width="11.88671875" customWidth="1"/>
    <col min="1303" max="1303" width="13.109375" customWidth="1"/>
    <col min="1304" max="1304" width="9.33203125" customWidth="1"/>
    <col min="1305" max="1305" width="12.5546875" customWidth="1"/>
    <col min="1306" max="1306" width="11.6640625" bestFit="1" customWidth="1"/>
    <col min="1307" max="1307" width="13.44140625" customWidth="1"/>
    <col min="1308" max="1308" width="14.109375" customWidth="1"/>
    <col min="1310" max="1310" width="11.5546875" bestFit="1" customWidth="1"/>
    <col min="1311" max="1311" width="10.44140625" bestFit="1" customWidth="1"/>
    <col min="1312" max="1312" width="12.33203125" bestFit="1" customWidth="1"/>
    <col min="1537" max="1537" width="18.109375" customWidth="1"/>
    <col min="1538" max="1538" width="15.5546875" bestFit="1" customWidth="1"/>
    <col min="1539" max="1540" width="0" hidden="1" customWidth="1"/>
    <col min="1541" max="1541" width="22.5546875" bestFit="1" customWidth="1"/>
    <col min="1543" max="1544" width="10.6640625" customWidth="1"/>
    <col min="1545" max="1545" width="10.88671875" customWidth="1"/>
    <col min="1546" max="1546" width="9.5546875" customWidth="1"/>
    <col min="1547" max="1547" width="10.44140625" customWidth="1"/>
    <col min="1549" max="1549" width="10.44140625" customWidth="1"/>
    <col min="1550" max="1550" width="11.33203125" bestFit="1" customWidth="1"/>
    <col min="1551" max="1551" width="10" customWidth="1"/>
    <col min="1552" max="1553" width="8.109375" customWidth="1"/>
    <col min="1554" max="1556" width="12.44140625" customWidth="1"/>
    <col min="1557" max="1557" width="0" hidden="1" customWidth="1"/>
    <col min="1558" max="1558" width="11.88671875" customWidth="1"/>
    <col min="1559" max="1559" width="13.109375" customWidth="1"/>
    <col min="1560" max="1560" width="9.33203125" customWidth="1"/>
    <col min="1561" max="1561" width="12.5546875" customWidth="1"/>
    <col min="1562" max="1562" width="11.6640625" bestFit="1" customWidth="1"/>
    <col min="1563" max="1563" width="13.44140625" customWidth="1"/>
    <col min="1564" max="1564" width="14.109375" customWidth="1"/>
    <col min="1566" max="1566" width="11.5546875" bestFit="1" customWidth="1"/>
    <col min="1567" max="1567" width="10.44140625" bestFit="1" customWidth="1"/>
    <col min="1568" max="1568" width="12.33203125" bestFit="1" customWidth="1"/>
    <col min="1793" max="1793" width="18.109375" customWidth="1"/>
    <col min="1794" max="1794" width="15.5546875" bestFit="1" customWidth="1"/>
    <col min="1795" max="1796" width="0" hidden="1" customWidth="1"/>
    <col min="1797" max="1797" width="22.5546875" bestFit="1" customWidth="1"/>
    <col min="1799" max="1800" width="10.6640625" customWidth="1"/>
    <col min="1801" max="1801" width="10.88671875" customWidth="1"/>
    <col min="1802" max="1802" width="9.5546875" customWidth="1"/>
    <col min="1803" max="1803" width="10.44140625" customWidth="1"/>
    <col min="1805" max="1805" width="10.44140625" customWidth="1"/>
    <col min="1806" max="1806" width="11.33203125" bestFit="1" customWidth="1"/>
    <col min="1807" max="1807" width="10" customWidth="1"/>
    <col min="1808" max="1809" width="8.109375" customWidth="1"/>
    <col min="1810" max="1812" width="12.44140625" customWidth="1"/>
    <col min="1813" max="1813" width="0" hidden="1" customWidth="1"/>
    <col min="1814" max="1814" width="11.88671875" customWidth="1"/>
    <col min="1815" max="1815" width="13.109375" customWidth="1"/>
    <col min="1816" max="1816" width="9.33203125" customWidth="1"/>
    <col min="1817" max="1817" width="12.5546875" customWidth="1"/>
    <col min="1818" max="1818" width="11.6640625" bestFit="1" customWidth="1"/>
    <col min="1819" max="1819" width="13.44140625" customWidth="1"/>
    <col min="1820" max="1820" width="14.109375" customWidth="1"/>
    <col min="1822" max="1822" width="11.5546875" bestFit="1" customWidth="1"/>
    <col min="1823" max="1823" width="10.44140625" bestFit="1" customWidth="1"/>
    <col min="1824" max="1824" width="12.33203125" bestFit="1" customWidth="1"/>
    <col min="2049" max="2049" width="18.109375" customWidth="1"/>
    <col min="2050" max="2050" width="15.5546875" bestFit="1" customWidth="1"/>
    <col min="2051" max="2052" width="0" hidden="1" customWidth="1"/>
    <col min="2053" max="2053" width="22.5546875" bestFit="1" customWidth="1"/>
    <col min="2055" max="2056" width="10.6640625" customWidth="1"/>
    <col min="2057" max="2057" width="10.88671875" customWidth="1"/>
    <col min="2058" max="2058" width="9.5546875" customWidth="1"/>
    <col min="2059" max="2059" width="10.44140625" customWidth="1"/>
    <col min="2061" max="2061" width="10.44140625" customWidth="1"/>
    <col min="2062" max="2062" width="11.33203125" bestFit="1" customWidth="1"/>
    <col min="2063" max="2063" width="10" customWidth="1"/>
    <col min="2064" max="2065" width="8.109375" customWidth="1"/>
    <col min="2066" max="2068" width="12.44140625" customWidth="1"/>
    <col min="2069" max="2069" width="0" hidden="1" customWidth="1"/>
    <col min="2070" max="2070" width="11.88671875" customWidth="1"/>
    <col min="2071" max="2071" width="13.109375" customWidth="1"/>
    <col min="2072" max="2072" width="9.33203125" customWidth="1"/>
    <col min="2073" max="2073" width="12.5546875" customWidth="1"/>
    <col min="2074" max="2074" width="11.6640625" bestFit="1" customWidth="1"/>
    <col min="2075" max="2075" width="13.44140625" customWidth="1"/>
    <col min="2076" max="2076" width="14.109375" customWidth="1"/>
    <col min="2078" max="2078" width="11.5546875" bestFit="1" customWidth="1"/>
    <col min="2079" max="2079" width="10.44140625" bestFit="1" customWidth="1"/>
    <col min="2080" max="2080" width="12.33203125" bestFit="1" customWidth="1"/>
    <col min="2305" max="2305" width="18.109375" customWidth="1"/>
    <col min="2306" max="2306" width="15.5546875" bestFit="1" customWidth="1"/>
    <col min="2307" max="2308" width="0" hidden="1" customWidth="1"/>
    <col min="2309" max="2309" width="22.5546875" bestFit="1" customWidth="1"/>
    <col min="2311" max="2312" width="10.6640625" customWidth="1"/>
    <col min="2313" max="2313" width="10.88671875" customWidth="1"/>
    <col min="2314" max="2314" width="9.5546875" customWidth="1"/>
    <col min="2315" max="2315" width="10.44140625" customWidth="1"/>
    <col min="2317" max="2317" width="10.44140625" customWidth="1"/>
    <col min="2318" max="2318" width="11.33203125" bestFit="1" customWidth="1"/>
    <col min="2319" max="2319" width="10" customWidth="1"/>
    <col min="2320" max="2321" width="8.109375" customWidth="1"/>
    <col min="2322" max="2324" width="12.44140625" customWidth="1"/>
    <col min="2325" max="2325" width="0" hidden="1" customWidth="1"/>
    <col min="2326" max="2326" width="11.88671875" customWidth="1"/>
    <col min="2327" max="2327" width="13.109375" customWidth="1"/>
    <col min="2328" max="2328" width="9.33203125" customWidth="1"/>
    <col min="2329" max="2329" width="12.5546875" customWidth="1"/>
    <col min="2330" max="2330" width="11.6640625" bestFit="1" customWidth="1"/>
    <col min="2331" max="2331" width="13.44140625" customWidth="1"/>
    <col min="2332" max="2332" width="14.109375" customWidth="1"/>
    <col min="2334" max="2334" width="11.5546875" bestFit="1" customWidth="1"/>
    <col min="2335" max="2335" width="10.44140625" bestFit="1" customWidth="1"/>
    <col min="2336" max="2336" width="12.33203125" bestFit="1" customWidth="1"/>
    <col min="2561" max="2561" width="18.109375" customWidth="1"/>
    <col min="2562" max="2562" width="15.5546875" bestFit="1" customWidth="1"/>
    <col min="2563" max="2564" width="0" hidden="1" customWidth="1"/>
    <col min="2565" max="2565" width="22.5546875" bestFit="1" customWidth="1"/>
    <col min="2567" max="2568" width="10.6640625" customWidth="1"/>
    <col min="2569" max="2569" width="10.88671875" customWidth="1"/>
    <col min="2570" max="2570" width="9.5546875" customWidth="1"/>
    <col min="2571" max="2571" width="10.44140625" customWidth="1"/>
    <col min="2573" max="2573" width="10.44140625" customWidth="1"/>
    <col min="2574" max="2574" width="11.33203125" bestFit="1" customWidth="1"/>
    <col min="2575" max="2575" width="10" customWidth="1"/>
    <col min="2576" max="2577" width="8.109375" customWidth="1"/>
    <col min="2578" max="2580" width="12.44140625" customWidth="1"/>
    <col min="2581" max="2581" width="0" hidden="1" customWidth="1"/>
    <col min="2582" max="2582" width="11.88671875" customWidth="1"/>
    <col min="2583" max="2583" width="13.109375" customWidth="1"/>
    <col min="2584" max="2584" width="9.33203125" customWidth="1"/>
    <col min="2585" max="2585" width="12.5546875" customWidth="1"/>
    <col min="2586" max="2586" width="11.6640625" bestFit="1" customWidth="1"/>
    <col min="2587" max="2587" width="13.44140625" customWidth="1"/>
    <col min="2588" max="2588" width="14.109375" customWidth="1"/>
    <col min="2590" max="2590" width="11.5546875" bestFit="1" customWidth="1"/>
    <col min="2591" max="2591" width="10.44140625" bestFit="1" customWidth="1"/>
    <col min="2592" max="2592" width="12.33203125" bestFit="1" customWidth="1"/>
    <col min="2817" max="2817" width="18.109375" customWidth="1"/>
    <col min="2818" max="2818" width="15.5546875" bestFit="1" customWidth="1"/>
    <col min="2819" max="2820" width="0" hidden="1" customWidth="1"/>
    <col min="2821" max="2821" width="22.5546875" bestFit="1" customWidth="1"/>
    <col min="2823" max="2824" width="10.6640625" customWidth="1"/>
    <col min="2825" max="2825" width="10.88671875" customWidth="1"/>
    <col min="2826" max="2826" width="9.5546875" customWidth="1"/>
    <col min="2827" max="2827" width="10.44140625" customWidth="1"/>
    <col min="2829" max="2829" width="10.44140625" customWidth="1"/>
    <col min="2830" max="2830" width="11.33203125" bestFit="1" customWidth="1"/>
    <col min="2831" max="2831" width="10" customWidth="1"/>
    <col min="2832" max="2833" width="8.109375" customWidth="1"/>
    <col min="2834" max="2836" width="12.44140625" customWidth="1"/>
    <col min="2837" max="2837" width="0" hidden="1" customWidth="1"/>
    <col min="2838" max="2838" width="11.88671875" customWidth="1"/>
    <col min="2839" max="2839" width="13.109375" customWidth="1"/>
    <col min="2840" max="2840" width="9.33203125" customWidth="1"/>
    <col min="2841" max="2841" width="12.5546875" customWidth="1"/>
    <col min="2842" max="2842" width="11.6640625" bestFit="1" customWidth="1"/>
    <col min="2843" max="2843" width="13.44140625" customWidth="1"/>
    <col min="2844" max="2844" width="14.109375" customWidth="1"/>
    <col min="2846" max="2846" width="11.5546875" bestFit="1" customWidth="1"/>
    <col min="2847" max="2847" width="10.44140625" bestFit="1" customWidth="1"/>
    <col min="2848" max="2848" width="12.33203125" bestFit="1" customWidth="1"/>
    <col min="3073" max="3073" width="18.109375" customWidth="1"/>
    <col min="3074" max="3074" width="15.5546875" bestFit="1" customWidth="1"/>
    <col min="3075" max="3076" width="0" hidden="1" customWidth="1"/>
    <col min="3077" max="3077" width="22.5546875" bestFit="1" customWidth="1"/>
    <col min="3079" max="3080" width="10.6640625" customWidth="1"/>
    <col min="3081" max="3081" width="10.88671875" customWidth="1"/>
    <col min="3082" max="3082" width="9.5546875" customWidth="1"/>
    <col min="3083" max="3083" width="10.44140625" customWidth="1"/>
    <col min="3085" max="3085" width="10.44140625" customWidth="1"/>
    <col min="3086" max="3086" width="11.33203125" bestFit="1" customWidth="1"/>
    <col min="3087" max="3087" width="10" customWidth="1"/>
    <col min="3088" max="3089" width="8.109375" customWidth="1"/>
    <col min="3090" max="3092" width="12.44140625" customWidth="1"/>
    <col min="3093" max="3093" width="0" hidden="1" customWidth="1"/>
    <col min="3094" max="3094" width="11.88671875" customWidth="1"/>
    <col min="3095" max="3095" width="13.109375" customWidth="1"/>
    <col min="3096" max="3096" width="9.33203125" customWidth="1"/>
    <col min="3097" max="3097" width="12.5546875" customWidth="1"/>
    <col min="3098" max="3098" width="11.6640625" bestFit="1" customWidth="1"/>
    <col min="3099" max="3099" width="13.44140625" customWidth="1"/>
    <col min="3100" max="3100" width="14.109375" customWidth="1"/>
    <col min="3102" max="3102" width="11.5546875" bestFit="1" customWidth="1"/>
    <col min="3103" max="3103" width="10.44140625" bestFit="1" customWidth="1"/>
    <col min="3104" max="3104" width="12.33203125" bestFit="1" customWidth="1"/>
    <col min="3329" max="3329" width="18.109375" customWidth="1"/>
    <col min="3330" max="3330" width="15.5546875" bestFit="1" customWidth="1"/>
    <col min="3331" max="3332" width="0" hidden="1" customWidth="1"/>
    <col min="3333" max="3333" width="22.5546875" bestFit="1" customWidth="1"/>
    <col min="3335" max="3336" width="10.6640625" customWidth="1"/>
    <col min="3337" max="3337" width="10.88671875" customWidth="1"/>
    <col min="3338" max="3338" width="9.5546875" customWidth="1"/>
    <col min="3339" max="3339" width="10.44140625" customWidth="1"/>
    <col min="3341" max="3341" width="10.44140625" customWidth="1"/>
    <col min="3342" max="3342" width="11.33203125" bestFit="1" customWidth="1"/>
    <col min="3343" max="3343" width="10" customWidth="1"/>
    <col min="3344" max="3345" width="8.109375" customWidth="1"/>
    <col min="3346" max="3348" width="12.44140625" customWidth="1"/>
    <col min="3349" max="3349" width="0" hidden="1" customWidth="1"/>
    <col min="3350" max="3350" width="11.88671875" customWidth="1"/>
    <col min="3351" max="3351" width="13.109375" customWidth="1"/>
    <col min="3352" max="3352" width="9.33203125" customWidth="1"/>
    <col min="3353" max="3353" width="12.5546875" customWidth="1"/>
    <col min="3354" max="3354" width="11.6640625" bestFit="1" customWidth="1"/>
    <col min="3355" max="3355" width="13.44140625" customWidth="1"/>
    <col min="3356" max="3356" width="14.109375" customWidth="1"/>
    <col min="3358" max="3358" width="11.5546875" bestFit="1" customWidth="1"/>
    <col min="3359" max="3359" width="10.44140625" bestFit="1" customWidth="1"/>
    <col min="3360" max="3360" width="12.33203125" bestFit="1" customWidth="1"/>
    <col min="3585" max="3585" width="18.109375" customWidth="1"/>
    <col min="3586" max="3586" width="15.5546875" bestFit="1" customWidth="1"/>
    <col min="3587" max="3588" width="0" hidden="1" customWidth="1"/>
    <col min="3589" max="3589" width="22.5546875" bestFit="1" customWidth="1"/>
    <col min="3591" max="3592" width="10.6640625" customWidth="1"/>
    <col min="3593" max="3593" width="10.88671875" customWidth="1"/>
    <col min="3594" max="3594" width="9.5546875" customWidth="1"/>
    <col min="3595" max="3595" width="10.44140625" customWidth="1"/>
    <col min="3597" max="3597" width="10.44140625" customWidth="1"/>
    <col min="3598" max="3598" width="11.33203125" bestFit="1" customWidth="1"/>
    <col min="3599" max="3599" width="10" customWidth="1"/>
    <col min="3600" max="3601" width="8.109375" customWidth="1"/>
    <col min="3602" max="3604" width="12.44140625" customWidth="1"/>
    <col min="3605" max="3605" width="0" hidden="1" customWidth="1"/>
    <col min="3606" max="3606" width="11.88671875" customWidth="1"/>
    <col min="3607" max="3607" width="13.109375" customWidth="1"/>
    <col min="3608" max="3608" width="9.33203125" customWidth="1"/>
    <col min="3609" max="3609" width="12.5546875" customWidth="1"/>
    <col min="3610" max="3610" width="11.6640625" bestFit="1" customWidth="1"/>
    <col min="3611" max="3611" width="13.44140625" customWidth="1"/>
    <col min="3612" max="3612" width="14.109375" customWidth="1"/>
    <col min="3614" max="3614" width="11.5546875" bestFit="1" customWidth="1"/>
    <col min="3615" max="3615" width="10.44140625" bestFit="1" customWidth="1"/>
    <col min="3616" max="3616" width="12.33203125" bestFit="1" customWidth="1"/>
    <col min="3841" max="3841" width="18.109375" customWidth="1"/>
    <col min="3842" max="3842" width="15.5546875" bestFit="1" customWidth="1"/>
    <col min="3843" max="3844" width="0" hidden="1" customWidth="1"/>
    <col min="3845" max="3845" width="22.5546875" bestFit="1" customWidth="1"/>
    <col min="3847" max="3848" width="10.6640625" customWidth="1"/>
    <col min="3849" max="3849" width="10.88671875" customWidth="1"/>
    <col min="3850" max="3850" width="9.5546875" customWidth="1"/>
    <col min="3851" max="3851" width="10.44140625" customWidth="1"/>
    <col min="3853" max="3853" width="10.44140625" customWidth="1"/>
    <col min="3854" max="3854" width="11.33203125" bestFit="1" customWidth="1"/>
    <col min="3855" max="3855" width="10" customWidth="1"/>
    <col min="3856" max="3857" width="8.109375" customWidth="1"/>
    <col min="3858" max="3860" width="12.44140625" customWidth="1"/>
    <col min="3861" max="3861" width="0" hidden="1" customWidth="1"/>
    <col min="3862" max="3862" width="11.88671875" customWidth="1"/>
    <col min="3863" max="3863" width="13.109375" customWidth="1"/>
    <col min="3864" max="3864" width="9.33203125" customWidth="1"/>
    <col min="3865" max="3865" width="12.5546875" customWidth="1"/>
    <col min="3866" max="3866" width="11.6640625" bestFit="1" customWidth="1"/>
    <col min="3867" max="3867" width="13.44140625" customWidth="1"/>
    <col min="3868" max="3868" width="14.109375" customWidth="1"/>
    <col min="3870" max="3870" width="11.5546875" bestFit="1" customWidth="1"/>
    <col min="3871" max="3871" width="10.44140625" bestFit="1" customWidth="1"/>
    <col min="3872" max="3872" width="12.33203125" bestFit="1" customWidth="1"/>
    <col min="4097" max="4097" width="18.109375" customWidth="1"/>
    <col min="4098" max="4098" width="15.5546875" bestFit="1" customWidth="1"/>
    <col min="4099" max="4100" width="0" hidden="1" customWidth="1"/>
    <col min="4101" max="4101" width="22.5546875" bestFit="1" customWidth="1"/>
    <col min="4103" max="4104" width="10.6640625" customWidth="1"/>
    <col min="4105" max="4105" width="10.88671875" customWidth="1"/>
    <col min="4106" max="4106" width="9.5546875" customWidth="1"/>
    <col min="4107" max="4107" width="10.44140625" customWidth="1"/>
    <col min="4109" max="4109" width="10.44140625" customWidth="1"/>
    <col min="4110" max="4110" width="11.33203125" bestFit="1" customWidth="1"/>
    <col min="4111" max="4111" width="10" customWidth="1"/>
    <col min="4112" max="4113" width="8.109375" customWidth="1"/>
    <col min="4114" max="4116" width="12.44140625" customWidth="1"/>
    <col min="4117" max="4117" width="0" hidden="1" customWidth="1"/>
    <col min="4118" max="4118" width="11.88671875" customWidth="1"/>
    <col min="4119" max="4119" width="13.109375" customWidth="1"/>
    <col min="4120" max="4120" width="9.33203125" customWidth="1"/>
    <col min="4121" max="4121" width="12.5546875" customWidth="1"/>
    <col min="4122" max="4122" width="11.6640625" bestFit="1" customWidth="1"/>
    <col min="4123" max="4123" width="13.44140625" customWidth="1"/>
    <col min="4124" max="4124" width="14.109375" customWidth="1"/>
    <col min="4126" max="4126" width="11.5546875" bestFit="1" customWidth="1"/>
    <col min="4127" max="4127" width="10.44140625" bestFit="1" customWidth="1"/>
    <col min="4128" max="4128" width="12.33203125" bestFit="1" customWidth="1"/>
    <col min="4353" max="4353" width="18.109375" customWidth="1"/>
    <col min="4354" max="4354" width="15.5546875" bestFit="1" customWidth="1"/>
    <col min="4355" max="4356" width="0" hidden="1" customWidth="1"/>
    <col min="4357" max="4357" width="22.5546875" bestFit="1" customWidth="1"/>
    <col min="4359" max="4360" width="10.6640625" customWidth="1"/>
    <col min="4361" max="4361" width="10.88671875" customWidth="1"/>
    <col min="4362" max="4362" width="9.5546875" customWidth="1"/>
    <col min="4363" max="4363" width="10.44140625" customWidth="1"/>
    <col min="4365" max="4365" width="10.44140625" customWidth="1"/>
    <col min="4366" max="4366" width="11.33203125" bestFit="1" customWidth="1"/>
    <col min="4367" max="4367" width="10" customWidth="1"/>
    <col min="4368" max="4369" width="8.109375" customWidth="1"/>
    <col min="4370" max="4372" width="12.44140625" customWidth="1"/>
    <col min="4373" max="4373" width="0" hidden="1" customWidth="1"/>
    <col min="4374" max="4374" width="11.88671875" customWidth="1"/>
    <col min="4375" max="4375" width="13.109375" customWidth="1"/>
    <col min="4376" max="4376" width="9.33203125" customWidth="1"/>
    <col min="4377" max="4377" width="12.5546875" customWidth="1"/>
    <col min="4378" max="4378" width="11.6640625" bestFit="1" customWidth="1"/>
    <col min="4379" max="4379" width="13.44140625" customWidth="1"/>
    <col min="4380" max="4380" width="14.109375" customWidth="1"/>
    <col min="4382" max="4382" width="11.5546875" bestFit="1" customWidth="1"/>
    <col min="4383" max="4383" width="10.44140625" bestFit="1" customWidth="1"/>
    <col min="4384" max="4384" width="12.33203125" bestFit="1" customWidth="1"/>
    <col min="4609" max="4609" width="18.109375" customWidth="1"/>
    <col min="4610" max="4610" width="15.5546875" bestFit="1" customWidth="1"/>
    <col min="4611" max="4612" width="0" hidden="1" customWidth="1"/>
    <col min="4613" max="4613" width="22.5546875" bestFit="1" customWidth="1"/>
    <col min="4615" max="4616" width="10.6640625" customWidth="1"/>
    <col min="4617" max="4617" width="10.88671875" customWidth="1"/>
    <col min="4618" max="4618" width="9.5546875" customWidth="1"/>
    <col min="4619" max="4619" width="10.44140625" customWidth="1"/>
    <col min="4621" max="4621" width="10.44140625" customWidth="1"/>
    <col min="4622" max="4622" width="11.33203125" bestFit="1" customWidth="1"/>
    <col min="4623" max="4623" width="10" customWidth="1"/>
    <col min="4624" max="4625" width="8.109375" customWidth="1"/>
    <col min="4626" max="4628" width="12.44140625" customWidth="1"/>
    <col min="4629" max="4629" width="0" hidden="1" customWidth="1"/>
    <col min="4630" max="4630" width="11.88671875" customWidth="1"/>
    <col min="4631" max="4631" width="13.109375" customWidth="1"/>
    <col min="4632" max="4632" width="9.33203125" customWidth="1"/>
    <col min="4633" max="4633" width="12.5546875" customWidth="1"/>
    <col min="4634" max="4634" width="11.6640625" bestFit="1" customWidth="1"/>
    <col min="4635" max="4635" width="13.44140625" customWidth="1"/>
    <col min="4636" max="4636" width="14.109375" customWidth="1"/>
    <col min="4638" max="4638" width="11.5546875" bestFit="1" customWidth="1"/>
    <col min="4639" max="4639" width="10.44140625" bestFit="1" customWidth="1"/>
    <col min="4640" max="4640" width="12.33203125" bestFit="1" customWidth="1"/>
    <col min="4865" max="4865" width="18.109375" customWidth="1"/>
    <col min="4866" max="4866" width="15.5546875" bestFit="1" customWidth="1"/>
    <col min="4867" max="4868" width="0" hidden="1" customWidth="1"/>
    <col min="4869" max="4869" width="22.5546875" bestFit="1" customWidth="1"/>
    <col min="4871" max="4872" width="10.6640625" customWidth="1"/>
    <col min="4873" max="4873" width="10.88671875" customWidth="1"/>
    <col min="4874" max="4874" width="9.5546875" customWidth="1"/>
    <col min="4875" max="4875" width="10.44140625" customWidth="1"/>
    <col min="4877" max="4877" width="10.44140625" customWidth="1"/>
    <col min="4878" max="4878" width="11.33203125" bestFit="1" customWidth="1"/>
    <col min="4879" max="4879" width="10" customWidth="1"/>
    <col min="4880" max="4881" width="8.109375" customWidth="1"/>
    <col min="4882" max="4884" width="12.44140625" customWidth="1"/>
    <col min="4885" max="4885" width="0" hidden="1" customWidth="1"/>
    <col min="4886" max="4886" width="11.88671875" customWidth="1"/>
    <col min="4887" max="4887" width="13.109375" customWidth="1"/>
    <col min="4888" max="4888" width="9.33203125" customWidth="1"/>
    <col min="4889" max="4889" width="12.5546875" customWidth="1"/>
    <col min="4890" max="4890" width="11.6640625" bestFit="1" customWidth="1"/>
    <col min="4891" max="4891" width="13.44140625" customWidth="1"/>
    <col min="4892" max="4892" width="14.109375" customWidth="1"/>
    <col min="4894" max="4894" width="11.5546875" bestFit="1" customWidth="1"/>
    <col min="4895" max="4895" width="10.44140625" bestFit="1" customWidth="1"/>
    <col min="4896" max="4896" width="12.33203125" bestFit="1" customWidth="1"/>
    <col min="5121" max="5121" width="18.109375" customWidth="1"/>
    <col min="5122" max="5122" width="15.5546875" bestFit="1" customWidth="1"/>
    <col min="5123" max="5124" width="0" hidden="1" customWidth="1"/>
    <col min="5125" max="5125" width="22.5546875" bestFit="1" customWidth="1"/>
    <col min="5127" max="5128" width="10.6640625" customWidth="1"/>
    <col min="5129" max="5129" width="10.88671875" customWidth="1"/>
    <col min="5130" max="5130" width="9.5546875" customWidth="1"/>
    <col min="5131" max="5131" width="10.44140625" customWidth="1"/>
    <col min="5133" max="5133" width="10.44140625" customWidth="1"/>
    <col min="5134" max="5134" width="11.33203125" bestFit="1" customWidth="1"/>
    <col min="5135" max="5135" width="10" customWidth="1"/>
    <col min="5136" max="5137" width="8.109375" customWidth="1"/>
    <col min="5138" max="5140" width="12.44140625" customWidth="1"/>
    <col min="5141" max="5141" width="0" hidden="1" customWidth="1"/>
    <col min="5142" max="5142" width="11.88671875" customWidth="1"/>
    <col min="5143" max="5143" width="13.109375" customWidth="1"/>
    <col min="5144" max="5144" width="9.33203125" customWidth="1"/>
    <col min="5145" max="5145" width="12.5546875" customWidth="1"/>
    <col min="5146" max="5146" width="11.6640625" bestFit="1" customWidth="1"/>
    <col min="5147" max="5147" width="13.44140625" customWidth="1"/>
    <col min="5148" max="5148" width="14.109375" customWidth="1"/>
    <col min="5150" max="5150" width="11.5546875" bestFit="1" customWidth="1"/>
    <col min="5151" max="5151" width="10.44140625" bestFit="1" customWidth="1"/>
    <col min="5152" max="5152" width="12.33203125" bestFit="1" customWidth="1"/>
    <col min="5377" max="5377" width="18.109375" customWidth="1"/>
    <col min="5378" max="5378" width="15.5546875" bestFit="1" customWidth="1"/>
    <col min="5379" max="5380" width="0" hidden="1" customWidth="1"/>
    <col min="5381" max="5381" width="22.5546875" bestFit="1" customWidth="1"/>
    <col min="5383" max="5384" width="10.6640625" customWidth="1"/>
    <col min="5385" max="5385" width="10.88671875" customWidth="1"/>
    <col min="5386" max="5386" width="9.5546875" customWidth="1"/>
    <col min="5387" max="5387" width="10.44140625" customWidth="1"/>
    <col min="5389" max="5389" width="10.44140625" customWidth="1"/>
    <col min="5390" max="5390" width="11.33203125" bestFit="1" customWidth="1"/>
    <col min="5391" max="5391" width="10" customWidth="1"/>
    <col min="5392" max="5393" width="8.109375" customWidth="1"/>
    <col min="5394" max="5396" width="12.44140625" customWidth="1"/>
    <col min="5397" max="5397" width="0" hidden="1" customWidth="1"/>
    <col min="5398" max="5398" width="11.88671875" customWidth="1"/>
    <col min="5399" max="5399" width="13.109375" customWidth="1"/>
    <col min="5400" max="5400" width="9.33203125" customWidth="1"/>
    <col min="5401" max="5401" width="12.5546875" customWidth="1"/>
    <col min="5402" max="5402" width="11.6640625" bestFit="1" customWidth="1"/>
    <col min="5403" max="5403" width="13.44140625" customWidth="1"/>
    <col min="5404" max="5404" width="14.109375" customWidth="1"/>
    <col min="5406" max="5406" width="11.5546875" bestFit="1" customWidth="1"/>
    <col min="5407" max="5407" width="10.44140625" bestFit="1" customWidth="1"/>
    <col min="5408" max="5408" width="12.33203125" bestFit="1" customWidth="1"/>
    <col min="5633" max="5633" width="18.109375" customWidth="1"/>
    <col min="5634" max="5634" width="15.5546875" bestFit="1" customWidth="1"/>
    <col min="5635" max="5636" width="0" hidden="1" customWidth="1"/>
    <col min="5637" max="5637" width="22.5546875" bestFit="1" customWidth="1"/>
    <col min="5639" max="5640" width="10.6640625" customWidth="1"/>
    <col min="5641" max="5641" width="10.88671875" customWidth="1"/>
    <col min="5642" max="5642" width="9.5546875" customWidth="1"/>
    <col min="5643" max="5643" width="10.44140625" customWidth="1"/>
    <col min="5645" max="5645" width="10.44140625" customWidth="1"/>
    <col min="5646" max="5646" width="11.33203125" bestFit="1" customWidth="1"/>
    <col min="5647" max="5647" width="10" customWidth="1"/>
    <col min="5648" max="5649" width="8.109375" customWidth="1"/>
    <col min="5650" max="5652" width="12.44140625" customWidth="1"/>
    <col min="5653" max="5653" width="0" hidden="1" customWidth="1"/>
    <col min="5654" max="5654" width="11.88671875" customWidth="1"/>
    <col min="5655" max="5655" width="13.109375" customWidth="1"/>
    <col min="5656" max="5656" width="9.33203125" customWidth="1"/>
    <col min="5657" max="5657" width="12.5546875" customWidth="1"/>
    <col min="5658" max="5658" width="11.6640625" bestFit="1" customWidth="1"/>
    <col min="5659" max="5659" width="13.44140625" customWidth="1"/>
    <col min="5660" max="5660" width="14.109375" customWidth="1"/>
    <col min="5662" max="5662" width="11.5546875" bestFit="1" customWidth="1"/>
    <col min="5663" max="5663" width="10.44140625" bestFit="1" customWidth="1"/>
    <col min="5664" max="5664" width="12.33203125" bestFit="1" customWidth="1"/>
    <col min="5889" max="5889" width="18.109375" customWidth="1"/>
    <col min="5890" max="5890" width="15.5546875" bestFit="1" customWidth="1"/>
    <col min="5891" max="5892" width="0" hidden="1" customWidth="1"/>
    <col min="5893" max="5893" width="22.5546875" bestFit="1" customWidth="1"/>
    <col min="5895" max="5896" width="10.6640625" customWidth="1"/>
    <col min="5897" max="5897" width="10.88671875" customWidth="1"/>
    <col min="5898" max="5898" width="9.5546875" customWidth="1"/>
    <col min="5899" max="5899" width="10.44140625" customWidth="1"/>
    <col min="5901" max="5901" width="10.44140625" customWidth="1"/>
    <col min="5902" max="5902" width="11.33203125" bestFit="1" customWidth="1"/>
    <col min="5903" max="5903" width="10" customWidth="1"/>
    <col min="5904" max="5905" width="8.109375" customWidth="1"/>
    <col min="5906" max="5908" width="12.44140625" customWidth="1"/>
    <col min="5909" max="5909" width="0" hidden="1" customWidth="1"/>
    <col min="5910" max="5910" width="11.88671875" customWidth="1"/>
    <col min="5911" max="5911" width="13.109375" customWidth="1"/>
    <col min="5912" max="5912" width="9.33203125" customWidth="1"/>
    <col min="5913" max="5913" width="12.5546875" customWidth="1"/>
    <col min="5914" max="5914" width="11.6640625" bestFit="1" customWidth="1"/>
    <col min="5915" max="5915" width="13.44140625" customWidth="1"/>
    <col min="5916" max="5916" width="14.109375" customWidth="1"/>
    <col min="5918" max="5918" width="11.5546875" bestFit="1" customWidth="1"/>
    <col min="5919" max="5919" width="10.44140625" bestFit="1" customWidth="1"/>
    <col min="5920" max="5920" width="12.33203125" bestFit="1" customWidth="1"/>
    <col min="6145" max="6145" width="18.109375" customWidth="1"/>
    <col min="6146" max="6146" width="15.5546875" bestFit="1" customWidth="1"/>
    <col min="6147" max="6148" width="0" hidden="1" customWidth="1"/>
    <col min="6149" max="6149" width="22.5546875" bestFit="1" customWidth="1"/>
    <col min="6151" max="6152" width="10.6640625" customWidth="1"/>
    <col min="6153" max="6153" width="10.88671875" customWidth="1"/>
    <col min="6154" max="6154" width="9.5546875" customWidth="1"/>
    <col min="6155" max="6155" width="10.44140625" customWidth="1"/>
    <col min="6157" max="6157" width="10.44140625" customWidth="1"/>
    <col min="6158" max="6158" width="11.33203125" bestFit="1" customWidth="1"/>
    <col min="6159" max="6159" width="10" customWidth="1"/>
    <col min="6160" max="6161" width="8.109375" customWidth="1"/>
    <col min="6162" max="6164" width="12.44140625" customWidth="1"/>
    <col min="6165" max="6165" width="0" hidden="1" customWidth="1"/>
    <col min="6166" max="6166" width="11.88671875" customWidth="1"/>
    <col min="6167" max="6167" width="13.109375" customWidth="1"/>
    <col min="6168" max="6168" width="9.33203125" customWidth="1"/>
    <col min="6169" max="6169" width="12.5546875" customWidth="1"/>
    <col min="6170" max="6170" width="11.6640625" bestFit="1" customWidth="1"/>
    <col min="6171" max="6171" width="13.44140625" customWidth="1"/>
    <col min="6172" max="6172" width="14.109375" customWidth="1"/>
    <col min="6174" max="6174" width="11.5546875" bestFit="1" customWidth="1"/>
    <col min="6175" max="6175" width="10.44140625" bestFit="1" customWidth="1"/>
    <col min="6176" max="6176" width="12.33203125" bestFit="1" customWidth="1"/>
    <col min="6401" max="6401" width="18.109375" customWidth="1"/>
    <col min="6402" max="6402" width="15.5546875" bestFit="1" customWidth="1"/>
    <col min="6403" max="6404" width="0" hidden="1" customWidth="1"/>
    <col min="6405" max="6405" width="22.5546875" bestFit="1" customWidth="1"/>
    <col min="6407" max="6408" width="10.6640625" customWidth="1"/>
    <col min="6409" max="6409" width="10.88671875" customWidth="1"/>
    <col min="6410" max="6410" width="9.5546875" customWidth="1"/>
    <col min="6411" max="6411" width="10.44140625" customWidth="1"/>
    <col min="6413" max="6413" width="10.44140625" customWidth="1"/>
    <col min="6414" max="6414" width="11.33203125" bestFit="1" customWidth="1"/>
    <col min="6415" max="6415" width="10" customWidth="1"/>
    <col min="6416" max="6417" width="8.109375" customWidth="1"/>
    <col min="6418" max="6420" width="12.44140625" customWidth="1"/>
    <col min="6421" max="6421" width="0" hidden="1" customWidth="1"/>
    <col min="6422" max="6422" width="11.88671875" customWidth="1"/>
    <col min="6423" max="6423" width="13.109375" customWidth="1"/>
    <col min="6424" max="6424" width="9.33203125" customWidth="1"/>
    <col min="6425" max="6425" width="12.5546875" customWidth="1"/>
    <col min="6426" max="6426" width="11.6640625" bestFit="1" customWidth="1"/>
    <col min="6427" max="6427" width="13.44140625" customWidth="1"/>
    <col min="6428" max="6428" width="14.109375" customWidth="1"/>
    <col min="6430" max="6430" width="11.5546875" bestFit="1" customWidth="1"/>
    <col min="6431" max="6431" width="10.44140625" bestFit="1" customWidth="1"/>
    <col min="6432" max="6432" width="12.33203125" bestFit="1" customWidth="1"/>
    <col min="6657" max="6657" width="18.109375" customWidth="1"/>
    <col min="6658" max="6658" width="15.5546875" bestFit="1" customWidth="1"/>
    <col min="6659" max="6660" width="0" hidden="1" customWidth="1"/>
    <col min="6661" max="6661" width="22.5546875" bestFit="1" customWidth="1"/>
    <col min="6663" max="6664" width="10.6640625" customWidth="1"/>
    <col min="6665" max="6665" width="10.88671875" customWidth="1"/>
    <col min="6666" max="6666" width="9.5546875" customWidth="1"/>
    <col min="6667" max="6667" width="10.44140625" customWidth="1"/>
    <col min="6669" max="6669" width="10.44140625" customWidth="1"/>
    <col min="6670" max="6670" width="11.33203125" bestFit="1" customWidth="1"/>
    <col min="6671" max="6671" width="10" customWidth="1"/>
    <col min="6672" max="6673" width="8.109375" customWidth="1"/>
    <col min="6674" max="6676" width="12.44140625" customWidth="1"/>
    <col min="6677" max="6677" width="0" hidden="1" customWidth="1"/>
    <col min="6678" max="6678" width="11.88671875" customWidth="1"/>
    <col min="6679" max="6679" width="13.109375" customWidth="1"/>
    <col min="6680" max="6680" width="9.33203125" customWidth="1"/>
    <col min="6681" max="6681" width="12.5546875" customWidth="1"/>
    <col min="6682" max="6682" width="11.6640625" bestFit="1" customWidth="1"/>
    <col min="6683" max="6683" width="13.44140625" customWidth="1"/>
    <col min="6684" max="6684" width="14.109375" customWidth="1"/>
    <col min="6686" max="6686" width="11.5546875" bestFit="1" customWidth="1"/>
    <col min="6687" max="6687" width="10.44140625" bestFit="1" customWidth="1"/>
    <col min="6688" max="6688" width="12.33203125" bestFit="1" customWidth="1"/>
    <col min="6913" max="6913" width="18.109375" customWidth="1"/>
    <col min="6914" max="6914" width="15.5546875" bestFit="1" customWidth="1"/>
    <col min="6915" max="6916" width="0" hidden="1" customWidth="1"/>
    <col min="6917" max="6917" width="22.5546875" bestFit="1" customWidth="1"/>
    <col min="6919" max="6920" width="10.6640625" customWidth="1"/>
    <col min="6921" max="6921" width="10.88671875" customWidth="1"/>
    <col min="6922" max="6922" width="9.5546875" customWidth="1"/>
    <col min="6923" max="6923" width="10.44140625" customWidth="1"/>
    <col min="6925" max="6925" width="10.44140625" customWidth="1"/>
    <col min="6926" max="6926" width="11.33203125" bestFit="1" customWidth="1"/>
    <col min="6927" max="6927" width="10" customWidth="1"/>
    <col min="6928" max="6929" width="8.109375" customWidth="1"/>
    <col min="6930" max="6932" width="12.44140625" customWidth="1"/>
    <col min="6933" max="6933" width="0" hidden="1" customWidth="1"/>
    <col min="6934" max="6934" width="11.88671875" customWidth="1"/>
    <col min="6935" max="6935" width="13.109375" customWidth="1"/>
    <col min="6936" max="6936" width="9.33203125" customWidth="1"/>
    <col min="6937" max="6937" width="12.5546875" customWidth="1"/>
    <col min="6938" max="6938" width="11.6640625" bestFit="1" customWidth="1"/>
    <col min="6939" max="6939" width="13.44140625" customWidth="1"/>
    <col min="6940" max="6940" width="14.109375" customWidth="1"/>
    <col min="6942" max="6942" width="11.5546875" bestFit="1" customWidth="1"/>
    <col min="6943" max="6943" width="10.44140625" bestFit="1" customWidth="1"/>
    <col min="6944" max="6944" width="12.33203125" bestFit="1" customWidth="1"/>
    <col min="7169" max="7169" width="18.109375" customWidth="1"/>
    <col min="7170" max="7170" width="15.5546875" bestFit="1" customWidth="1"/>
    <col min="7171" max="7172" width="0" hidden="1" customWidth="1"/>
    <col min="7173" max="7173" width="22.5546875" bestFit="1" customWidth="1"/>
    <col min="7175" max="7176" width="10.6640625" customWidth="1"/>
    <col min="7177" max="7177" width="10.88671875" customWidth="1"/>
    <col min="7178" max="7178" width="9.5546875" customWidth="1"/>
    <col min="7179" max="7179" width="10.44140625" customWidth="1"/>
    <col min="7181" max="7181" width="10.44140625" customWidth="1"/>
    <col min="7182" max="7182" width="11.33203125" bestFit="1" customWidth="1"/>
    <col min="7183" max="7183" width="10" customWidth="1"/>
    <col min="7184" max="7185" width="8.109375" customWidth="1"/>
    <col min="7186" max="7188" width="12.44140625" customWidth="1"/>
    <col min="7189" max="7189" width="0" hidden="1" customWidth="1"/>
    <col min="7190" max="7190" width="11.88671875" customWidth="1"/>
    <col min="7191" max="7191" width="13.109375" customWidth="1"/>
    <col min="7192" max="7192" width="9.33203125" customWidth="1"/>
    <col min="7193" max="7193" width="12.5546875" customWidth="1"/>
    <col min="7194" max="7194" width="11.6640625" bestFit="1" customWidth="1"/>
    <col min="7195" max="7195" width="13.44140625" customWidth="1"/>
    <col min="7196" max="7196" width="14.109375" customWidth="1"/>
    <col min="7198" max="7198" width="11.5546875" bestFit="1" customWidth="1"/>
    <col min="7199" max="7199" width="10.44140625" bestFit="1" customWidth="1"/>
    <col min="7200" max="7200" width="12.33203125" bestFit="1" customWidth="1"/>
    <col min="7425" max="7425" width="18.109375" customWidth="1"/>
    <col min="7426" max="7426" width="15.5546875" bestFit="1" customWidth="1"/>
    <col min="7427" max="7428" width="0" hidden="1" customWidth="1"/>
    <col min="7429" max="7429" width="22.5546875" bestFit="1" customWidth="1"/>
    <col min="7431" max="7432" width="10.6640625" customWidth="1"/>
    <col min="7433" max="7433" width="10.88671875" customWidth="1"/>
    <col min="7434" max="7434" width="9.5546875" customWidth="1"/>
    <col min="7435" max="7435" width="10.44140625" customWidth="1"/>
    <col min="7437" max="7437" width="10.44140625" customWidth="1"/>
    <col min="7438" max="7438" width="11.33203125" bestFit="1" customWidth="1"/>
    <col min="7439" max="7439" width="10" customWidth="1"/>
    <col min="7440" max="7441" width="8.109375" customWidth="1"/>
    <col min="7442" max="7444" width="12.44140625" customWidth="1"/>
    <col min="7445" max="7445" width="0" hidden="1" customWidth="1"/>
    <col min="7446" max="7446" width="11.88671875" customWidth="1"/>
    <col min="7447" max="7447" width="13.109375" customWidth="1"/>
    <col min="7448" max="7448" width="9.33203125" customWidth="1"/>
    <col min="7449" max="7449" width="12.5546875" customWidth="1"/>
    <col min="7450" max="7450" width="11.6640625" bestFit="1" customWidth="1"/>
    <col min="7451" max="7451" width="13.44140625" customWidth="1"/>
    <col min="7452" max="7452" width="14.109375" customWidth="1"/>
    <col min="7454" max="7454" width="11.5546875" bestFit="1" customWidth="1"/>
    <col min="7455" max="7455" width="10.44140625" bestFit="1" customWidth="1"/>
    <col min="7456" max="7456" width="12.33203125" bestFit="1" customWidth="1"/>
    <col min="7681" max="7681" width="18.109375" customWidth="1"/>
    <col min="7682" max="7682" width="15.5546875" bestFit="1" customWidth="1"/>
    <col min="7683" max="7684" width="0" hidden="1" customWidth="1"/>
    <col min="7685" max="7685" width="22.5546875" bestFit="1" customWidth="1"/>
    <col min="7687" max="7688" width="10.6640625" customWidth="1"/>
    <col min="7689" max="7689" width="10.88671875" customWidth="1"/>
    <col min="7690" max="7690" width="9.5546875" customWidth="1"/>
    <col min="7691" max="7691" width="10.44140625" customWidth="1"/>
    <col min="7693" max="7693" width="10.44140625" customWidth="1"/>
    <col min="7694" max="7694" width="11.33203125" bestFit="1" customWidth="1"/>
    <col min="7695" max="7695" width="10" customWidth="1"/>
    <col min="7696" max="7697" width="8.109375" customWidth="1"/>
    <col min="7698" max="7700" width="12.44140625" customWidth="1"/>
    <col min="7701" max="7701" width="0" hidden="1" customWidth="1"/>
    <col min="7702" max="7702" width="11.88671875" customWidth="1"/>
    <col min="7703" max="7703" width="13.109375" customWidth="1"/>
    <col min="7704" max="7704" width="9.33203125" customWidth="1"/>
    <col min="7705" max="7705" width="12.5546875" customWidth="1"/>
    <col min="7706" max="7706" width="11.6640625" bestFit="1" customWidth="1"/>
    <col min="7707" max="7707" width="13.44140625" customWidth="1"/>
    <col min="7708" max="7708" width="14.109375" customWidth="1"/>
    <col min="7710" max="7710" width="11.5546875" bestFit="1" customWidth="1"/>
    <col min="7711" max="7711" width="10.44140625" bestFit="1" customWidth="1"/>
    <col min="7712" max="7712" width="12.33203125" bestFit="1" customWidth="1"/>
    <col min="7937" max="7937" width="18.109375" customWidth="1"/>
    <col min="7938" max="7938" width="15.5546875" bestFit="1" customWidth="1"/>
    <col min="7939" max="7940" width="0" hidden="1" customWidth="1"/>
    <col min="7941" max="7941" width="22.5546875" bestFit="1" customWidth="1"/>
    <col min="7943" max="7944" width="10.6640625" customWidth="1"/>
    <col min="7945" max="7945" width="10.88671875" customWidth="1"/>
    <col min="7946" max="7946" width="9.5546875" customWidth="1"/>
    <col min="7947" max="7947" width="10.44140625" customWidth="1"/>
    <col min="7949" max="7949" width="10.44140625" customWidth="1"/>
    <col min="7950" max="7950" width="11.33203125" bestFit="1" customWidth="1"/>
    <col min="7951" max="7951" width="10" customWidth="1"/>
    <col min="7952" max="7953" width="8.109375" customWidth="1"/>
    <col min="7954" max="7956" width="12.44140625" customWidth="1"/>
    <col min="7957" max="7957" width="0" hidden="1" customWidth="1"/>
    <col min="7958" max="7958" width="11.88671875" customWidth="1"/>
    <col min="7959" max="7959" width="13.109375" customWidth="1"/>
    <col min="7960" max="7960" width="9.33203125" customWidth="1"/>
    <col min="7961" max="7961" width="12.5546875" customWidth="1"/>
    <col min="7962" max="7962" width="11.6640625" bestFit="1" customWidth="1"/>
    <col min="7963" max="7963" width="13.44140625" customWidth="1"/>
    <col min="7964" max="7964" width="14.109375" customWidth="1"/>
    <col min="7966" max="7966" width="11.5546875" bestFit="1" customWidth="1"/>
    <col min="7967" max="7967" width="10.44140625" bestFit="1" customWidth="1"/>
    <col min="7968" max="7968" width="12.33203125" bestFit="1" customWidth="1"/>
    <col min="8193" max="8193" width="18.109375" customWidth="1"/>
    <col min="8194" max="8194" width="15.5546875" bestFit="1" customWidth="1"/>
    <col min="8195" max="8196" width="0" hidden="1" customWidth="1"/>
    <col min="8197" max="8197" width="22.5546875" bestFit="1" customWidth="1"/>
    <col min="8199" max="8200" width="10.6640625" customWidth="1"/>
    <col min="8201" max="8201" width="10.88671875" customWidth="1"/>
    <col min="8202" max="8202" width="9.5546875" customWidth="1"/>
    <col min="8203" max="8203" width="10.44140625" customWidth="1"/>
    <col min="8205" max="8205" width="10.44140625" customWidth="1"/>
    <col min="8206" max="8206" width="11.33203125" bestFit="1" customWidth="1"/>
    <col min="8207" max="8207" width="10" customWidth="1"/>
    <col min="8208" max="8209" width="8.109375" customWidth="1"/>
    <col min="8210" max="8212" width="12.44140625" customWidth="1"/>
    <col min="8213" max="8213" width="0" hidden="1" customWidth="1"/>
    <col min="8214" max="8214" width="11.88671875" customWidth="1"/>
    <col min="8215" max="8215" width="13.109375" customWidth="1"/>
    <col min="8216" max="8216" width="9.33203125" customWidth="1"/>
    <col min="8217" max="8217" width="12.5546875" customWidth="1"/>
    <col min="8218" max="8218" width="11.6640625" bestFit="1" customWidth="1"/>
    <col min="8219" max="8219" width="13.44140625" customWidth="1"/>
    <col min="8220" max="8220" width="14.109375" customWidth="1"/>
    <col min="8222" max="8222" width="11.5546875" bestFit="1" customWidth="1"/>
    <col min="8223" max="8223" width="10.44140625" bestFit="1" customWidth="1"/>
    <col min="8224" max="8224" width="12.33203125" bestFit="1" customWidth="1"/>
    <col min="8449" max="8449" width="18.109375" customWidth="1"/>
    <col min="8450" max="8450" width="15.5546875" bestFit="1" customWidth="1"/>
    <col min="8451" max="8452" width="0" hidden="1" customWidth="1"/>
    <col min="8453" max="8453" width="22.5546875" bestFit="1" customWidth="1"/>
    <col min="8455" max="8456" width="10.6640625" customWidth="1"/>
    <col min="8457" max="8457" width="10.88671875" customWidth="1"/>
    <col min="8458" max="8458" width="9.5546875" customWidth="1"/>
    <col min="8459" max="8459" width="10.44140625" customWidth="1"/>
    <col min="8461" max="8461" width="10.44140625" customWidth="1"/>
    <col min="8462" max="8462" width="11.33203125" bestFit="1" customWidth="1"/>
    <col min="8463" max="8463" width="10" customWidth="1"/>
    <col min="8464" max="8465" width="8.109375" customWidth="1"/>
    <col min="8466" max="8468" width="12.44140625" customWidth="1"/>
    <col min="8469" max="8469" width="0" hidden="1" customWidth="1"/>
    <col min="8470" max="8470" width="11.88671875" customWidth="1"/>
    <col min="8471" max="8471" width="13.109375" customWidth="1"/>
    <col min="8472" max="8472" width="9.33203125" customWidth="1"/>
    <col min="8473" max="8473" width="12.5546875" customWidth="1"/>
    <col min="8474" max="8474" width="11.6640625" bestFit="1" customWidth="1"/>
    <col min="8475" max="8475" width="13.44140625" customWidth="1"/>
    <col min="8476" max="8476" width="14.109375" customWidth="1"/>
    <col min="8478" max="8478" width="11.5546875" bestFit="1" customWidth="1"/>
    <col min="8479" max="8479" width="10.44140625" bestFit="1" customWidth="1"/>
    <col min="8480" max="8480" width="12.33203125" bestFit="1" customWidth="1"/>
    <col min="8705" max="8705" width="18.109375" customWidth="1"/>
    <col min="8706" max="8706" width="15.5546875" bestFit="1" customWidth="1"/>
    <col min="8707" max="8708" width="0" hidden="1" customWidth="1"/>
    <col min="8709" max="8709" width="22.5546875" bestFit="1" customWidth="1"/>
    <col min="8711" max="8712" width="10.6640625" customWidth="1"/>
    <col min="8713" max="8713" width="10.88671875" customWidth="1"/>
    <col min="8714" max="8714" width="9.5546875" customWidth="1"/>
    <col min="8715" max="8715" width="10.44140625" customWidth="1"/>
    <col min="8717" max="8717" width="10.44140625" customWidth="1"/>
    <col min="8718" max="8718" width="11.33203125" bestFit="1" customWidth="1"/>
    <col min="8719" max="8719" width="10" customWidth="1"/>
    <col min="8720" max="8721" width="8.109375" customWidth="1"/>
    <col min="8722" max="8724" width="12.44140625" customWidth="1"/>
    <col min="8725" max="8725" width="0" hidden="1" customWidth="1"/>
    <col min="8726" max="8726" width="11.88671875" customWidth="1"/>
    <col min="8727" max="8727" width="13.109375" customWidth="1"/>
    <col min="8728" max="8728" width="9.33203125" customWidth="1"/>
    <col min="8729" max="8729" width="12.5546875" customWidth="1"/>
    <col min="8730" max="8730" width="11.6640625" bestFit="1" customWidth="1"/>
    <col min="8731" max="8731" width="13.44140625" customWidth="1"/>
    <col min="8732" max="8732" width="14.109375" customWidth="1"/>
    <col min="8734" max="8734" width="11.5546875" bestFit="1" customWidth="1"/>
    <col min="8735" max="8735" width="10.44140625" bestFit="1" customWidth="1"/>
    <col min="8736" max="8736" width="12.33203125" bestFit="1" customWidth="1"/>
    <col min="8961" max="8961" width="18.109375" customWidth="1"/>
    <col min="8962" max="8962" width="15.5546875" bestFit="1" customWidth="1"/>
    <col min="8963" max="8964" width="0" hidden="1" customWidth="1"/>
    <col min="8965" max="8965" width="22.5546875" bestFit="1" customWidth="1"/>
    <col min="8967" max="8968" width="10.6640625" customWidth="1"/>
    <col min="8969" max="8969" width="10.88671875" customWidth="1"/>
    <col min="8970" max="8970" width="9.5546875" customWidth="1"/>
    <col min="8971" max="8971" width="10.44140625" customWidth="1"/>
    <col min="8973" max="8973" width="10.44140625" customWidth="1"/>
    <col min="8974" max="8974" width="11.33203125" bestFit="1" customWidth="1"/>
    <col min="8975" max="8975" width="10" customWidth="1"/>
    <col min="8976" max="8977" width="8.109375" customWidth="1"/>
    <col min="8978" max="8980" width="12.44140625" customWidth="1"/>
    <col min="8981" max="8981" width="0" hidden="1" customWidth="1"/>
    <col min="8982" max="8982" width="11.88671875" customWidth="1"/>
    <col min="8983" max="8983" width="13.109375" customWidth="1"/>
    <col min="8984" max="8984" width="9.33203125" customWidth="1"/>
    <col min="8985" max="8985" width="12.5546875" customWidth="1"/>
    <col min="8986" max="8986" width="11.6640625" bestFit="1" customWidth="1"/>
    <col min="8987" max="8987" width="13.44140625" customWidth="1"/>
    <col min="8988" max="8988" width="14.109375" customWidth="1"/>
    <col min="8990" max="8990" width="11.5546875" bestFit="1" customWidth="1"/>
    <col min="8991" max="8991" width="10.44140625" bestFit="1" customWidth="1"/>
    <col min="8992" max="8992" width="12.33203125" bestFit="1" customWidth="1"/>
    <col min="9217" max="9217" width="18.109375" customWidth="1"/>
    <col min="9218" max="9218" width="15.5546875" bestFit="1" customWidth="1"/>
    <col min="9219" max="9220" width="0" hidden="1" customWidth="1"/>
    <col min="9221" max="9221" width="22.5546875" bestFit="1" customWidth="1"/>
    <col min="9223" max="9224" width="10.6640625" customWidth="1"/>
    <col min="9225" max="9225" width="10.88671875" customWidth="1"/>
    <col min="9226" max="9226" width="9.5546875" customWidth="1"/>
    <col min="9227" max="9227" width="10.44140625" customWidth="1"/>
    <col min="9229" max="9229" width="10.44140625" customWidth="1"/>
    <col min="9230" max="9230" width="11.33203125" bestFit="1" customWidth="1"/>
    <col min="9231" max="9231" width="10" customWidth="1"/>
    <col min="9232" max="9233" width="8.109375" customWidth="1"/>
    <col min="9234" max="9236" width="12.44140625" customWidth="1"/>
    <col min="9237" max="9237" width="0" hidden="1" customWidth="1"/>
    <col min="9238" max="9238" width="11.88671875" customWidth="1"/>
    <col min="9239" max="9239" width="13.109375" customWidth="1"/>
    <col min="9240" max="9240" width="9.33203125" customWidth="1"/>
    <col min="9241" max="9241" width="12.5546875" customWidth="1"/>
    <col min="9242" max="9242" width="11.6640625" bestFit="1" customWidth="1"/>
    <col min="9243" max="9243" width="13.44140625" customWidth="1"/>
    <col min="9244" max="9244" width="14.109375" customWidth="1"/>
    <col min="9246" max="9246" width="11.5546875" bestFit="1" customWidth="1"/>
    <col min="9247" max="9247" width="10.44140625" bestFit="1" customWidth="1"/>
    <col min="9248" max="9248" width="12.33203125" bestFit="1" customWidth="1"/>
    <col min="9473" max="9473" width="18.109375" customWidth="1"/>
    <col min="9474" max="9474" width="15.5546875" bestFit="1" customWidth="1"/>
    <col min="9475" max="9476" width="0" hidden="1" customWidth="1"/>
    <col min="9477" max="9477" width="22.5546875" bestFit="1" customWidth="1"/>
    <col min="9479" max="9480" width="10.6640625" customWidth="1"/>
    <col min="9481" max="9481" width="10.88671875" customWidth="1"/>
    <col min="9482" max="9482" width="9.5546875" customWidth="1"/>
    <col min="9483" max="9483" width="10.44140625" customWidth="1"/>
    <col min="9485" max="9485" width="10.44140625" customWidth="1"/>
    <col min="9486" max="9486" width="11.33203125" bestFit="1" customWidth="1"/>
    <col min="9487" max="9487" width="10" customWidth="1"/>
    <col min="9488" max="9489" width="8.109375" customWidth="1"/>
    <col min="9490" max="9492" width="12.44140625" customWidth="1"/>
    <col min="9493" max="9493" width="0" hidden="1" customWidth="1"/>
    <col min="9494" max="9494" width="11.88671875" customWidth="1"/>
    <col min="9495" max="9495" width="13.109375" customWidth="1"/>
    <col min="9496" max="9496" width="9.33203125" customWidth="1"/>
    <col min="9497" max="9497" width="12.5546875" customWidth="1"/>
    <col min="9498" max="9498" width="11.6640625" bestFit="1" customWidth="1"/>
    <col min="9499" max="9499" width="13.44140625" customWidth="1"/>
    <col min="9500" max="9500" width="14.109375" customWidth="1"/>
    <col min="9502" max="9502" width="11.5546875" bestFit="1" customWidth="1"/>
    <col min="9503" max="9503" width="10.44140625" bestFit="1" customWidth="1"/>
    <col min="9504" max="9504" width="12.33203125" bestFit="1" customWidth="1"/>
    <col min="9729" max="9729" width="18.109375" customWidth="1"/>
    <col min="9730" max="9730" width="15.5546875" bestFit="1" customWidth="1"/>
    <col min="9731" max="9732" width="0" hidden="1" customWidth="1"/>
    <col min="9733" max="9733" width="22.5546875" bestFit="1" customWidth="1"/>
    <col min="9735" max="9736" width="10.6640625" customWidth="1"/>
    <col min="9737" max="9737" width="10.88671875" customWidth="1"/>
    <col min="9738" max="9738" width="9.5546875" customWidth="1"/>
    <col min="9739" max="9739" width="10.44140625" customWidth="1"/>
    <col min="9741" max="9741" width="10.44140625" customWidth="1"/>
    <col min="9742" max="9742" width="11.33203125" bestFit="1" customWidth="1"/>
    <col min="9743" max="9743" width="10" customWidth="1"/>
    <col min="9744" max="9745" width="8.109375" customWidth="1"/>
    <col min="9746" max="9748" width="12.44140625" customWidth="1"/>
    <col min="9749" max="9749" width="0" hidden="1" customWidth="1"/>
    <col min="9750" max="9750" width="11.88671875" customWidth="1"/>
    <col min="9751" max="9751" width="13.109375" customWidth="1"/>
    <col min="9752" max="9752" width="9.33203125" customWidth="1"/>
    <col min="9753" max="9753" width="12.5546875" customWidth="1"/>
    <col min="9754" max="9754" width="11.6640625" bestFit="1" customWidth="1"/>
    <col min="9755" max="9755" width="13.44140625" customWidth="1"/>
    <col min="9756" max="9756" width="14.109375" customWidth="1"/>
    <col min="9758" max="9758" width="11.5546875" bestFit="1" customWidth="1"/>
    <col min="9759" max="9759" width="10.44140625" bestFit="1" customWidth="1"/>
    <col min="9760" max="9760" width="12.33203125" bestFit="1" customWidth="1"/>
    <col min="9985" max="9985" width="18.109375" customWidth="1"/>
    <col min="9986" max="9986" width="15.5546875" bestFit="1" customWidth="1"/>
    <col min="9987" max="9988" width="0" hidden="1" customWidth="1"/>
    <col min="9989" max="9989" width="22.5546875" bestFit="1" customWidth="1"/>
    <col min="9991" max="9992" width="10.6640625" customWidth="1"/>
    <col min="9993" max="9993" width="10.88671875" customWidth="1"/>
    <col min="9994" max="9994" width="9.5546875" customWidth="1"/>
    <col min="9995" max="9995" width="10.44140625" customWidth="1"/>
    <col min="9997" max="9997" width="10.44140625" customWidth="1"/>
    <col min="9998" max="9998" width="11.33203125" bestFit="1" customWidth="1"/>
    <col min="9999" max="9999" width="10" customWidth="1"/>
    <col min="10000" max="10001" width="8.109375" customWidth="1"/>
    <col min="10002" max="10004" width="12.44140625" customWidth="1"/>
    <col min="10005" max="10005" width="0" hidden="1" customWidth="1"/>
    <col min="10006" max="10006" width="11.88671875" customWidth="1"/>
    <col min="10007" max="10007" width="13.109375" customWidth="1"/>
    <col min="10008" max="10008" width="9.33203125" customWidth="1"/>
    <col min="10009" max="10009" width="12.5546875" customWidth="1"/>
    <col min="10010" max="10010" width="11.6640625" bestFit="1" customWidth="1"/>
    <col min="10011" max="10011" width="13.44140625" customWidth="1"/>
    <col min="10012" max="10012" width="14.109375" customWidth="1"/>
    <col min="10014" max="10014" width="11.5546875" bestFit="1" customWidth="1"/>
    <col min="10015" max="10015" width="10.44140625" bestFit="1" customWidth="1"/>
    <col min="10016" max="10016" width="12.33203125" bestFit="1" customWidth="1"/>
    <col min="10241" max="10241" width="18.109375" customWidth="1"/>
    <col min="10242" max="10242" width="15.5546875" bestFit="1" customWidth="1"/>
    <col min="10243" max="10244" width="0" hidden="1" customWidth="1"/>
    <col min="10245" max="10245" width="22.5546875" bestFit="1" customWidth="1"/>
    <col min="10247" max="10248" width="10.6640625" customWidth="1"/>
    <col min="10249" max="10249" width="10.88671875" customWidth="1"/>
    <col min="10250" max="10250" width="9.5546875" customWidth="1"/>
    <col min="10251" max="10251" width="10.44140625" customWidth="1"/>
    <col min="10253" max="10253" width="10.44140625" customWidth="1"/>
    <col min="10254" max="10254" width="11.33203125" bestFit="1" customWidth="1"/>
    <col min="10255" max="10255" width="10" customWidth="1"/>
    <col min="10256" max="10257" width="8.109375" customWidth="1"/>
    <col min="10258" max="10260" width="12.44140625" customWidth="1"/>
    <col min="10261" max="10261" width="0" hidden="1" customWidth="1"/>
    <col min="10262" max="10262" width="11.88671875" customWidth="1"/>
    <col min="10263" max="10263" width="13.109375" customWidth="1"/>
    <col min="10264" max="10264" width="9.33203125" customWidth="1"/>
    <col min="10265" max="10265" width="12.5546875" customWidth="1"/>
    <col min="10266" max="10266" width="11.6640625" bestFit="1" customWidth="1"/>
    <col min="10267" max="10267" width="13.44140625" customWidth="1"/>
    <col min="10268" max="10268" width="14.109375" customWidth="1"/>
    <col min="10270" max="10270" width="11.5546875" bestFit="1" customWidth="1"/>
    <col min="10271" max="10271" width="10.44140625" bestFit="1" customWidth="1"/>
    <col min="10272" max="10272" width="12.33203125" bestFit="1" customWidth="1"/>
    <col min="10497" max="10497" width="18.109375" customWidth="1"/>
    <col min="10498" max="10498" width="15.5546875" bestFit="1" customWidth="1"/>
    <col min="10499" max="10500" width="0" hidden="1" customWidth="1"/>
    <col min="10501" max="10501" width="22.5546875" bestFit="1" customWidth="1"/>
    <col min="10503" max="10504" width="10.6640625" customWidth="1"/>
    <col min="10505" max="10505" width="10.88671875" customWidth="1"/>
    <col min="10506" max="10506" width="9.5546875" customWidth="1"/>
    <col min="10507" max="10507" width="10.44140625" customWidth="1"/>
    <col min="10509" max="10509" width="10.44140625" customWidth="1"/>
    <col min="10510" max="10510" width="11.33203125" bestFit="1" customWidth="1"/>
    <col min="10511" max="10511" width="10" customWidth="1"/>
    <col min="10512" max="10513" width="8.109375" customWidth="1"/>
    <col min="10514" max="10516" width="12.44140625" customWidth="1"/>
    <col min="10517" max="10517" width="0" hidden="1" customWidth="1"/>
    <col min="10518" max="10518" width="11.88671875" customWidth="1"/>
    <col min="10519" max="10519" width="13.109375" customWidth="1"/>
    <col min="10520" max="10520" width="9.33203125" customWidth="1"/>
    <col min="10521" max="10521" width="12.5546875" customWidth="1"/>
    <col min="10522" max="10522" width="11.6640625" bestFit="1" customWidth="1"/>
    <col min="10523" max="10523" width="13.44140625" customWidth="1"/>
    <col min="10524" max="10524" width="14.109375" customWidth="1"/>
    <col min="10526" max="10526" width="11.5546875" bestFit="1" customWidth="1"/>
    <col min="10527" max="10527" width="10.44140625" bestFit="1" customWidth="1"/>
    <col min="10528" max="10528" width="12.33203125" bestFit="1" customWidth="1"/>
    <col min="10753" max="10753" width="18.109375" customWidth="1"/>
    <col min="10754" max="10754" width="15.5546875" bestFit="1" customWidth="1"/>
    <col min="10755" max="10756" width="0" hidden="1" customWidth="1"/>
    <col min="10757" max="10757" width="22.5546875" bestFit="1" customWidth="1"/>
    <col min="10759" max="10760" width="10.6640625" customWidth="1"/>
    <col min="10761" max="10761" width="10.88671875" customWidth="1"/>
    <col min="10762" max="10762" width="9.5546875" customWidth="1"/>
    <col min="10763" max="10763" width="10.44140625" customWidth="1"/>
    <col min="10765" max="10765" width="10.44140625" customWidth="1"/>
    <col min="10766" max="10766" width="11.33203125" bestFit="1" customWidth="1"/>
    <col min="10767" max="10767" width="10" customWidth="1"/>
    <col min="10768" max="10769" width="8.109375" customWidth="1"/>
    <col min="10770" max="10772" width="12.44140625" customWidth="1"/>
    <col min="10773" max="10773" width="0" hidden="1" customWidth="1"/>
    <col min="10774" max="10774" width="11.88671875" customWidth="1"/>
    <col min="10775" max="10775" width="13.109375" customWidth="1"/>
    <col min="10776" max="10776" width="9.33203125" customWidth="1"/>
    <col min="10777" max="10777" width="12.5546875" customWidth="1"/>
    <col min="10778" max="10778" width="11.6640625" bestFit="1" customWidth="1"/>
    <col min="10779" max="10779" width="13.44140625" customWidth="1"/>
    <col min="10780" max="10780" width="14.109375" customWidth="1"/>
    <col min="10782" max="10782" width="11.5546875" bestFit="1" customWidth="1"/>
    <col min="10783" max="10783" width="10.44140625" bestFit="1" customWidth="1"/>
    <col min="10784" max="10784" width="12.33203125" bestFit="1" customWidth="1"/>
    <col min="11009" max="11009" width="18.109375" customWidth="1"/>
    <col min="11010" max="11010" width="15.5546875" bestFit="1" customWidth="1"/>
    <col min="11011" max="11012" width="0" hidden="1" customWidth="1"/>
    <col min="11013" max="11013" width="22.5546875" bestFit="1" customWidth="1"/>
    <col min="11015" max="11016" width="10.6640625" customWidth="1"/>
    <col min="11017" max="11017" width="10.88671875" customWidth="1"/>
    <col min="11018" max="11018" width="9.5546875" customWidth="1"/>
    <col min="11019" max="11019" width="10.44140625" customWidth="1"/>
    <col min="11021" max="11021" width="10.44140625" customWidth="1"/>
    <col min="11022" max="11022" width="11.33203125" bestFit="1" customWidth="1"/>
    <col min="11023" max="11023" width="10" customWidth="1"/>
    <col min="11024" max="11025" width="8.109375" customWidth="1"/>
    <col min="11026" max="11028" width="12.44140625" customWidth="1"/>
    <col min="11029" max="11029" width="0" hidden="1" customWidth="1"/>
    <col min="11030" max="11030" width="11.88671875" customWidth="1"/>
    <col min="11031" max="11031" width="13.109375" customWidth="1"/>
    <col min="11032" max="11032" width="9.33203125" customWidth="1"/>
    <col min="11033" max="11033" width="12.5546875" customWidth="1"/>
    <col min="11034" max="11034" width="11.6640625" bestFit="1" customWidth="1"/>
    <col min="11035" max="11035" width="13.44140625" customWidth="1"/>
    <col min="11036" max="11036" width="14.109375" customWidth="1"/>
    <col min="11038" max="11038" width="11.5546875" bestFit="1" customWidth="1"/>
    <col min="11039" max="11039" width="10.44140625" bestFit="1" customWidth="1"/>
    <col min="11040" max="11040" width="12.33203125" bestFit="1" customWidth="1"/>
    <col min="11265" max="11265" width="18.109375" customWidth="1"/>
    <col min="11266" max="11266" width="15.5546875" bestFit="1" customWidth="1"/>
    <col min="11267" max="11268" width="0" hidden="1" customWidth="1"/>
    <col min="11269" max="11269" width="22.5546875" bestFit="1" customWidth="1"/>
    <col min="11271" max="11272" width="10.6640625" customWidth="1"/>
    <col min="11273" max="11273" width="10.88671875" customWidth="1"/>
    <col min="11274" max="11274" width="9.5546875" customWidth="1"/>
    <col min="11275" max="11275" width="10.44140625" customWidth="1"/>
    <col min="11277" max="11277" width="10.44140625" customWidth="1"/>
    <col min="11278" max="11278" width="11.33203125" bestFit="1" customWidth="1"/>
    <col min="11279" max="11279" width="10" customWidth="1"/>
    <col min="11280" max="11281" width="8.109375" customWidth="1"/>
    <col min="11282" max="11284" width="12.44140625" customWidth="1"/>
    <col min="11285" max="11285" width="0" hidden="1" customWidth="1"/>
    <col min="11286" max="11286" width="11.88671875" customWidth="1"/>
    <col min="11287" max="11287" width="13.109375" customWidth="1"/>
    <col min="11288" max="11288" width="9.33203125" customWidth="1"/>
    <col min="11289" max="11289" width="12.5546875" customWidth="1"/>
    <col min="11290" max="11290" width="11.6640625" bestFit="1" customWidth="1"/>
    <col min="11291" max="11291" width="13.44140625" customWidth="1"/>
    <col min="11292" max="11292" width="14.109375" customWidth="1"/>
    <col min="11294" max="11294" width="11.5546875" bestFit="1" customWidth="1"/>
    <col min="11295" max="11295" width="10.44140625" bestFit="1" customWidth="1"/>
    <col min="11296" max="11296" width="12.33203125" bestFit="1" customWidth="1"/>
    <col min="11521" max="11521" width="18.109375" customWidth="1"/>
    <col min="11522" max="11522" width="15.5546875" bestFit="1" customWidth="1"/>
    <col min="11523" max="11524" width="0" hidden="1" customWidth="1"/>
    <col min="11525" max="11525" width="22.5546875" bestFit="1" customWidth="1"/>
    <col min="11527" max="11528" width="10.6640625" customWidth="1"/>
    <col min="11529" max="11529" width="10.88671875" customWidth="1"/>
    <col min="11530" max="11530" width="9.5546875" customWidth="1"/>
    <col min="11531" max="11531" width="10.44140625" customWidth="1"/>
    <col min="11533" max="11533" width="10.44140625" customWidth="1"/>
    <col min="11534" max="11534" width="11.33203125" bestFit="1" customWidth="1"/>
    <col min="11535" max="11535" width="10" customWidth="1"/>
    <col min="11536" max="11537" width="8.109375" customWidth="1"/>
    <col min="11538" max="11540" width="12.44140625" customWidth="1"/>
    <col min="11541" max="11541" width="0" hidden="1" customWidth="1"/>
    <col min="11542" max="11542" width="11.88671875" customWidth="1"/>
    <col min="11543" max="11543" width="13.109375" customWidth="1"/>
    <col min="11544" max="11544" width="9.33203125" customWidth="1"/>
    <col min="11545" max="11545" width="12.5546875" customWidth="1"/>
    <col min="11546" max="11546" width="11.6640625" bestFit="1" customWidth="1"/>
    <col min="11547" max="11547" width="13.44140625" customWidth="1"/>
    <col min="11548" max="11548" width="14.109375" customWidth="1"/>
    <col min="11550" max="11550" width="11.5546875" bestFit="1" customWidth="1"/>
    <col min="11551" max="11551" width="10.44140625" bestFit="1" customWidth="1"/>
    <col min="11552" max="11552" width="12.33203125" bestFit="1" customWidth="1"/>
    <col min="11777" max="11777" width="18.109375" customWidth="1"/>
    <col min="11778" max="11778" width="15.5546875" bestFit="1" customWidth="1"/>
    <col min="11779" max="11780" width="0" hidden="1" customWidth="1"/>
    <col min="11781" max="11781" width="22.5546875" bestFit="1" customWidth="1"/>
    <col min="11783" max="11784" width="10.6640625" customWidth="1"/>
    <col min="11785" max="11785" width="10.88671875" customWidth="1"/>
    <col min="11786" max="11786" width="9.5546875" customWidth="1"/>
    <col min="11787" max="11787" width="10.44140625" customWidth="1"/>
    <col min="11789" max="11789" width="10.44140625" customWidth="1"/>
    <col min="11790" max="11790" width="11.33203125" bestFit="1" customWidth="1"/>
    <col min="11791" max="11791" width="10" customWidth="1"/>
    <col min="11792" max="11793" width="8.109375" customWidth="1"/>
    <col min="11794" max="11796" width="12.44140625" customWidth="1"/>
    <col min="11797" max="11797" width="0" hidden="1" customWidth="1"/>
    <col min="11798" max="11798" width="11.88671875" customWidth="1"/>
    <col min="11799" max="11799" width="13.109375" customWidth="1"/>
    <col min="11800" max="11800" width="9.33203125" customWidth="1"/>
    <col min="11801" max="11801" width="12.5546875" customWidth="1"/>
    <col min="11802" max="11802" width="11.6640625" bestFit="1" customWidth="1"/>
    <col min="11803" max="11803" width="13.44140625" customWidth="1"/>
    <col min="11804" max="11804" width="14.109375" customWidth="1"/>
    <col min="11806" max="11806" width="11.5546875" bestFit="1" customWidth="1"/>
    <col min="11807" max="11807" width="10.44140625" bestFit="1" customWidth="1"/>
    <col min="11808" max="11808" width="12.33203125" bestFit="1" customWidth="1"/>
    <col min="12033" max="12033" width="18.109375" customWidth="1"/>
    <col min="12034" max="12034" width="15.5546875" bestFit="1" customWidth="1"/>
    <col min="12035" max="12036" width="0" hidden="1" customWidth="1"/>
    <col min="12037" max="12037" width="22.5546875" bestFit="1" customWidth="1"/>
    <col min="12039" max="12040" width="10.6640625" customWidth="1"/>
    <col min="12041" max="12041" width="10.88671875" customWidth="1"/>
    <col min="12042" max="12042" width="9.5546875" customWidth="1"/>
    <col min="12043" max="12043" width="10.44140625" customWidth="1"/>
    <col min="12045" max="12045" width="10.44140625" customWidth="1"/>
    <col min="12046" max="12046" width="11.33203125" bestFit="1" customWidth="1"/>
    <col min="12047" max="12047" width="10" customWidth="1"/>
    <col min="12048" max="12049" width="8.109375" customWidth="1"/>
    <col min="12050" max="12052" width="12.44140625" customWidth="1"/>
    <col min="12053" max="12053" width="0" hidden="1" customWidth="1"/>
    <col min="12054" max="12054" width="11.88671875" customWidth="1"/>
    <col min="12055" max="12055" width="13.109375" customWidth="1"/>
    <col min="12056" max="12056" width="9.33203125" customWidth="1"/>
    <col min="12057" max="12057" width="12.5546875" customWidth="1"/>
    <col min="12058" max="12058" width="11.6640625" bestFit="1" customWidth="1"/>
    <col min="12059" max="12059" width="13.44140625" customWidth="1"/>
    <col min="12060" max="12060" width="14.109375" customWidth="1"/>
    <col min="12062" max="12062" width="11.5546875" bestFit="1" customWidth="1"/>
    <col min="12063" max="12063" width="10.44140625" bestFit="1" customWidth="1"/>
    <col min="12064" max="12064" width="12.33203125" bestFit="1" customWidth="1"/>
    <col min="12289" max="12289" width="18.109375" customWidth="1"/>
    <col min="12290" max="12290" width="15.5546875" bestFit="1" customWidth="1"/>
    <col min="12291" max="12292" width="0" hidden="1" customWidth="1"/>
    <col min="12293" max="12293" width="22.5546875" bestFit="1" customWidth="1"/>
    <col min="12295" max="12296" width="10.6640625" customWidth="1"/>
    <col min="12297" max="12297" width="10.88671875" customWidth="1"/>
    <col min="12298" max="12298" width="9.5546875" customWidth="1"/>
    <col min="12299" max="12299" width="10.44140625" customWidth="1"/>
    <col min="12301" max="12301" width="10.44140625" customWidth="1"/>
    <col min="12302" max="12302" width="11.33203125" bestFit="1" customWidth="1"/>
    <col min="12303" max="12303" width="10" customWidth="1"/>
    <col min="12304" max="12305" width="8.109375" customWidth="1"/>
    <col min="12306" max="12308" width="12.44140625" customWidth="1"/>
    <col min="12309" max="12309" width="0" hidden="1" customWidth="1"/>
    <col min="12310" max="12310" width="11.88671875" customWidth="1"/>
    <col min="12311" max="12311" width="13.109375" customWidth="1"/>
    <col min="12312" max="12312" width="9.33203125" customWidth="1"/>
    <col min="12313" max="12313" width="12.5546875" customWidth="1"/>
    <col min="12314" max="12314" width="11.6640625" bestFit="1" customWidth="1"/>
    <col min="12315" max="12315" width="13.44140625" customWidth="1"/>
    <col min="12316" max="12316" width="14.109375" customWidth="1"/>
    <col min="12318" max="12318" width="11.5546875" bestFit="1" customWidth="1"/>
    <col min="12319" max="12319" width="10.44140625" bestFit="1" customWidth="1"/>
    <col min="12320" max="12320" width="12.33203125" bestFit="1" customWidth="1"/>
    <col min="12545" max="12545" width="18.109375" customWidth="1"/>
    <col min="12546" max="12546" width="15.5546875" bestFit="1" customWidth="1"/>
    <col min="12547" max="12548" width="0" hidden="1" customWidth="1"/>
    <col min="12549" max="12549" width="22.5546875" bestFit="1" customWidth="1"/>
    <col min="12551" max="12552" width="10.6640625" customWidth="1"/>
    <col min="12553" max="12553" width="10.88671875" customWidth="1"/>
    <col min="12554" max="12554" width="9.5546875" customWidth="1"/>
    <col min="12555" max="12555" width="10.44140625" customWidth="1"/>
    <col min="12557" max="12557" width="10.44140625" customWidth="1"/>
    <col min="12558" max="12558" width="11.33203125" bestFit="1" customWidth="1"/>
    <col min="12559" max="12559" width="10" customWidth="1"/>
    <col min="12560" max="12561" width="8.109375" customWidth="1"/>
    <col min="12562" max="12564" width="12.44140625" customWidth="1"/>
    <col min="12565" max="12565" width="0" hidden="1" customWidth="1"/>
    <col min="12566" max="12566" width="11.88671875" customWidth="1"/>
    <col min="12567" max="12567" width="13.109375" customWidth="1"/>
    <col min="12568" max="12568" width="9.33203125" customWidth="1"/>
    <col min="12569" max="12569" width="12.5546875" customWidth="1"/>
    <col min="12570" max="12570" width="11.6640625" bestFit="1" customWidth="1"/>
    <col min="12571" max="12571" width="13.44140625" customWidth="1"/>
    <col min="12572" max="12572" width="14.109375" customWidth="1"/>
    <col min="12574" max="12574" width="11.5546875" bestFit="1" customWidth="1"/>
    <col min="12575" max="12575" width="10.44140625" bestFit="1" customWidth="1"/>
    <col min="12576" max="12576" width="12.33203125" bestFit="1" customWidth="1"/>
    <col min="12801" max="12801" width="18.109375" customWidth="1"/>
    <col min="12802" max="12802" width="15.5546875" bestFit="1" customWidth="1"/>
    <col min="12803" max="12804" width="0" hidden="1" customWidth="1"/>
    <col min="12805" max="12805" width="22.5546875" bestFit="1" customWidth="1"/>
    <col min="12807" max="12808" width="10.6640625" customWidth="1"/>
    <col min="12809" max="12809" width="10.88671875" customWidth="1"/>
    <col min="12810" max="12810" width="9.5546875" customWidth="1"/>
    <col min="12811" max="12811" width="10.44140625" customWidth="1"/>
    <col min="12813" max="12813" width="10.44140625" customWidth="1"/>
    <col min="12814" max="12814" width="11.33203125" bestFit="1" customWidth="1"/>
    <col min="12815" max="12815" width="10" customWidth="1"/>
    <col min="12816" max="12817" width="8.109375" customWidth="1"/>
    <col min="12818" max="12820" width="12.44140625" customWidth="1"/>
    <col min="12821" max="12821" width="0" hidden="1" customWidth="1"/>
    <col min="12822" max="12822" width="11.88671875" customWidth="1"/>
    <col min="12823" max="12823" width="13.109375" customWidth="1"/>
    <col min="12824" max="12824" width="9.33203125" customWidth="1"/>
    <col min="12825" max="12825" width="12.5546875" customWidth="1"/>
    <col min="12826" max="12826" width="11.6640625" bestFit="1" customWidth="1"/>
    <col min="12827" max="12827" width="13.44140625" customWidth="1"/>
    <col min="12828" max="12828" width="14.109375" customWidth="1"/>
    <col min="12830" max="12830" width="11.5546875" bestFit="1" customWidth="1"/>
    <col min="12831" max="12831" width="10.44140625" bestFit="1" customWidth="1"/>
    <col min="12832" max="12832" width="12.33203125" bestFit="1" customWidth="1"/>
    <col min="13057" max="13057" width="18.109375" customWidth="1"/>
    <col min="13058" max="13058" width="15.5546875" bestFit="1" customWidth="1"/>
    <col min="13059" max="13060" width="0" hidden="1" customWidth="1"/>
    <col min="13061" max="13061" width="22.5546875" bestFit="1" customWidth="1"/>
    <col min="13063" max="13064" width="10.6640625" customWidth="1"/>
    <col min="13065" max="13065" width="10.88671875" customWidth="1"/>
    <col min="13066" max="13066" width="9.5546875" customWidth="1"/>
    <col min="13067" max="13067" width="10.44140625" customWidth="1"/>
    <col min="13069" max="13069" width="10.44140625" customWidth="1"/>
    <col min="13070" max="13070" width="11.33203125" bestFit="1" customWidth="1"/>
    <col min="13071" max="13071" width="10" customWidth="1"/>
    <col min="13072" max="13073" width="8.109375" customWidth="1"/>
    <col min="13074" max="13076" width="12.44140625" customWidth="1"/>
    <col min="13077" max="13077" width="0" hidden="1" customWidth="1"/>
    <col min="13078" max="13078" width="11.88671875" customWidth="1"/>
    <col min="13079" max="13079" width="13.109375" customWidth="1"/>
    <col min="13080" max="13080" width="9.33203125" customWidth="1"/>
    <col min="13081" max="13081" width="12.5546875" customWidth="1"/>
    <col min="13082" max="13082" width="11.6640625" bestFit="1" customWidth="1"/>
    <col min="13083" max="13083" width="13.44140625" customWidth="1"/>
    <col min="13084" max="13084" width="14.109375" customWidth="1"/>
    <col min="13086" max="13086" width="11.5546875" bestFit="1" customWidth="1"/>
    <col min="13087" max="13087" width="10.44140625" bestFit="1" customWidth="1"/>
    <col min="13088" max="13088" width="12.33203125" bestFit="1" customWidth="1"/>
    <col min="13313" max="13313" width="18.109375" customWidth="1"/>
    <col min="13314" max="13314" width="15.5546875" bestFit="1" customWidth="1"/>
    <col min="13315" max="13316" width="0" hidden="1" customWidth="1"/>
    <col min="13317" max="13317" width="22.5546875" bestFit="1" customWidth="1"/>
    <col min="13319" max="13320" width="10.6640625" customWidth="1"/>
    <col min="13321" max="13321" width="10.88671875" customWidth="1"/>
    <col min="13322" max="13322" width="9.5546875" customWidth="1"/>
    <col min="13323" max="13323" width="10.44140625" customWidth="1"/>
    <col min="13325" max="13325" width="10.44140625" customWidth="1"/>
    <col min="13326" max="13326" width="11.33203125" bestFit="1" customWidth="1"/>
    <col min="13327" max="13327" width="10" customWidth="1"/>
    <col min="13328" max="13329" width="8.109375" customWidth="1"/>
    <col min="13330" max="13332" width="12.44140625" customWidth="1"/>
    <col min="13333" max="13333" width="0" hidden="1" customWidth="1"/>
    <col min="13334" max="13334" width="11.88671875" customWidth="1"/>
    <col min="13335" max="13335" width="13.109375" customWidth="1"/>
    <col min="13336" max="13336" width="9.33203125" customWidth="1"/>
    <col min="13337" max="13337" width="12.5546875" customWidth="1"/>
    <col min="13338" max="13338" width="11.6640625" bestFit="1" customWidth="1"/>
    <col min="13339" max="13339" width="13.44140625" customWidth="1"/>
    <col min="13340" max="13340" width="14.109375" customWidth="1"/>
    <col min="13342" max="13342" width="11.5546875" bestFit="1" customWidth="1"/>
    <col min="13343" max="13343" width="10.44140625" bestFit="1" customWidth="1"/>
    <col min="13344" max="13344" width="12.33203125" bestFit="1" customWidth="1"/>
    <col min="13569" max="13569" width="18.109375" customWidth="1"/>
    <col min="13570" max="13570" width="15.5546875" bestFit="1" customWidth="1"/>
    <col min="13571" max="13572" width="0" hidden="1" customWidth="1"/>
    <col min="13573" max="13573" width="22.5546875" bestFit="1" customWidth="1"/>
    <col min="13575" max="13576" width="10.6640625" customWidth="1"/>
    <col min="13577" max="13577" width="10.88671875" customWidth="1"/>
    <col min="13578" max="13578" width="9.5546875" customWidth="1"/>
    <col min="13579" max="13579" width="10.44140625" customWidth="1"/>
    <col min="13581" max="13581" width="10.44140625" customWidth="1"/>
    <col min="13582" max="13582" width="11.33203125" bestFit="1" customWidth="1"/>
    <col min="13583" max="13583" width="10" customWidth="1"/>
    <col min="13584" max="13585" width="8.109375" customWidth="1"/>
    <col min="13586" max="13588" width="12.44140625" customWidth="1"/>
    <col min="13589" max="13589" width="0" hidden="1" customWidth="1"/>
    <col min="13590" max="13590" width="11.88671875" customWidth="1"/>
    <col min="13591" max="13591" width="13.109375" customWidth="1"/>
    <col min="13592" max="13592" width="9.33203125" customWidth="1"/>
    <col min="13593" max="13593" width="12.5546875" customWidth="1"/>
    <col min="13594" max="13594" width="11.6640625" bestFit="1" customWidth="1"/>
    <col min="13595" max="13595" width="13.44140625" customWidth="1"/>
    <col min="13596" max="13596" width="14.109375" customWidth="1"/>
    <col min="13598" max="13598" width="11.5546875" bestFit="1" customWidth="1"/>
    <col min="13599" max="13599" width="10.44140625" bestFit="1" customWidth="1"/>
    <col min="13600" max="13600" width="12.33203125" bestFit="1" customWidth="1"/>
    <col min="13825" max="13825" width="18.109375" customWidth="1"/>
    <col min="13826" max="13826" width="15.5546875" bestFit="1" customWidth="1"/>
    <col min="13827" max="13828" width="0" hidden="1" customWidth="1"/>
    <col min="13829" max="13829" width="22.5546875" bestFit="1" customWidth="1"/>
    <col min="13831" max="13832" width="10.6640625" customWidth="1"/>
    <col min="13833" max="13833" width="10.88671875" customWidth="1"/>
    <col min="13834" max="13834" width="9.5546875" customWidth="1"/>
    <col min="13835" max="13835" width="10.44140625" customWidth="1"/>
    <col min="13837" max="13837" width="10.44140625" customWidth="1"/>
    <col min="13838" max="13838" width="11.33203125" bestFit="1" customWidth="1"/>
    <col min="13839" max="13839" width="10" customWidth="1"/>
    <col min="13840" max="13841" width="8.109375" customWidth="1"/>
    <col min="13842" max="13844" width="12.44140625" customWidth="1"/>
    <col min="13845" max="13845" width="0" hidden="1" customWidth="1"/>
    <col min="13846" max="13846" width="11.88671875" customWidth="1"/>
    <col min="13847" max="13847" width="13.109375" customWidth="1"/>
    <col min="13848" max="13848" width="9.33203125" customWidth="1"/>
    <col min="13849" max="13849" width="12.5546875" customWidth="1"/>
    <col min="13850" max="13850" width="11.6640625" bestFit="1" customWidth="1"/>
    <col min="13851" max="13851" width="13.44140625" customWidth="1"/>
    <col min="13852" max="13852" width="14.109375" customWidth="1"/>
    <col min="13854" max="13854" width="11.5546875" bestFit="1" customWidth="1"/>
    <col min="13855" max="13855" width="10.44140625" bestFit="1" customWidth="1"/>
    <col min="13856" max="13856" width="12.33203125" bestFit="1" customWidth="1"/>
    <col min="14081" max="14081" width="18.109375" customWidth="1"/>
    <col min="14082" max="14082" width="15.5546875" bestFit="1" customWidth="1"/>
    <col min="14083" max="14084" width="0" hidden="1" customWidth="1"/>
    <col min="14085" max="14085" width="22.5546875" bestFit="1" customWidth="1"/>
    <col min="14087" max="14088" width="10.6640625" customWidth="1"/>
    <col min="14089" max="14089" width="10.88671875" customWidth="1"/>
    <col min="14090" max="14090" width="9.5546875" customWidth="1"/>
    <col min="14091" max="14091" width="10.44140625" customWidth="1"/>
    <col min="14093" max="14093" width="10.44140625" customWidth="1"/>
    <col min="14094" max="14094" width="11.33203125" bestFit="1" customWidth="1"/>
    <col min="14095" max="14095" width="10" customWidth="1"/>
    <col min="14096" max="14097" width="8.109375" customWidth="1"/>
    <col min="14098" max="14100" width="12.44140625" customWidth="1"/>
    <col min="14101" max="14101" width="0" hidden="1" customWidth="1"/>
    <col min="14102" max="14102" width="11.88671875" customWidth="1"/>
    <col min="14103" max="14103" width="13.109375" customWidth="1"/>
    <col min="14104" max="14104" width="9.33203125" customWidth="1"/>
    <col min="14105" max="14105" width="12.5546875" customWidth="1"/>
    <col min="14106" max="14106" width="11.6640625" bestFit="1" customWidth="1"/>
    <col min="14107" max="14107" width="13.44140625" customWidth="1"/>
    <col min="14108" max="14108" width="14.109375" customWidth="1"/>
    <col min="14110" max="14110" width="11.5546875" bestFit="1" customWidth="1"/>
    <col min="14111" max="14111" width="10.44140625" bestFit="1" customWidth="1"/>
    <col min="14112" max="14112" width="12.33203125" bestFit="1" customWidth="1"/>
    <col min="14337" max="14337" width="18.109375" customWidth="1"/>
    <col min="14338" max="14338" width="15.5546875" bestFit="1" customWidth="1"/>
    <col min="14339" max="14340" width="0" hidden="1" customWidth="1"/>
    <col min="14341" max="14341" width="22.5546875" bestFit="1" customWidth="1"/>
    <col min="14343" max="14344" width="10.6640625" customWidth="1"/>
    <col min="14345" max="14345" width="10.88671875" customWidth="1"/>
    <col min="14346" max="14346" width="9.5546875" customWidth="1"/>
    <col min="14347" max="14347" width="10.44140625" customWidth="1"/>
    <col min="14349" max="14349" width="10.44140625" customWidth="1"/>
    <col min="14350" max="14350" width="11.33203125" bestFit="1" customWidth="1"/>
    <col min="14351" max="14351" width="10" customWidth="1"/>
    <col min="14352" max="14353" width="8.109375" customWidth="1"/>
    <col min="14354" max="14356" width="12.44140625" customWidth="1"/>
    <col min="14357" max="14357" width="0" hidden="1" customWidth="1"/>
    <col min="14358" max="14358" width="11.88671875" customWidth="1"/>
    <col min="14359" max="14359" width="13.109375" customWidth="1"/>
    <col min="14360" max="14360" width="9.33203125" customWidth="1"/>
    <col min="14361" max="14361" width="12.5546875" customWidth="1"/>
    <col min="14362" max="14362" width="11.6640625" bestFit="1" customWidth="1"/>
    <col min="14363" max="14363" width="13.44140625" customWidth="1"/>
    <col min="14364" max="14364" width="14.109375" customWidth="1"/>
    <col min="14366" max="14366" width="11.5546875" bestFit="1" customWidth="1"/>
    <col min="14367" max="14367" width="10.44140625" bestFit="1" customWidth="1"/>
    <col min="14368" max="14368" width="12.33203125" bestFit="1" customWidth="1"/>
    <col min="14593" max="14593" width="18.109375" customWidth="1"/>
    <col min="14594" max="14594" width="15.5546875" bestFit="1" customWidth="1"/>
    <col min="14595" max="14596" width="0" hidden="1" customWidth="1"/>
    <col min="14597" max="14597" width="22.5546875" bestFit="1" customWidth="1"/>
    <col min="14599" max="14600" width="10.6640625" customWidth="1"/>
    <col min="14601" max="14601" width="10.88671875" customWidth="1"/>
    <col min="14602" max="14602" width="9.5546875" customWidth="1"/>
    <col min="14603" max="14603" width="10.44140625" customWidth="1"/>
    <col min="14605" max="14605" width="10.44140625" customWidth="1"/>
    <col min="14606" max="14606" width="11.33203125" bestFit="1" customWidth="1"/>
    <col min="14607" max="14607" width="10" customWidth="1"/>
    <col min="14608" max="14609" width="8.109375" customWidth="1"/>
    <col min="14610" max="14612" width="12.44140625" customWidth="1"/>
    <col min="14613" max="14613" width="0" hidden="1" customWidth="1"/>
    <col min="14614" max="14614" width="11.88671875" customWidth="1"/>
    <col min="14615" max="14615" width="13.109375" customWidth="1"/>
    <col min="14616" max="14616" width="9.33203125" customWidth="1"/>
    <col min="14617" max="14617" width="12.5546875" customWidth="1"/>
    <col min="14618" max="14618" width="11.6640625" bestFit="1" customWidth="1"/>
    <col min="14619" max="14619" width="13.44140625" customWidth="1"/>
    <col min="14620" max="14620" width="14.109375" customWidth="1"/>
    <col min="14622" max="14622" width="11.5546875" bestFit="1" customWidth="1"/>
    <col min="14623" max="14623" width="10.44140625" bestFit="1" customWidth="1"/>
    <col min="14624" max="14624" width="12.33203125" bestFit="1" customWidth="1"/>
    <col min="14849" max="14849" width="18.109375" customWidth="1"/>
    <col min="14850" max="14850" width="15.5546875" bestFit="1" customWidth="1"/>
    <col min="14851" max="14852" width="0" hidden="1" customWidth="1"/>
    <col min="14853" max="14853" width="22.5546875" bestFit="1" customWidth="1"/>
    <col min="14855" max="14856" width="10.6640625" customWidth="1"/>
    <col min="14857" max="14857" width="10.88671875" customWidth="1"/>
    <col min="14858" max="14858" width="9.5546875" customWidth="1"/>
    <col min="14859" max="14859" width="10.44140625" customWidth="1"/>
    <col min="14861" max="14861" width="10.44140625" customWidth="1"/>
    <col min="14862" max="14862" width="11.33203125" bestFit="1" customWidth="1"/>
    <col min="14863" max="14863" width="10" customWidth="1"/>
    <col min="14864" max="14865" width="8.109375" customWidth="1"/>
    <col min="14866" max="14868" width="12.44140625" customWidth="1"/>
    <col min="14869" max="14869" width="0" hidden="1" customWidth="1"/>
    <col min="14870" max="14870" width="11.88671875" customWidth="1"/>
    <col min="14871" max="14871" width="13.109375" customWidth="1"/>
    <col min="14872" max="14872" width="9.33203125" customWidth="1"/>
    <col min="14873" max="14873" width="12.5546875" customWidth="1"/>
    <col min="14874" max="14874" width="11.6640625" bestFit="1" customWidth="1"/>
    <col min="14875" max="14875" width="13.44140625" customWidth="1"/>
    <col min="14876" max="14876" width="14.109375" customWidth="1"/>
    <col min="14878" max="14878" width="11.5546875" bestFit="1" customWidth="1"/>
    <col min="14879" max="14879" width="10.44140625" bestFit="1" customWidth="1"/>
    <col min="14880" max="14880" width="12.33203125" bestFit="1" customWidth="1"/>
    <col min="15105" max="15105" width="18.109375" customWidth="1"/>
    <col min="15106" max="15106" width="15.5546875" bestFit="1" customWidth="1"/>
    <col min="15107" max="15108" width="0" hidden="1" customWidth="1"/>
    <col min="15109" max="15109" width="22.5546875" bestFit="1" customWidth="1"/>
    <col min="15111" max="15112" width="10.6640625" customWidth="1"/>
    <col min="15113" max="15113" width="10.88671875" customWidth="1"/>
    <col min="15114" max="15114" width="9.5546875" customWidth="1"/>
    <col min="15115" max="15115" width="10.44140625" customWidth="1"/>
    <col min="15117" max="15117" width="10.44140625" customWidth="1"/>
    <col min="15118" max="15118" width="11.33203125" bestFit="1" customWidth="1"/>
    <col min="15119" max="15119" width="10" customWidth="1"/>
    <col min="15120" max="15121" width="8.109375" customWidth="1"/>
    <col min="15122" max="15124" width="12.44140625" customWidth="1"/>
    <col min="15125" max="15125" width="0" hidden="1" customWidth="1"/>
    <col min="15126" max="15126" width="11.88671875" customWidth="1"/>
    <col min="15127" max="15127" width="13.109375" customWidth="1"/>
    <col min="15128" max="15128" width="9.33203125" customWidth="1"/>
    <col min="15129" max="15129" width="12.5546875" customWidth="1"/>
    <col min="15130" max="15130" width="11.6640625" bestFit="1" customWidth="1"/>
    <col min="15131" max="15131" width="13.44140625" customWidth="1"/>
    <col min="15132" max="15132" width="14.109375" customWidth="1"/>
    <col min="15134" max="15134" width="11.5546875" bestFit="1" customWidth="1"/>
    <col min="15135" max="15135" width="10.44140625" bestFit="1" customWidth="1"/>
    <col min="15136" max="15136" width="12.33203125" bestFit="1" customWidth="1"/>
    <col min="15361" max="15361" width="18.109375" customWidth="1"/>
    <col min="15362" max="15362" width="15.5546875" bestFit="1" customWidth="1"/>
    <col min="15363" max="15364" width="0" hidden="1" customWidth="1"/>
    <col min="15365" max="15365" width="22.5546875" bestFit="1" customWidth="1"/>
    <col min="15367" max="15368" width="10.6640625" customWidth="1"/>
    <col min="15369" max="15369" width="10.88671875" customWidth="1"/>
    <col min="15370" max="15370" width="9.5546875" customWidth="1"/>
    <col min="15371" max="15371" width="10.44140625" customWidth="1"/>
    <col min="15373" max="15373" width="10.44140625" customWidth="1"/>
    <col min="15374" max="15374" width="11.33203125" bestFit="1" customWidth="1"/>
    <col min="15375" max="15375" width="10" customWidth="1"/>
    <col min="15376" max="15377" width="8.109375" customWidth="1"/>
    <col min="15378" max="15380" width="12.44140625" customWidth="1"/>
    <col min="15381" max="15381" width="0" hidden="1" customWidth="1"/>
    <col min="15382" max="15382" width="11.88671875" customWidth="1"/>
    <col min="15383" max="15383" width="13.109375" customWidth="1"/>
    <col min="15384" max="15384" width="9.33203125" customWidth="1"/>
    <col min="15385" max="15385" width="12.5546875" customWidth="1"/>
    <col min="15386" max="15386" width="11.6640625" bestFit="1" customWidth="1"/>
    <col min="15387" max="15387" width="13.44140625" customWidth="1"/>
    <col min="15388" max="15388" width="14.109375" customWidth="1"/>
    <col min="15390" max="15390" width="11.5546875" bestFit="1" customWidth="1"/>
    <col min="15391" max="15391" width="10.44140625" bestFit="1" customWidth="1"/>
    <col min="15392" max="15392" width="12.33203125" bestFit="1" customWidth="1"/>
    <col min="15617" max="15617" width="18.109375" customWidth="1"/>
    <col min="15618" max="15618" width="15.5546875" bestFit="1" customWidth="1"/>
    <col min="15619" max="15620" width="0" hidden="1" customWidth="1"/>
    <col min="15621" max="15621" width="22.5546875" bestFit="1" customWidth="1"/>
    <col min="15623" max="15624" width="10.6640625" customWidth="1"/>
    <col min="15625" max="15625" width="10.88671875" customWidth="1"/>
    <col min="15626" max="15626" width="9.5546875" customWidth="1"/>
    <col min="15627" max="15627" width="10.44140625" customWidth="1"/>
    <col min="15629" max="15629" width="10.44140625" customWidth="1"/>
    <col min="15630" max="15630" width="11.33203125" bestFit="1" customWidth="1"/>
    <col min="15631" max="15631" width="10" customWidth="1"/>
    <col min="15632" max="15633" width="8.109375" customWidth="1"/>
    <col min="15634" max="15636" width="12.44140625" customWidth="1"/>
    <col min="15637" max="15637" width="0" hidden="1" customWidth="1"/>
    <col min="15638" max="15638" width="11.88671875" customWidth="1"/>
    <col min="15639" max="15639" width="13.109375" customWidth="1"/>
    <col min="15640" max="15640" width="9.33203125" customWidth="1"/>
    <col min="15641" max="15641" width="12.5546875" customWidth="1"/>
    <col min="15642" max="15642" width="11.6640625" bestFit="1" customWidth="1"/>
    <col min="15643" max="15643" width="13.44140625" customWidth="1"/>
    <col min="15644" max="15644" width="14.109375" customWidth="1"/>
    <col min="15646" max="15646" width="11.5546875" bestFit="1" customWidth="1"/>
    <col min="15647" max="15647" width="10.44140625" bestFit="1" customWidth="1"/>
    <col min="15648" max="15648" width="12.33203125" bestFit="1" customWidth="1"/>
    <col min="15873" max="15873" width="18.109375" customWidth="1"/>
    <col min="15874" max="15874" width="15.5546875" bestFit="1" customWidth="1"/>
    <col min="15875" max="15876" width="0" hidden="1" customWidth="1"/>
    <col min="15877" max="15877" width="22.5546875" bestFit="1" customWidth="1"/>
    <col min="15879" max="15880" width="10.6640625" customWidth="1"/>
    <col min="15881" max="15881" width="10.88671875" customWidth="1"/>
    <col min="15882" max="15882" width="9.5546875" customWidth="1"/>
    <col min="15883" max="15883" width="10.44140625" customWidth="1"/>
    <col min="15885" max="15885" width="10.44140625" customWidth="1"/>
    <col min="15886" max="15886" width="11.33203125" bestFit="1" customWidth="1"/>
    <col min="15887" max="15887" width="10" customWidth="1"/>
    <col min="15888" max="15889" width="8.109375" customWidth="1"/>
    <col min="15890" max="15892" width="12.44140625" customWidth="1"/>
    <col min="15893" max="15893" width="0" hidden="1" customWidth="1"/>
    <col min="15894" max="15894" width="11.88671875" customWidth="1"/>
    <col min="15895" max="15895" width="13.109375" customWidth="1"/>
    <col min="15896" max="15896" width="9.33203125" customWidth="1"/>
    <col min="15897" max="15897" width="12.5546875" customWidth="1"/>
    <col min="15898" max="15898" width="11.6640625" bestFit="1" customWidth="1"/>
    <col min="15899" max="15899" width="13.44140625" customWidth="1"/>
    <col min="15900" max="15900" width="14.109375" customWidth="1"/>
    <col min="15902" max="15902" width="11.5546875" bestFit="1" customWidth="1"/>
    <col min="15903" max="15903" width="10.44140625" bestFit="1" customWidth="1"/>
    <col min="15904" max="15904" width="12.33203125" bestFit="1" customWidth="1"/>
    <col min="16129" max="16129" width="18.109375" customWidth="1"/>
    <col min="16130" max="16130" width="15.5546875" bestFit="1" customWidth="1"/>
    <col min="16131" max="16132" width="0" hidden="1" customWidth="1"/>
    <col min="16133" max="16133" width="22.5546875" bestFit="1" customWidth="1"/>
    <col min="16135" max="16136" width="10.6640625" customWidth="1"/>
    <col min="16137" max="16137" width="10.88671875" customWidth="1"/>
    <col min="16138" max="16138" width="9.5546875" customWidth="1"/>
    <col min="16139" max="16139" width="10.44140625" customWidth="1"/>
    <col min="16141" max="16141" width="10.44140625" customWidth="1"/>
    <col min="16142" max="16142" width="11.33203125" bestFit="1" customWidth="1"/>
    <col min="16143" max="16143" width="10" customWidth="1"/>
    <col min="16144" max="16145" width="8.109375" customWidth="1"/>
    <col min="16146" max="16148" width="12.44140625" customWidth="1"/>
    <col min="16149" max="16149" width="0" hidden="1" customWidth="1"/>
    <col min="16150" max="16150" width="11.88671875" customWidth="1"/>
    <col min="16151" max="16151" width="13.109375" customWidth="1"/>
    <col min="16152" max="16152" width="9.33203125" customWidth="1"/>
    <col min="16153" max="16153" width="12.5546875" customWidth="1"/>
    <col min="16154" max="16154" width="11.6640625" bestFit="1" customWidth="1"/>
    <col min="16155" max="16155" width="13.44140625" customWidth="1"/>
    <col min="16156" max="16156" width="14.109375" customWidth="1"/>
    <col min="16158" max="16158" width="11.5546875" bestFit="1" customWidth="1"/>
    <col min="16159" max="16159" width="10.44140625" bestFit="1" customWidth="1"/>
    <col min="16160" max="16160" width="12.33203125" bestFit="1" customWidth="1"/>
  </cols>
  <sheetData>
    <row r="1" spans="1:31" s="378" customFormat="1" ht="41.4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373" t="s">
        <v>6</v>
      </c>
      <c r="H1" s="373" t="s">
        <v>7</v>
      </c>
      <c r="I1" s="373" t="s">
        <v>8</v>
      </c>
      <c r="J1" s="373" t="s">
        <v>9</v>
      </c>
      <c r="K1" s="373" t="s">
        <v>10</v>
      </c>
      <c r="L1" s="373" t="s">
        <v>11</v>
      </c>
      <c r="M1" s="373" t="s">
        <v>12</v>
      </c>
      <c r="N1" s="373" t="s">
        <v>13</v>
      </c>
      <c r="O1" s="373" t="s">
        <v>14</v>
      </c>
      <c r="P1" s="373" t="s">
        <v>15</v>
      </c>
      <c r="Q1" s="373" t="s">
        <v>16</v>
      </c>
      <c r="R1" s="373" t="s">
        <v>17</v>
      </c>
      <c r="S1" s="373" t="s">
        <v>18</v>
      </c>
      <c r="T1" s="373" t="s">
        <v>19</v>
      </c>
      <c r="U1" s="373"/>
      <c r="V1" s="373" t="s">
        <v>21</v>
      </c>
      <c r="W1" s="374" t="s">
        <v>22</v>
      </c>
      <c r="X1" s="374" t="s">
        <v>23</v>
      </c>
      <c r="Y1" s="375" t="s">
        <v>24</v>
      </c>
      <c r="Z1" s="428" t="s">
        <v>489</v>
      </c>
      <c r="AA1" s="375" t="s">
        <v>26</v>
      </c>
      <c r="AB1" s="376" t="s">
        <v>27</v>
      </c>
      <c r="AC1" s="377" t="s">
        <v>28</v>
      </c>
    </row>
    <row r="2" spans="1:31" s="24" customFormat="1" ht="12" customHeight="1" x14ac:dyDescent="0.3">
      <c r="A2" s="439">
        <v>43098.864583333336</v>
      </c>
      <c r="B2" s="439">
        <v>43102.958333333336</v>
      </c>
      <c r="C2" s="23"/>
      <c r="D2" s="14">
        <v>2000000019</v>
      </c>
      <c r="E2" s="24" t="s">
        <v>271</v>
      </c>
      <c r="F2" s="25" t="s">
        <v>32</v>
      </c>
      <c r="G2" s="379">
        <v>79102</v>
      </c>
      <c r="H2" s="379" t="s">
        <v>40</v>
      </c>
      <c r="I2" s="379">
        <v>79100</v>
      </c>
      <c r="J2" s="379">
        <f t="shared" ref="J2:J9" si="0">G2-I2</f>
        <v>2</v>
      </c>
      <c r="K2" s="380">
        <f>'[202]Chang Ho'!$F$59</f>
        <v>4.09375</v>
      </c>
      <c r="L2" s="380">
        <f>'[202]Chang Ho'!$F$59-'[202]Chang Ho'!$F$56</f>
        <v>1.3767361111131322</v>
      </c>
      <c r="M2" s="379">
        <f t="shared" ref="M2:M9" si="1">G2/K2</f>
        <v>19322.625954198473</v>
      </c>
      <c r="N2" s="379">
        <f t="shared" ref="N2:N9" si="2">G2/L2</f>
        <v>57456.181588818552</v>
      </c>
      <c r="O2" s="379">
        <v>30000</v>
      </c>
      <c r="P2" s="381">
        <v>142.65</v>
      </c>
      <c r="Q2" s="381">
        <v>130.51</v>
      </c>
      <c r="R2" s="382">
        <f t="shared" ref="R2:R9" si="3">P2-Q2</f>
        <v>12.140000000000015</v>
      </c>
      <c r="S2" s="383">
        <f t="shared" ref="S2:S9" si="4">R2/8.7*10000/G2</f>
        <v>0.17640543840238887</v>
      </c>
      <c r="T2" s="383">
        <f t="shared" ref="T2:T9" si="5">R2/8.5*10000/G2</f>
        <v>0.18055615460009214</v>
      </c>
      <c r="U2" s="383"/>
      <c r="V2" s="384"/>
      <c r="X2" s="382">
        <v>2.15</v>
      </c>
      <c r="Y2" s="33">
        <f t="shared" ref="Y2:Y6" si="6">G2*X2</f>
        <v>170069.3</v>
      </c>
      <c r="Z2" s="33"/>
      <c r="AA2" s="33"/>
      <c r="AB2" s="385">
        <v>12599.972222202012</v>
      </c>
      <c r="AC2" s="386">
        <f t="shared" ref="AC2:AC9" si="7">(G2*-0.03)</f>
        <v>-2373.06</v>
      </c>
      <c r="AE2" s="383"/>
    </row>
    <row r="3" spans="1:31" s="24" customFormat="1" ht="12" customHeight="1" x14ac:dyDescent="0.3">
      <c r="A3" s="439">
        <v>43106.694444444445</v>
      </c>
      <c r="B3" s="439">
        <v>43108.71875</v>
      </c>
      <c r="C3" s="23"/>
      <c r="D3" s="14">
        <v>2000000020</v>
      </c>
      <c r="E3" s="24" t="s">
        <v>119</v>
      </c>
      <c r="F3" s="25" t="s">
        <v>32</v>
      </c>
      <c r="G3" s="379">
        <v>66325</v>
      </c>
      <c r="H3" s="379" t="s">
        <v>33</v>
      </c>
      <c r="I3" s="387">
        <v>67300</v>
      </c>
      <c r="J3" s="379">
        <f t="shared" si="0"/>
        <v>-975</v>
      </c>
      <c r="K3" s="380">
        <f>[202]Gloriever!$F$58</f>
        <v>2.0243055555547471</v>
      </c>
      <c r="L3" s="380">
        <f>[202]Gloriever!$F$58-[202]Gloriever!$F$55</f>
        <v>1.1475694444525288</v>
      </c>
      <c r="M3" s="379">
        <f t="shared" si="1"/>
        <v>32764.322469995932</v>
      </c>
      <c r="N3" s="379">
        <f t="shared" si="2"/>
        <v>57796.066565402216</v>
      </c>
      <c r="O3" s="379">
        <v>30000</v>
      </c>
      <c r="P3" s="381">
        <v>125.32</v>
      </c>
      <c r="Q3" s="381">
        <v>114.48</v>
      </c>
      <c r="R3" s="382">
        <f t="shared" si="3"/>
        <v>10.839999999999989</v>
      </c>
      <c r="S3" s="383">
        <f t="shared" si="4"/>
        <v>0.18785933079445938</v>
      </c>
      <c r="T3" s="383">
        <f t="shared" si="5"/>
        <v>0.19227955034256428</v>
      </c>
      <c r="U3" s="383"/>
      <c r="V3" s="133"/>
      <c r="X3" s="382">
        <v>2.15</v>
      </c>
      <c r="Y3" s="33">
        <f t="shared" si="6"/>
        <v>142598.75</v>
      </c>
      <c r="Z3" s="33"/>
      <c r="AA3" s="33"/>
      <c r="AB3" s="385">
        <v>10970.638888808044</v>
      </c>
      <c r="AC3" s="386">
        <f t="shared" si="7"/>
        <v>-1989.75</v>
      </c>
      <c r="AE3" s="383"/>
    </row>
    <row r="4" spans="1:31" s="24" customFormat="1" ht="12" customHeight="1" x14ac:dyDescent="0.3">
      <c r="A4" s="439">
        <v>43113.625</v>
      </c>
      <c r="B4" s="439">
        <v>43115.166666666664</v>
      </c>
      <c r="C4" s="23"/>
      <c r="D4" s="14">
        <v>2000000021</v>
      </c>
      <c r="E4" s="24" t="s">
        <v>267</v>
      </c>
      <c r="F4" s="25" t="s">
        <v>39</v>
      </c>
      <c r="G4" s="379">
        <v>51823</v>
      </c>
      <c r="H4" s="379" t="s">
        <v>93</v>
      </c>
      <c r="I4" s="379">
        <v>88000</v>
      </c>
      <c r="J4" s="379">
        <f t="shared" si="0"/>
        <v>-36177</v>
      </c>
      <c r="K4" s="380">
        <f>'[202]SM Challenger'!$F$45</f>
        <v>1.5416666666642413</v>
      </c>
      <c r="L4" s="380">
        <f>'[202]SM Challenger'!$F$45-'[202]SM Challenger'!$F$42</f>
        <v>0.97395833334303461</v>
      </c>
      <c r="M4" s="379">
        <f t="shared" si="1"/>
        <v>33614.918918971802</v>
      </c>
      <c r="N4" s="379">
        <f t="shared" si="2"/>
        <v>53208.641710699951</v>
      </c>
      <c r="O4" s="379">
        <v>30000</v>
      </c>
      <c r="P4" s="381">
        <v>109.25</v>
      </c>
      <c r="Q4" s="381">
        <v>101.88</v>
      </c>
      <c r="R4" s="382">
        <f t="shared" si="3"/>
        <v>7.3700000000000045</v>
      </c>
      <c r="S4" s="383">
        <f t="shared" si="4"/>
        <v>0.16346534102263663</v>
      </c>
      <c r="T4" s="383">
        <f t="shared" si="5"/>
        <v>0.16731158434081628</v>
      </c>
      <c r="U4" s="383"/>
      <c r="V4" s="133"/>
      <c r="X4" s="382">
        <v>2.15</v>
      </c>
      <c r="Y4" s="33">
        <f t="shared" si="6"/>
        <v>111419.45</v>
      </c>
      <c r="Z4" s="33"/>
      <c r="AA4" s="33"/>
      <c r="AB4" s="385">
        <v>7534.7499999029878</v>
      </c>
      <c r="AC4" s="386">
        <f t="shared" si="7"/>
        <v>-1554.69</v>
      </c>
      <c r="AE4" s="383"/>
    </row>
    <row r="5" spans="1:31" s="24" customFormat="1" ht="12" customHeight="1" x14ac:dyDescent="0.3">
      <c r="A5" s="439">
        <v>43117.430555555555</v>
      </c>
      <c r="B5" s="439">
        <v>43119.107638888891</v>
      </c>
      <c r="C5" s="23"/>
      <c r="D5" s="14">
        <v>2000000022</v>
      </c>
      <c r="E5" s="24" t="s">
        <v>61</v>
      </c>
      <c r="F5" s="25" t="s">
        <v>39</v>
      </c>
      <c r="G5" s="379">
        <v>47463</v>
      </c>
      <c r="H5" s="379" t="s">
        <v>100</v>
      </c>
      <c r="I5" s="379">
        <v>88000</v>
      </c>
      <c r="J5" s="379">
        <f t="shared" si="0"/>
        <v>-40537</v>
      </c>
      <c r="K5" s="380">
        <f>'[202]Sea Honesty'!$F$41</f>
        <v>1.6770833333357587</v>
      </c>
      <c r="L5" s="380">
        <f>'[202]Sea Honesty'!$F$41-'[202]Sea Honesty'!$F$38</f>
        <v>0.8159722222299024</v>
      </c>
      <c r="M5" s="379">
        <f t="shared" si="1"/>
        <v>28300.919254617456</v>
      </c>
      <c r="N5" s="379">
        <f t="shared" si="2"/>
        <v>58167.421276048255</v>
      </c>
      <c r="O5" s="379">
        <v>30000</v>
      </c>
      <c r="P5" s="381">
        <v>98.93</v>
      </c>
      <c r="Q5" s="381">
        <v>91.04</v>
      </c>
      <c r="R5" s="382">
        <f t="shared" si="3"/>
        <v>7.8900000000000006</v>
      </c>
      <c r="S5" s="383">
        <f t="shared" si="4"/>
        <v>0.19107442675855679</v>
      </c>
      <c r="T5" s="383">
        <f t="shared" si="5"/>
        <v>0.19557029562346401</v>
      </c>
      <c r="U5" s="383"/>
      <c r="V5" s="133"/>
      <c r="X5" s="382">
        <v>2.15</v>
      </c>
      <c r="Y5" s="33">
        <f t="shared" si="6"/>
        <v>102045.45</v>
      </c>
      <c r="Z5" s="33"/>
      <c r="AA5" s="33"/>
      <c r="AB5" s="385">
        <v>7661.2777777009769</v>
      </c>
      <c r="AC5" s="386">
        <f t="shared" si="7"/>
        <v>-1423.8899999999999</v>
      </c>
      <c r="AE5" s="383"/>
    </row>
    <row r="6" spans="1:31" s="24" customFormat="1" ht="12" customHeight="1" x14ac:dyDescent="0.3">
      <c r="A6" s="439">
        <v>43119.590277777781</v>
      </c>
      <c r="B6" s="439">
        <v>43123.267361111109</v>
      </c>
      <c r="C6" s="23"/>
      <c r="D6" s="14">
        <v>2000000023</v>
      </c>
      <c r="E6" s="24" t="s">
        <v>266</v>
      </c>
      <c r="F6" s="25" t="s">
        <v>58</v>
      </c>
      <c r="G6" s="379">
        <v>80616</v>
      </c>
      <c r="H6" s="379" t="s">
        <v>49</v>
      </c>
      <c r="I6" s="379">
        <v>165000</v>
      </c>
      <c r="J6" s="379">
        <f t="shared" si="0"/>
        <v>-84384</v>
      </c>
      <c r="K6" s="380">
        <f>[202]Marivictoria!$F$52</f>
        <v>3.6770833333284827</v>
      </c>
      <c r="L6" s="380">
        <f>[202]Marivictoria!$F$52-[202]Marivictoria!$F$49</f>
        <v>1.3576388888832298</v>
      </c>
      <c r="M6" s="379">
        <f t="shared" si="1"/>
        <v>21923.898017026087</v>
      </c>
      <c r="N6" s="379">
        <f t="shared" si="2"/>
        <v>59379.560102549302</v>
      </c>
      <c r="O6" s="379">
        <v>30000</v>
      </c>
      <c r="P6" s="381">
        <v>90.52</v>
      </c>
      <c r="Q6" s="381">
        <v>78.34</v>
      </c>
      <c r="R6" s="382">
        <f t="shared" si="3"/>
        <v>12.179999999999993</v>
      </c>
      <c r="S6" s="383">
        <f t="shared" si="4"/>
        <v>0.17366279646720245</v>
      </c>
      <c r="T6" s="383">
        <f t="shared" si="5"/>
        <v>0.17774897991348954</v>
      </c>
      <c r="U6" s="383"/>
      <c r="V6" s="133"/>
      <c r="X6" s="382">
        <v>2.15</v>
      </c>
      <c r="Y6" s="33">
        <f t="shared" si="6"/>
        <v>173324.4</v>
      </c>
      <c r="Z6" s="33"/>
      <c r="AA6" s="33"/>
      <c r="AB6" s="385">
        <v>13295.6111111677</v>
      </c>
      <c r="AC6" s="386">
        <f t="shared" si="7"/>
        <v>-2418.48</v>
      </c>
      <c r="AE6" s="383"/>
    </row>
    <row r="7" spans="1:31" s="24" customFormat="1" ht="12" customHeight="1" x14ac:dyDescent="0.3">
      <c r="A7" s="439">
        <v>43128.583333333336</v>
      </c>
      <c r="B7" s="439">
        <v>43132.826388888891</v>
      </c>
      <c r="C7" s="23"/>
      <c r="D7" s="14">
        <v>2000000038</v>
      </c>
      <c r="E7" s="24" t="s">
        <v>272</v>
      </c>
      <c r="F7" s="25" t="s">
        <v>32</v>
      </c>
      <c r="G7" s="379">
        <v>78251</v>
      </c>
      <c r="H7" s="379" t="s">
        <v>33</v>
      </c>
      <c r="I7" s="379">
        <v>78250</v>
      </c>
      <c r="J7" s="379">
        <f t="shared" si="0"/>
        <v>1</v>
      </c>
      <c r="K7" s="380">
        <f>'[203]Leading Bravery'!$F$60</f>
        <v>4.2430555555547471</v>
      </c>
      <c r="L7" s="380">
        <f>'[203]Leading Bravery'!$F$60-'[203]Leading Bravery'!$F$57</f>
        <v>1.4826388889159716</v>
      </c>
      <c r="M7" s="379">
        <f t="shared" si="1"/>
        <v>18442.134206222825</v>
      </c>
      <c r="N7" s="379">
        <f t="shared" si="2"/>
        <v>52778.192036506647</v>
      </c>
      <c r="O7" s="379">
        <v>30000</v>
      </c>
      <c r="P7" s="381">
        <v>71.67</v>
      </c>
      <c r="Q7" s="381">
        <v>56.36</v>
      </c>
      <c r="R7" s="382">
        <f t="shared" si="3"/>
        <v>15.310000000000002</v>
      </c>
      <c r="S7" s="383">
        <f t="shared" si="4"/>
        <v>0.22488787554696157</v>
      </c>
      <c r="T7" s="383">
        <f t="shared" si="5"/>
        <v>0.23017935497159597</v>
      </c>
      <c r="U7" s="383"/>
      <c r="V7" s="133"/>
      <c r="X7" s="382">
        <v>2.15</v>
      </c>
      <c r="Y7" s="33">
        <f>G7*X7</f>
        <v>168239.65</v>
      </c>
      <c r="Z7" s="33"/>
      <c r="AA7" s="33"/>
      <c r="AB7" s="385">
        <v>11257.277777506948</v>
      </c>
      <c r="AC7" s="386">
        <f t="shared" si="7"/>
        <v>-2347.5299999999997</v>
      </c>
    </row>
    <row r="8" spans="1:31" s="24" customFormat="1" ht="12" customHeight="1" x14ac:dyDescent="0.3">
      <c r="A8" s="439">
        <v>43133.756944444445</v>
      </c>
      <c r="B8" s="439">
        <v>43139.75</v>
      </c>
      <c r="C8" s="23"/>
      <c r="D8" s="14">
        <v>2000000039</v>
      </c>
      <c r="E8" s="35" t="s">
        <v>273</v>
      </c>
      <c r="F8" s="25" t="s">
        <v>32</v>
      </c>
      <c r="G8" s="388">
        <v>80979</v>
      </c>
      <c r="H8" s="388" t="s">
        <v>33</v>
      </c>
      <c r="I8" s="388">
        <v>80960</v>
      </c>
      <c r="J8" s="379">
        <f t="shared" si="0"/>
        <v>19</v>
      </c>
      <c r="K8" s="380">
        <f>[203]Wangaratta!$F$68</f>
        <v>5.9930555555547471</v>
      </c>
      <c r="L8" s="380">
        <f>[203]Wangaratta!$F$68-[203]Wangaratta!$F$65</f>
        <v>1.5208333333212067</v>
      </c>
      <c r="M8" s="379">
        <f t="shared" si="1"/>
        <v>13512.139049828011</v>
      </c>
      <c r="N8" s="379">
        <f t="shared" si="2"/>
        <v>53246.465753849225</v>
      </c>
      <c r="O8" s="379">
        <v>30000</v>
      </c>
      <c r="P8" s="382">
        <v>227.99</v>
      </c>
      <c r="Q8" s="382">
        <v>209.86</v>
      </c>
      <c r="R8" s="382">
        <f t="shared" si="3"/>
        <v>18.129999999999995</v>
      </c>
      <c r="S8" s="383">
        <f t="shared" si="4"/>
        <v>0.25733931586917735</v>
      </c>
      <c r="T8" s="383">
        <f t="shared" si="5"/>
        <v>0.26339435859551091</v>
      </c>
      <c r="U8" s="383"/>
      <c r="V8" s="389"/>
      <c r="W8" s="390"/>
      <c r="X8" s="382">
        <v>2.15</v>
      </c>
      <c r="Y8" s="33">
        <f>G8*X8</f>
        <v>174104.85</v>
      </c>
      <c r="Z8" s="33"/>
      <c r="AA8" s="33"/>
      <c r="AB8" s="385">
        <v>11784.666666787933</v>
      </c>
      <c r="AC8" s="386">
        <f t="shared" si="7"/>
        <v>-2429.37</v>
      </c>
    </row>
    <row r="9" spans="1:31" s="24" customFormat="1" ht="12" customHeight="1" x14ac:dyDescent="0.3">
      <c r="A9" s="439">
        <v>43147.072916666664</v>
      </c>
      <c r="B9" s="439">
        <v>43151.298611111109</v>
      </c>
      <c r="C9" s="23"/>
      <c r="D9" s="14">
        <v>2000000040</v>
      </c>
      <c r="E9" s="35" t="s">
        <v>71</v>
      </c>
      <c r="F9" s="25" t="s">
        <v>32</v>
      </c>
      <c r="G9" s="388">
        <v>67007</v>
      </c>
      <c r="H9" s="388" t="s">
        <v>36</v>
      </c>
      <c r="I9" s="388">
        <v>67000</v>
      </c>
      <c r="J9" s="379">
        <f t="shared" si="0"/>
        <v>7</v>
      </c>
      <c r="K9" s="380">
        <f>'[203]Chandra Kirana'!$F$76</f>
        <v>4.2256944444452529</v>
      </c>
      <c r="L9" s="380">
        <f>'[203]Chandra Kirana'!$F$76-'[203]Chandra Kirana'!$F$73</f>
        <v>1.3541666666715173</v>
      </c>
      <c r="M9" s="379">
        <f t="shared" si="1"/>
        <v>15857.038619553252</v>
      </c>
      <c r="N9" s="379">
        <f t="shared" si="2"/>
        <v>49482.092307515064</v>
      </c>
      <c r="O9" s="379">
        <v>30000</v>
      </c>
      <c r="P9" s="382">
        <v>200.08</v>
      </c>
      <c r="Q9" s="382">
        <v>186.83</v>
      </c>
      <c r="R9" s="382">
        <f t="shared" si="3"/>
        <v>13.25</v>
      </c>
      <c r="S9" s="383">
        <f t="shared" si="4"/>
        <v>0.2272879707712816</v>
      </c>
      <c r="T9" s="383">
        <f t="shared" si="5"/>
        <v>0.2326359230247235</v>
      </c>
      <c r="U9" s="383"/>
      <c r="V9" s="389"/>
      <c r="W9" s="390"/>
      <c r="X9" s="382">
        <v>2.15</v>
      </c>
      <c r="Y9" s="33">
        <f>G9*X9</f>
        <v>144065.04999999999</v>
      </c>
      <c r="Z9" s="33"/>
      <c r="AA9" s="33"/>
      <c r="AB9" s="385">
        <v>8793.9999999514912</v>
      </c>
      <c r="AC9" s="386">
        <f t="shared" si="7"/>
        <v>-2010.21</v>
      </c>
    </row>
    <row r="10" spans="1:31" s="24" customFormat="1" ht="12" customHeight="1" x14ac:dyDescent="0.3">
      <c r="A10" s="439">
        <v>43159.652777777781</v>
      </c>
      <c r="B10" s="439">
        <v>43160.763888888891</v>
      </c>
      <c r="C10" s="23"/>
      <c r="D10" s="25">
        <v>2000000062</v>
      </c>
      <c r="E10" s="35" t="s">
        <v>262</v>
      </c>
      <c r="F10" s="25" t="s">
        <v>32</v>
      </c>
      <c r="G10" s="388">
        <v>32568</v>
      </c>
      <c r="H10" s="388" t="s">
        <v>33</v>
      </c>
      <c r="I10" s="388">
        <v>67610</v>
      </c>
      <c r="J10" s="379">
        <f t="shared" ref="J10:J16" si="8">G10-I10</f>
        <v>-35042</v>
      </c>
      <c r="K10" s="380">
        <f>'[204]Xin Dong Guan 3 '!$F$41</f>
        <v>1.1111111111094942</v>
      </c>
      <c r="L10" s="380">
        <f>'[204]Xin Dong Guan 3 '!$F$41-'[204]Xin Dong Guan 3 '!$F$38</f>
        <v>0.55729166666424135</v>
      </c>
      <c r="M10" s="379">
        <f t="shared" ref="M10:M16" si="9">G10/K10</f>
        <v>29311.200000042652</v>
      </c>
      <c r="N10" s="379">
        <f t="shared" ref="N10:N16" si="10">G10/L10</f>
        <v>58439.775701188904</v>
      </c>
      <c r="O10" s="379">
        <v>30000</v>
      </c>
      <c r="P10" s="382">
        <v>175.59</v>
      </c>
      <c r="Q10" s="382">
        <v>170.67</v>
      </c>
      <c r="R10" s="382">
        <f t="shared" ref="R10:R16" si="11">P10-Q10</f>
        <v>4.9200000000000159</v>
      </c>
      <c r="S10" s="383">
        <f t="shared" ref="S10:S16" si="12">R10/8.7*10000/G10</f>
        <v>0.17364199256304108</v>
      </c>
      <c r="T10" s="383">
        <f t="shared" ref="T10:T16" si="13">R10/8.5*10000/G10</f>
        <v>0.17772768650570087</v>
      </c>
      <c r="U10" s="383"/>
      <c r="V10" s="389"/>
      <c r="W10" s="32"/>
      <c r="X10" s="382">
        <v>2.15</v>
      </c>
      <c r="Y10" s="33">
        <f t="shared" ref="Y10:Y15" si="14">G10*X10</f>
        <v>70021.2</v>
      </c>
      <c r="Z10" s="33"/>
      <c r="AA10" s="33"/>
      <c r="AB10" s="391">
        <v>5283.0833333575856</v>
      </c>
      <c r="AC10" s="386">
        <f>(G10*-0.01)</f>
        <v>-325.68</v>
      </c>
      <c r="AD10" s="35"/>
    </row>
    <row r="11" spans="1:31" s="24" customFormat="1" ht="12" customHeight="1" x14ac:dyDescent="0.3">
      <c r="A11" s="439">
        <v>43161.333333333336</v>
      </c>
      <c r="B11" s="439">
        <v>43163.006944444445</v>
      </c>
      <c r="C11" s="23"/>
      <c r="D11" s="25">
        <v>2000000063</v>
      </c>
      <c r="E11" s="35" t="s">
        <v>261</v>
      </c>
      <c r="F11" s="25" t="s">
        <v>39</v>
      </c>
      <c r="G11" s="388">
        <v>46436</v>
      </c>
      <c r="H11" s="388" t="s">
        <v>49</v>
      </c>
      <c r="I11" s="388">
        <v>89540</v>
      </c>
      <c r="J11" s="379">
        <f t="shared" si="8"/>
        <v>-43104</v>
      </c>
      <c r="K11" s="380">
        <f>'[204]Giant Ace'!$F$45</f>
        <v>1.6736111111094942</v>
      </c>
      <c r="L11" s="380">
        <f>'[204]Giant Ace'!$F$45-'[204]Giant Ace'!$F$42</f>
        <v>1.1336805555656611</v>
      </c>
      <c r="M11" s="379">
        <f t="shared" si="9"/>
        <v>27745.991701271618</v>
      </c>
      <c r="N11" s="379">
        <f t="shared" si="10"/>
        <v>40960.39203638833</v>
      </c>
      <c r="O11" s="379">
        <v>30000</v>
      </c>
      <c r="P11" s="382">
        <v>169.85</v>
      </c>
      <c r="Q11" s="382">
        <v>162.37</v>
      </c>
      <c r="R11" s="382">
        <f t="shared" si="11"/>
        <v>7.4799999999999898</v>
      </c>
      <c r="S11" s="383">
        <f t="shared" si="12"/>
        <v>0.18515163126508047</v>
      </c>
      <c r="T11" s="383">
        <f t="shared" si="13"/>
        <v>0.1895081402360235</v>
      </c>
      <c r="U11" s="383"/>
      <c r="V11" s="389"/>
      <c r="W11" s="32"/>
      <c r="X11" s="382">
        <v>2.15</v>
      </c>
      <c r="Y11" s="33">
        <f t="shared" si="14"/>
        <v>99837.4</v>
      </c>
      <c r="Z11" s="33"/>
      <c r="AA11" s="33"/>
      <c r="AB11" s="391">
        <v>4141.8611110100564</v>
      </c>
      <c r="AC11" s="386">
        <f t="shared" ref="AC11:AC17" si="15">(G11*-0.01)</f>
        <v>-464.36</v>
      </c>
      <c r="AD11" s="35"/>
    </row>
    <row r="12" spans="1:31" s="24" customFormat="1" ht="12" customHeight="1" x14ac:dyDescent="0.3">
      <c r="A12" s="439">
        <v>43168.75</v>
      </c>
      <c r="B12" s="439">
        <v>43172.3125</v>
      </c>
      <c r="C12" s="23"/>
      <c r="D12" s="25">
        <v>2000000064</v>
      </c>
      <c r="E12" s="35" t="s">
        <v>274</v>
      </c>
      <c r="F12" s="25" t="s">
        <v>39</v>
      </c>
      <c r="G12" s="388">
        <v>85196</v>
      </c>
      <c r="H12" s="388" t="s">
        <v>40</v>
      </c>
      <c r="I12" s="388">
        <v>84160</v>
      </c>
      <c r="J12" s="379">
        <f t="shared" si="8"/>
        <v>1036</v>
      </c>
      <c r="K12" s="380">
        <f>'[205]Corona Kingdom'!$F$62</f>
        <v>3.5625</v>
      </c>
      <c r="L12" s="380">
        <f>'[205]Corona Kingdom'!$F$62-'[205]Corona Kingdom'!$F$59</f>
        <v>1.5815972222299024</v>
      </c>
      <c r="M12" s="379">
        <f t="shared" si="9"/>
        <v>23914.666666666668</v>
      </c>
      <c r="N12" s="379">
        <f t="shared" si="10"/>
        <v>53867.06476373403</v>
      </c>
      <c r="O12" s="379">
        <v>30000</v>
      </c>
      <c r="P12" s="382">
        <v>154.66</v>
      </c>
      <c r="Q12" s="382">
        <v>141.09</v>
      </c>
      <c r="R12" s="382">
        <f t="shared" si="11"/>
        <v>13.569999999999993</v>
      </c>
      <c r="S12" s="383">
        <f t="shared" si="12"/>
        <v>0.18308020504982958</v>
      </c>
      <c r="T12" s="383">
        <f t="shared" si="13"/>
        <v>0.18738797458041381</v>
      </c>
      <c r="U12" s="383"/>
      <c r="V12" s="389"/>
      <c r="W12" s="32"/>
      <c r="X12" s="382">
        <v>2.15</v>
      </c>
      <c r="Y12" s="33">
        <f t="shared" si="14"/>
        <v>183171.4</v>
      </c>
      <c r="Z12" s="33"/>
      <c r="AA12" s="33"/>
      <c r="AB12" s="391">
        <v>12582.694444367642</v>
      </c>
      <c r="AC12" s="386">
        <f t="shared" si="15"/>
        <v>-851.96</v>
      </c>
      <c r="AD12" s="35"/>
    </row>
    <row r="13" spans="1:31" s="24" customFormat="1" ht="12" customHeight="1" x14ac:dyDescent="0.3">
      <c r="A13" s="439">
        <v>43174.597222222219</v>
      </c>
      <c r="B13" s="439">
        <v>43176.138888888891</v>
      </c>
      <c r="C13" s="23"/>
      <c r="D13" s="25">
        <v>2000000065</v>
      </c>
      <c r="E13" s="35" t="s">
        <v>106</v>
      </c>
      <c r="F13" s="25" t="s">
        <v>32</v>
      </c>
      <c r="G13" s="388">
        <v>42747</v>
      </c>
      <c r="H13" s="388" t="s">
        <v>33</v>
      </c>
      <c r="I13" s="388">
        <v>64998</v>
      </c>
      <c r="J13" s="379">
        <f t="shared" si="8"/>
        <v>-22251</v>
      </c>
      <c r="K13" s="380">
        <f>'[205]Well Deep'!$F$45</f>
        <v>1.5416666666715173</v>
      </c>
      <c r="L13" s="380">
        <f>'[205]Well Deep'!$F$45-'[205]Well Deep'!$F$42</f>
        <v>0.78993055556566105</v>
      </c>
      <c r="M13" s="379">
        <f t="shared" si="9"/>
        <v>27727.783783696541</v>
      </c>
      <c r="N13" s="379">
        <f t="shared" si="10"/>
        <v>54114.883515791233</v>
      </c>
      <c r="O13" s="379">
        <v>30000</v>
      </c>
      <c r="P13" s="382">
        <v>137.49</v>
      </c>
      <c r="Q13" s="382">
        <v>130.85</v>
      </c>
      <c r="R13" s="382">
        <f t="shared" si="11"/>
        <v>6.6400000000000148</v>
      </c>
      <c r="S13" s="383">
        <f t="shared" si="12"/>
        <v>0.17854314707572447</v>
      </c>
      <c r="T13" s="383">
        <f t="shared" si="13"/>
        <v>0.18274416230103563</v>
      </c>
      <c r="U13" s="383"/>
      <c r="V13" s="389"/>
      <c r="W13" s="32"/>
      <c r="X13" s="382">
        <v>2.15</v>
      </c>
      <c r="Y13" s="33">
        <f t="shared" si="14"/>
        <v>91906.05</v>
      </c>
      <c r="Z13" s="33"/>
      <c r="AA13" s="33"/>
      <c r="AB13" s="391">
        <v>6349.6944443433904</v>
      </c>
      <c r="AC13" s="386">
        <f t="shared" si="15"/>
        <v>-427.47</v>
      </c>
      <c r="AD13" s="35"/>
    </row>
    <row r="14" spans="1:31" s="24" customFormat="1" ht="12" customHeight="1" x14ac:dyDescent="0.3">
      <c r="A14" s="439">
        <v>43176.722222222219</v>
      </c>
      <c r="B14" s="439">
        <v>43179.965277777781</v>
      </c>
      <c r="C14" s="23"/>
      <c r="D14" s="25">
        <v>2000000066</v>
      </c>
      <c r="E14" s="35" t="s">
        <v>275</v>
      </c>
      <c r="F14" s="25" t="s">
        <v>32</v>
      </c>
      <c r="G14" s="388">
        <v>77855</v>
      </c>
      <c r="H14" s="379" t="s">
        <v>93</v>
      </c>
      <c r="I14" s="388">
        <v>77855</v>
      </c>
      <c r="J14" s="379">
        <f t="shared" si="8"/>
        <v>0</v>
      </c>
      <c r="K14" s="380">
        <f>[205]Infinity!$F$61</f>
        <v>3.2430555555620231</v>
      </c>
      <c r="L14" s="380">
        <f>[205]Infinity!$F$61-[205]Infinity!$F$58</f>
        <v>1.7170138889086957</v>
      </c>
      <c r="M14" s="379">
        <f t="shared" si="9"/>
        <v>24006.680942136278</v>
      </c>
      <c r="N14" s="379">
        <f t="shared" si="10"/>
        <v>45343.255813430427</v>
      </c>
      <c r="O14" s="379">
        <v>30000</v>
      </c>
      <c r="P14" s="382">
        <v>130.13999999999999</v>
      </c>
      <c r="Q14" s="382">
        <v>118.71</v>
      </c>
      <c r="R14" s="382">
        <f t="shared" si="11"/>
        <v>11.429999999999993</v>
      </c>
      <c r="S14" s="383">
        <f t="shared" si="12"/>
        <v>0.16874871279279108</v>
      </c>
      <c r="T14" s="383">
        <f t="shared" si="13"/>
        <v>0.17271927074085677</v>
      </c>
      <c r="U14" s="383"/>
      <c r="V14" s="389"/>
      <c r="W14" s="32"/>
      <c r="X14" s="382">
        <v>2.15</v>
      </c>
      <c r="Y14" s="33">
        <f t="shared" si="14"/>
        <v>167388.25</v>
      </c>
      <c r="Z14" s="33"/>
      <c r="AA14" s="33"/>
      <c r="AB14" s="391">
        <v>8781.5277775797094</v>
      </c>
      <c r="AC14" s="386">
        <f t="shared" si="15"/>
        <v>-778.55000000000007</v>
      </c>
      <c r="AD14" s="35"/>
    </row>
    <row r="15" spans="1:31" s="24" customFormat="1" ht="12" customHeight="1" x14ac:dyDescent="0.3">
      <c r="A15" s="439">
        <v>43180.180555555555</v>
      </c>
      <c r="B15" s="439">
        <v>43184.208333333336</v>
      </c>
      <c r="C15" s="146"/>
      <c r="D15" s="25">
        <v>2000000067</v>
      </c>
      <c r="E15" s="109" t="s">
        <v>35</v>
      </c>
      <c r="F15" s="110" t="s">
        <v>32</v>
      </c>
      <c r="G15" s="379">
        <v>66000</v>
      </c>
      <c r="H15" s="392" t="s">
        <v>36</v>
      </c>
      <c r="I15" s="392">
        <v>66000</v>
      </c>
      <c r="J15" s="393">
        <f t="shared" si="8"/>
        <v>0</v>
      </c>
      <c r="K15" s="394">
        <f>'[205]Andhika Nareswari'!$F$60</f>
        <v>4.0277777777810115</v>
      </c>
      <c r="L15" s="394">
        <f>'[205]Andhika Nareswari'!$F$60-'[205]Andhika Nareswari'!$F$57</f>
        <v>1.6354166666787933</v>
      </c>
      <c r="M15" s="379">
        <f t="shared" si="9"/>
        <v>16386.20689653857</v>
      </c>
      <c r="N15" s="379">
        <f t="shared" si="10"/>
        <v>40356.687897789925</v>
      </c>
      <c r="O15" s="392">
        <v>30000</v>
      </c>
      <c r="P15" s="395">
        <v>118.51</v>
      </c>
      <c r="Q15" s="395">
        <v>106.03</v>
      </c>
      <c r="R15" s="395">
        <f t="shared" si="11"/>
        <v>12.480000000000004</v>
      </c>
      <c r="S15" s="383">
        <f t="shared" si="12"/>
        <v>0.21734587251828641</v>
      </c>
      <c r="T15" s="383">
        <f t="shared" si="13"/>
        <v>0.22245989304812841</v>
      </c>
      <c r="U15" s="383"/>
      <c r="V15" s="133"/>
      <c r="X15" s="382">
        <v>2.15</v>
      </c>
      <c r="Y15" s="33">
        <f t="shared" si="14"/>
        <v>141900</v>
      </c>
      <c r="Z15" s="33"/>
      <c r="AA15" s="33"/>
      <c r="AB15" s="396">
        <v>5645.8333332120692</v>
      </c>
      <c r="AC15" s="386">
        <f t="shared" si="15"/>
        <v>-660</v>
      </c>
    </row>
    <row r="16" spans="1:31" s="24" customFormat="1" ht="12" customHeight="1" x14ac:dyDescent="0.3">
      <c r="A16" s="439">
        <v>43184.777777777781</v>
      </c>
      <c r="B16" s="439">
        <v>43187.0625</v>
      </c>
      <c r="C16" s="146"/>
      <c r="D16" s="25">
        <v>2000000068</v>
      </c>
      <c r="E16" s="109" t="s">
        <v>276</v>
      </c>
      <c r="F16" s="110" t="s">
        <v>32</v>
      </c>
      <c r="G16" s="379">
        <v>66500</v>
      </c>
      <c r="H16" s="392" t="s">
        <v>33</v>
      </c>
      <c r="I16" s="392">
        <v>66500</v>
      </c>
      <c r="J16" s="393">
        <f t="shared" si="8"/>
        <v>0</v>
      </c>
      <c r="K16" s="394">
        <f>'[205]Best Unity'!$F$54</f>
        <v>2.2847222222189885</v>
      </c>
      <c r="L16" s="394">
        <f>'[205]Best Unity'!$F$54-'[205]Best Unity'!$F$51</f>
        <v>1.2864583333248447</v>
      </c>
      <c r="M16" s="379">
        <f t="shared" si="9"/>
        <v>29106.382978764603</v>
      </c>
      <c r="N16" s="379">
        <f t="shared" si="10"/>
        <v>51692.307692648777</v>
      </c>
      <c r="O16" s="392">
        <v>30000</v>
      </c>
      <c r="P16" s="395">
        <v>105.31</v>
      </c>
      <c r="Q16" s="395">
        <v>96.28</v>
      </c>
      <c r="R16" s="395">
        <f t="shared" si="11"/>
        <v>9.0300000000000011</v>
      </c>
      <c r="S16" s="383">
        <f t="shared" si="12"/>
        <v>0.15607985480943742</v>
      </c>
      <c r="T16" s="383">
        <f t="shared" si="13"/>
        <v>0.15975232198142417</v>
      </c>
      <c r="U16" s="383"/>
      <c r="V16" s="133"/>
      <c r="X16" s="382">
        <v>2.15</v>
      </c>
      <c r="Y16" s="33">
        <f>G16*X16</f>
        <v>142975</v>
      </c>
      <c r="Z16" s="33"/>
      <c r="AA16" s="33"/>
      <c r="AB16" s="396">
        <v>9302.0833334182207</v>
      </c>
      <c r="AC16" s="386">
        <f t="shared" si="15"/>
        <v>-665</v>
      </c>
    </row>
    <row r="17" spans="1:30" s="24" customFormat="1" ht="12" customHeight="1" x14ac:dyDescent="0.3">
      <c r="A17" s="682">
        <v>43188.076388888891</v>
      </c>
      <c r="B17" s="682">
        <v>43189.069444444445</v>
      </c>
      <c r="C17" s="146"/>
      <c r="D17" s="680">
        <v>2000000068</v>
      </c>
      <c r="E17" s="109" t="s">
        <v>256</v>
      </c>
      <c r="F17" s="680" t="s">
        <v>32</v>
      </c>
      <c r="G17" s="691">
        <v>34320</v>
      </c>
      <c r="H17" s="392" t="s">
        <v>33</v>
      </c>
      <c r="I17" s="392">
        <v>64700</v>
      </c>
      <c r="J17" s="392">
        <f>(G17)-I17</f>
        <v>-30380</v>
      </c>
      <c r="K17" s="394">
        <f>'[205]Yue Dian 2'!$F$36</f>
        <v>0.99305555555474712</v>
      </c>
      <c r="L17" s="394">
        <f>'[205]Yue Dian 2'!$F$36-'[205]Yue Dian 2'!$F$33</f>
        <v>0.60069444444889086</v>
      </c>
      <c r="M17" s="392">
        <f>G17/K17</f>
        <v>34560.000000028136</v>
      </c>
      <c r="N17" s="392">
        <f>(G17)/L17</f>
        <v>57133.872831947032</v>
      </c>
      <c r="O17" s="392">
        <v>30000</v>
      </c>
      <c r="P17" s="395">
        <v>94.94</v>
      </c>
      <c r="Q17" s="395">
        <v>90.23</v>
      </c>
      <c r="R17" s="395">
        <f>P17-Q17</f>
        <v>4.7099999999999937</v>
      </c>
      <c r="S17" s="692">
        <f>R17/8.7*10000/(G17)</f>
        <v>0.15774455429627823</v>
      </c>
      <c r="T17" s="692">
        <f>R17/8.5*10000/(G17)</f>
        <v>0.16145619086795535</v>
      </c>
      <c r="U17" s="397"/>
      <c r="V17" s="133"/>
      <c r="X17" s="382">
        <v>2.15</v>
      </c>
      <c r="Y17" s="33">
        <f>G17*X17</f>
        <v>73788</v>
      </c>
      <c r="Z17" s="33"/>
      <c r="AA17" s="33"/>
      <c r="AB17" s="396">
        <v>5433.06</v>
      </c>
      <c r="AC17" s="386">
        <f t="shared" si="15"/>
        <v>-343.2</v>
      </c>
    </row>
    <row r="18" spans="1:30" s="24" customFormat="1" ht="12" customHeight="1" x14ac:dyDescent="0.3">
      <c r="A18" s="439">
        <v>43193.597222222219</v>
      </c>
      <c r="B18" s="439">
        <v>43194.472222222219</v>
      </c>
      <c r="C18" s="23"/>
      <c r="D18" s="25">
        <v>2000000083</v>
      </c>
      <c r="E18" s="35" t="s">
        <v>192</v>
      </c>
      <c r="F18" s="36" t="s">
        <v>39</v>
      </c>
      <c r="G18" s="388">
        <v>32150</v>
      </c>
      <c r="H18" s="388" t="s">
        <v>40</v>
      </c>
      <c r="I18" s="388">
        <v>87030</v>
      </c>
      <c r="J18" s="379">
        <f t="shared" ref="J18:J23" si="16">G18-I18</f>
        <v>-54880</v>
      </c>
      <c r="K18" s="380">
        <f>'[206]Ocean Sapphire'!$F$37</f>
        <v>0.875</v>
      </c>
      <c r="L18" s="380">
        <f>'[206]Ocean Sapphire'!$F$37-'[206]Ocean Sapphire'!$F$34</f>
        <v>0.55208333335394855</v>
      </c>
      <c r="M18" s="379">
        <f t="shared" ref="M18:M23" si="17">G18/K18</f>
        <v>36742.857142857145</v>
      </c>
      <c r="N18" s="379">
        <f t="shared" ref="N18:N23" si="18">G18/L18</f>
        <v>58233.962261976441</v>
      </c>
      <c r="O18" s="379">
        <v>30000</v>
      </c>
      <c r="P18" s="382">
        <v>84.31</v>
      </c>
      <c r="Q18" s="382">
        <v>79.8</v>
      </c>
      <c r="R18" s="382">
        <f t="shared" ref="R18:R23" si="19">P18-Q18</f>
        <v>4.5100000000000051</v>
      </c>
      <c r="S18" s="383">
        <f t="shared" ref="S18:S23" si="20">R18/8.7*10000/G18</f>
        <v>0.16124130780643914</v>
      </c>
      <c r="T18" s="383">
        <f t="shared" ref="T18:T23" si="21">R18/8.5*10000/G18</f>
        <v>0.16503522093129649</v>
      </c>
      <c r="U18" s="383"/>
      <c r="V18" s="389"/>
      <c r="W18" s="32"/>
      <c r="X18" s="382">
        <v>2.15</v>
      </c>
      <c r="Y18" s="33">
        <f t="shared" ref="Y18:Y23" si="22">G18*X18</f>
        <v>69122.5</v>
      </c>
      <c r="Z18" s="33"/>
      <c r="AA18" s="33"/>
      <c r="AB18" s="385">
        <v>5195.8333331271824</v>
      </c>
      <c r="AC18" s="386">
        <f t="shared" ref="AC18:AC23" si="23">(G18*-0.01)</f>
        <v>-321.5</v>
      </c>
      <c r="AD18" s="35"/>
    </row>
    <row r="19" spans="1:30" s="24" customFormat="1" ht="12" customHeight="1" x14ac:dyDescent="0.3">
      <c r="A19" s="439">
        <v>43194.895833333336</v>
      </c>
      <c r="B19" s="439">
        <v>43198.902777777781</v>
      </c>
      <c r="C19" s="23"/>
      <c r="D19" s="25">
        <v>2000000084</v>
      </c>
      <c r="E19" s="35" t="s">
        <v>263</v>
      </c>
      <c r="F19" s="25" t="s">
        <v>32</v>
      </c>
      <c r="G19" s="379">
        <v>81145</v>
      </c>
      <c r="H19" s="388" t="s">
        <v>33</v>
      </c>
      <c r="I19" s="388">
        <v>81140</v>
      </c>
      <c r="J19" s="379">
        <f t="shared" si="16"/>
        <v>5</v>
      </c>
      <c r="K19" s="380">
        <f>'[206]Leading Glory'!$F$56</f>
        <v>4.0069444444452529</v>
      </c>
      <c r="L19" s="380">
        <f>'[206]Leading Glory'!$F$56-'[206]Leading Glory'!$F$53</f>
        <v>1.4670138888723159</v>
      </c>
      <c r="M19" s="379">
        <f t="shared" si="17"/>
        <v>20251.091854415325</v>
      </c>
      <c r="N19" s="379">
        <f t="shared" si="18"/>
        <v>55313.041420743219</v>
      </c>
      <c r="O19" s="379">
        <v>30000</v>
      </c>
      <c r="P19" s="382">
        <v>79.45</v>
      </c>
      <c r="Q19" s="382">
        <v>66.36</v>
      </c>
      <c r="R19" s="382">
        <f t="shared" si="19"/>
        <v>13.090000000000003</v>
      </c>
      <c r="S19" s="383">
        <f t="shared" si="20"/>
        <v>0.1854208763509059</v>
      </c>
      <c r="T19" s="383">
        <f t="shared" si="21"/>
        <v>0.18978372050033895</v>
      </c>
      <c r="U19" s="383"/>
      <c r="V19" s="389"/>
      <c r="W19" s="32"/>
      <c r="X19" s="382">
        <v>2.15</v>
      </c>
      <c r="Y19" s="33">
        <f t="shared" si="22"/>
        <v>174461.75</v>
      </c>
      <c r="Z19" s="33"/>
      <c r="AA19" s="33"/>
      <c r="AB19" s="385">
        <v>12378.194444610173</v>
      </c>
      <c r="AC19" s="386">
        <f t="shared" si="23"/>
        <v>-811.45</v>
      </c>
      <c r="AD19" s="35"/>
    </row>
    <row r="20" spans="1:30" s="24" customFormat="1" ht="12" customHeight="1" x14ac:dyDescent="0.3">
      <c r="A20" s="439">
        <v>43199.152777777781</v>
      </c>
      <c r="B20" s="439">
        <v>43203.354166666664</v>
      </c>
      <c r="C20" s="23"/>
      <c r="D20" s="25">
        <v>2000000085</v>
      </c>
      <c r="E20" s="35" t="s">
        <v>277</v>
      </c>
      <c r="F20" s="25" t="s">
        <v>32</v>
      </c>
      <c r="G20" s="388">
        <v>76700</v>
      </c>
      <c r="H20" s="388" t="s">
        <v>93</v>
      </c>
      <c r="I20" s="388">
        <v>76700</v>
      </c>
      <c r="J20" s="379">
        <f t="shared" si="16"/>
        <v>0</v>
      </c>
      <c r="K20" s="380">
        <f>'[206]Sea Empire'!$F$57</f>
        <v>4.2013888888832298</v>
      </c>
      <c r="L20" s="380">
        <f>'[206]Sea Empire'!$F$57-'[206]Sea Empire'!$F$54</f>
        <v>1.3871527777737356</v>
      </c>
      <c r="M20" s="379">
        <f t="shared" si="17"/>
        <v>18255.867768619632</v>
      </c>
      <c r="N20" s="379">
        <f t="shared" si="18"/>
        <v>55293.116395655496</v>
      </c>
      <c r="O20" s="379">
        <v>30000</v>
      </c>
      <c r="P20" s="382">
        <v>65.95</v>
      </c>
      <c r="Q20" s="382">
        <v>53.26</v>
      </c>
      <c r="R20" s="382">
        <f t="shared" si="19"/>
        <v>12.690000000000005</v>
      </c>
      <c r="S20" s="383">
        <f t="shared" si="20"/>
        <v>0.19017218900328201</v>
      </c>
      <c r="T20" s="383">
        <f t="shared" si="21"/>
        <v>0.1946468287445357</v>
      </c>
      <c r="U20" s="383"/>
      <c r="V20" s="389"/>
      <c r="W20" s="32"/>
      <c r="X20" s="382">
        <v>2.15</v>
      </c>
      <c r="Y20" s="33">
        <f t="shared" si="22"/>
        <v>164905</v>
      </c>
      <c r="Z20" s="33"/>
      <c r="AA20" s="33"/>
      <c r="AB20" s="385">
        <v>11695.13888892931</v>
      </c>
      <c r="AC20" s="386">
        <f t="shared" si="23"/>
        <v>-767</v>
      </c>
      <c r="AD20" s="35"/>
    </row>
    <row r="21" spans="1:30" s="24" customFormat="1" ht="12" customHeight="1" x14ac:dyDescent="0.3">
      <c r="A21" s="439">
        <v>43205.916666666664</v>
      </c>
      <c r="B21" s="439">
        <v>43209.84375</v>
      </c>
      <c r="C21" s="23"/>
      <c r="D21" s="25">
        <v>2000000086</v>
      </c>
      <c r="E21" s="35" t="s">
        <v>272</v>
      </c>
      <c r="F21" s="25" t="s">
        <v>32</v>
      </c>
      <c r="G21" s="388">
        <v>82500</v>
      </c>
      <c r="H21" s="388" t="s">
        <v>33</v>
      </c>
      <c r="I21" s="388">
        <v>82500</v>
      </c>
      <c r="J21" s="379">
        <f t="shared" si="16"/>
        <v>0</v>
      </c>
      <c r="K21" s="380">
        <f>'[206]Leading Bravery'!$F$66</f>
        <v>3.9270833333357587</v>
      </c>
      <c r="L21" s="380">
        <f>'[206]Leading Bravery'!$F$66-'[206]Leading Bravery'!$F$63</f>
        <v>1.4861111111240461</v>
      </c>
      <c r="M21" s="379">
        <f t="shared" si="17"/>
        <v>21007.957559668725</v>
      </c>
      <c r="N21" s="379">
        <f t="shared" si="18"/>
        <v>55514.018691105593</v>
      </c>
      <c r="O21" s="379">
        <v>30000</v>
      </c>
      <c r="P21" s="382">
        <v>223.51</v>
      </c>
      <c r="Q21" s="382">
        <v>210.8</v>
      </c>
      <c r="R21" s="382">
        <f t="shared" si="19"/>
        <v>12.70999999999998</v>
      </c>
      <c r="S21" s="383">
        <f t="shared" si="20"/>
        <v>0.17708115639150096</v>
      </c>
      <c r="T21" s="383">
        <f t="shared" si="21"/>
        <v>0.18124777183600682</v>
      </c>
      <c r="U21" s="383"/>
      <c r="V21" s="389"/>
      <c r="W21" s="32"/>
      <c r="X21" s="382">
        <v>2.15</v>
      </c>
      <c r="Y21" s="33">
        <f t="shared" si="22"/>
        <v>177375</v>
      </c>
      <c r="Z21" s="33"/>
      <c r="AA21" s="33"/>
      <c r="AB21" s="385">
        <v>12638.888888759539</v>
      </c>
      <c r="AC21" s="386">
        <f t="shared" si="23"/>
        <v>-825</v>
      </c>
      <c r="AD21" s="35"/>
    </row>
    <row r="22" spans="1:30" s="24" customFormat="1" ht="12" customHeight="1" x14ac:dyDescent="0.3">
      <c r="A22" s="439">
        <v>43211.715277777781</v>
      </c>
      <c r="B22" s="439">
        <v>43213.979166666664</v>
      </c>
      <c r="C22" s="23"/>
      <c r="D22" s="25">
        <v>2000000087</v>
      </c>
      <c r="E22" s="35" t="s">
        <v>126</v>
      </c>
      <c r="F22" s="25" t="s">
        <v>32</v>
      </c>
      <c r="G22" s="388">
        <v>72500</v>
      </c>
      <c r="H22" s="388" t="s">
        <v>93</v>
      </c>
      <c r="I22" s="388">
        <v>72500</v>
      </c>
      <c r="J22" s="379">
        <f t="shared" si="16"/>
        <v>0</v>
      </c>
      <c r="K22" s="380">
        <f>[206]Arpeggio!$F$55</f>
        <v>2.2638888888832298</v>
      </c>
      <c r="L22" s="380">
        <f>[206]Arpeggio!$F$55-[206]Arpeggio!$F$52</f>
        <v>1.3003472222226264</v>
      </c>
      <c r="M22" s="379">
        <f t="shared" si="17"/>
        <v>32024.539877380666</v>
      </c>
      <c r="N22" s="379">
        <f t="shared" si="18"/>
        <v>55754.339118807766</v>
      </c>
      <c r="O22" s="379">
        <v>30000</v>
      </c>
      <c r="P22" s="382">
        <v>208.34</v>
      </c>
      <c r="Q22" s="382">
        <v>198.59</v>
      </c>
      <c r="R22" s="382">
        <f t="shared" si="19"/>
        <v>9.75</v>
      </c>
      <c r="S22" s="383">
        <f t="shared" si="20"/>
        <v>0.15457788347205709</v>
      </c>
      <c r="T22" s="383">
        <f t="shared" si="21"/>
        <v>0.15821501014198783</v>
      </c>
      <c r="U22" s="383"/>
      <c r="V22" s="389"/>
      <c r="W22" s="32"/>
      <c r="X22" s="382">
        <v>2.15</v>
      </c>
      <c r="Y22" s="33">
        <f t="shared" si="22"/>
        <v>155875</v>
      </c>
      <c r="Z22" s="33"/>
      <c r="AA22" s="33"/>
      <c r="AB22" s="385">
        <v>11163.194444440402</v>
      </c>
      <c r="AC22" s="386">
        <f t="shared" si="23"/>
        <v>-725</v>
      </c>
      <c r="AD22" s="35"/>
    </row>
    <row r="23" spans="1:30" s="24" customFormat="1" ht="12" customHeight="1" x14ac:dyDescent="0.3">
      <c r="A23" s="439">
        <v>43218.78125</v>
      </c>
      <c r="B23" s="439">
        <v>43220.909722222219</v>
      </c>
      <c r="C23" s="146"/>
      <c r="D23" s="25">
        <v>2000000088</v>
      </c>
      <c r="E23" s="44" t="s">
        <v>278</v>
      </c>
      <c r="F23" s="110" t="s">
        <v>32</v>
      </c>
      <c r="G23" s="388">
        <v>66000</v>
      </c>
      <c r="H23" s="398" t="s">
        <v>36</v>
      </c>
      <c r="I23" s="399">
        <v>66000</v>
      </c>
      <c r="J23" s="379">
        <f t="shared" si="16"/>
        <v>0</v>
      </c>
      <c r="K23" s="400">
        <f>'[206]Andhika Kanishka'!$F$55</f>
        <v>2.1284722222189885</v>
      </c>
      <c r="L23" s="400">
        <f>'[206]Andhika Kanishka'!$F$55-'[206]Andhika Kanishka'!$F$52</f>
        <v>1.2048611111094942</v>
      </c>
      <c r="M23" s="379">
        <f t="shared" si="17"/>
        <v>31008.156606898661</v>
      </c>
      <c r="N23" s="379">
        <f t="shared" si="18"/>
        <v>54778.097982782441</v>
      </c>
      <c r="O23" s="401">
        <v>30000</v>
      </c>
      <c r="P23" s="402">
        <v>192.02</v>
      </c>
      <c r="Q23" s="402">
        <v>183.21</v>
      </c>
      <c r="R23" s="402">
        <f t="shared" si="19"/>
        <v>8.8100000000000023</v>
      </c>
      <c r="S23" s="383">
        <f t="shared" si="20"/>
        <v>0.1534308603274121</v>
      </c>
      <c r="T23" s="383">
        <f t="shared" si="21"/>
        <v>0.15704099821746886</v>
      </c>
      <c r="U23" s="383"/>
      <c r="V23" s="389"/>
      <c r="W23" s="32"/>
      <c r="X23" s="382">
        <v>2.15</v>
      </c>
      <c r="Y23" s="33">
        <f t="shared" si="22"/>
        <v>141900</v>
      </c>
      <c r="Z23" s="33"/>
      <c r="AA23" s="33"/>
      <c r="AB23" s="396">
        <v>9951.3888889050595</v>
      </c>
      <c r="AC23" s="386">
        <f t="shared" si="23"/>
        <v>-660</v>
      </c>
      <c r="AD23" s="35"/>
    </row>
    <row r="24" spans="1:30" s="24" customFormat="1" ht="12" customHeight="1" x14ac:dyDescent="0.3">
      <c r="A24" s="439">
        <v>43222.118055555555</v>
      </c>
      <c r="B24" s="439">
        <v>43225.138888888891</v>
      </c>
      <c r="C24" s="23"/>
      <c r="D24" s="25">
        <v>2000000117</v>
      </c>
      <c r="E24" s="35" t="s">
        <v>252</v>
      </c>
      <c r="F24" s="45" t="s">
        <v>58</v>
      </c>
      <c r="G24" s="388">
        <v>88940</v>
      </c>
      <c r="H24" s="388" t="s">
        <v>49</v>
      </c>
      <c r="I24" s="388">
        <v>161250</v>
      </c>
      <c r="J24" s="379">
        <f>G24-I24</f>
        <v>-72310</v>
      </c>
      <c r="K24" s="380">
        <f>'[207]Cape Fushen'!$F$66</f>
        <v>3.0208333333357587</v>
      </c>
      <c r="L24" s="380">
        <f>'[207]Cape Fushen'!$F$66-'[207]Cape Fushen'!$F$63</f>
        <v>1.8194444444598048</v>
      </c>
      <c r="M24" s="379">
        <f>G24/K24</f>
        <v>29442.206896528085</v>
      </c>
      <c r="N24" s="379">
        <f>G24/L24</f>
        <v>48883.053434701818</v>
      </c>
      <c r="O24" s="379">
        <v>30000</v>
      </c>
      <c r="P24" s="382">
        <v>181.66</v>
      </c>
      <c r="Q24" s="382">
        <v>168.66</v>
      </c>
      <c r="R24" s="382">
        <f>P24-Q24</f>
        <v>13</v>
      </c>
      <c r="S24" s="383">
        <f>R24/8.7*10000/G24</f>
        <v>0.16800684434036639</v>
      </c>
      <c r="T24" s="383">
        <f>R24/8.5*10000/G24</f>
        <v>0.17195994656013966</v>
      </c>
      <c r="U24" s="383"/>
      <c r="V24" s="389"/>
      <c r="W24" s="32"/>
      <c r="X24" s="382">
        <v>2.15</v>
      </c>
      <c r="Y24" s="33">
        <f>G24*X24</f>
        <v>191221</v>
      </c>
      <c r="Z24" s="33"/>
      <c r="AA24" s="33"/>
      <c r="AB24" s="391">
        <v>11452.222222068618</v>
      </c>
      <c r="AC24" s="386">
        <f>(G24*-0.01)</f>
        <v>-889.4</v>
      </c>
      <c r="AD24" s="35"/>
    </row>
    <row r="25" spans="1:30" s="24" customFormat="1" ht="12" customHeight="1" x14ac:dyDescent="0.3">
      <c r="A25" s="439">
        <v>43225.784722222219</v>
      </c>
      <c r="B25" s="439">
        <v>43229.395833333336</v>
      </c>
      <c r="C25" s="23"/>
      <c r="D25" s="25">
        <v>2000000118</v>
      </c>
      <c r="E25" s="35" t="s">
        <v>276</v>
      </c>
      <c r="F25" s="45" t="s">
        <v>32</v>
      </c>
      <c r="G25" s="388">
        <v>64999</v>
      </c>
      <c r="H25" s="388" t="s">
        <v>33</v>
      </c>
      <c r="I25" s="388">
        <v>66500</v>
      </c>
      <c r="J25" s="379">
        <f>G25-I25</f>
        <v>-1501</v>
      </c>
      <c r="K25" s="380">
        <f>'[207]Best Unity'!$F$56</f>
        <v>3.6111111111167702</v>
      </c>
      <c r="L25" s="380">
        <f>'[207]Best Unity'!$F$56-'[207]Best Unity'!$F$53</f>
        <v>1.1562500000145519</v>
      </c>
      <c r="M25" s="379">
        <f>G25/K25</f>
        <v>17999.723076894868</v>
      </c>
      <c r="N25" s="379">
        <f>G25/L25</f>
        <v>56215.351350643854</v>
      </c>
      <c r="O25" s="379">
        <v>30000</v>
      </c>
      <c r="P25" s="382">
        <v>167.87</v>
      </c>
      <c r="Q25" s="382">
        <v>156.9</v>
      </c>
      <c r="R25" s="382">
        <f>P25-Q25</f>
        <v>10.969999999999999</v>
      </c>
      <c r="S25" s="383">
        <f>R25/8.7*10000/G25</f>
        <v>0.19399060604469068</v>
      </c>
      <c r="T25" s="383">
        <f>R25/8.5*10000/G25</f>
        <v>0.19855509089280107</v>
      </c>
      <c r="U25" s="383"/>
      <c r="V25" s="389"/>
      <c r="W25" s="32"/>
      <c r="X25" s="382">
        <v>2.15</v>
      </c>
      <c r="Y25" s="33">
        <f>G25*X25</f>
        <v>139747.85</v>
      </c>
      <c r="Z25" s="33"/>
      <c r="AA25" s="33"/>
      <c r="AB25" s="391">
        <v>10103.833333187815</v>
      </c>
      <c r="AC25" s="386">
        <f>(G25*-0.01)</f>
        <v>-649.99</v>
      </c>
      <c r="AD25" s="35"/>
    </row>
    <row r="26" spans="1:30" x14ac:dyDescent="0.3">
      <c r="A26" s="439">
        <v>43280.576388888891</v>
      </c>
      <c r="B26" s="439">
        <v>43281.9375</v>
      </c>
      <c r="C26" s="47"/>
      <c r="D26" s="25">
        <v>2000000148</v>
      </c>
      <c r="E26" s="44" t="s">
        <v>164</v>
      </c>
      <c r="F26" s="36" t="s">
        <v>32</v>
      </c>
      <c r="G26" s="388">
        <v>44845</v>
      </c>
      <c r="H26" s="403" t="s">
        <v>33</v>
      </c>
      <c r="I26" s="403">
        <v>70300</v>
      </c>
      <c r="J26" s="379">
        <f>G26-I26</f>
        <v>-25455</v>
      </c>
      <c r="K26" s="394">
        <f>'[208]Hui Zhi'!$F$41</f>
        <v>1.3611111111094942</v>
      </c>
      <c r="L26" s="394">
        <f>'[208]Hui Zhi'!$F$41-'[208]Hui Zhi'!$F$38</f>
        <v>0.96180555552928126</v>
      </c>
      <c r="M26" s="379">
        <f>G26/K26</f>
        <v>32947.346938814648</v>
      </c>
      <c r="N26" s="379">
        <f>G26/L26</f>
        <v>46625.848376724971</v>
      </c>
      <c r="O26" s="392">
        <v>30000</v>
      </c>
      <c r="P26" s="395">
        <v>220.11</v>
      </c>
      <c r="Q26" s="395">
        <v>213.94</v>
      </c>
      <c r="R26" s="382">
        <f>P26-Q26</f>
        <v>6.1700000000000159</v>
      </c>
      <c r="S26" s="383">
        <f>R26/8.7*10000/G26</f>
        <v>0.15814369546189153</v>
      </c>
      <c r="T26" s="383">
        <f>R26/8.5*10000/G26</f>
        <v>0.16186472359040657</v>
      </c>
      <c r="U26" s="402"/>
      <c r="X26" s="382">
        <v>2.15</v>
      </c>
      <c r="Y26" s="33">
        <f>G26*X26</f>
        <v>96416.75</v>
      </c>
      <c r="Z26" s="33"/>
      <c r="AB26" s="391">
        <v>5330.2777780405195</v>
      </c>
      <c r="AC26" s="386">
        <f>(G26*-0.01)</f>
        <v>-448.45</v>
      </c>
    </row>
    <row r="27" spans="1:30" x14ac:dyDescent="0.3">
      <c r="A27" s="439">
        <v>43282.569444444445</v>
      </c>
      <c r="B27" s="439">
        <v>43285.680555555555</v>
      </c>
      <c r="C27" s="23"/>
      <c r="D27" s="23"/>
      <c r="E27" s="35" t="s">
        <v>279</v>
      </c>
      <c r="F27" s="36" t="s">
        <v>32</v>
      </c>
      <c r="G27" s="388">
        <v>75050</v>
      </c>
      <c r="H27" s="388" t="s">
        <v>199</v>
      </c>
      <c r="I27" s="379">
        <v>78471</v>
      </c>
      <c r="J27" s="379">
        <f t="shared" ref="J27:J33" si="24">G27-I27</f>
        <v>-3421</v>
      </c>
      <c r="K27" s="380">
        <f>[209]Anthea!$F$60</f>
        <v>3.1111111111094942</v>
      </c>
      <c r="L27" s="380">
        <f>[209]Anthea!$F$60-[209]Anthea!$F$57</f>
        <v>1.5347222222226264</v>
      </c>
      <c r="M27" s="379">
        <f t="shared" ref="M27:M32" si="25">G27/K27</f>
        <v>24123.214285726823</v>
      </c>
      <c r="N27" s="379">
        <f t="shared" ref="N27:N32" si="26">G27/L27</f>
        <v>48901.357466050467</v>
      </c>
      <c r="O27" s="379">
        <v>30000</v>
      </c>
      <c r="P27" s="382">
        <v>213.24</v>
      </c>
      <c r="Q27" s="382">
        <v>200.88</v>
      </c>
      <c r="R27" s="382">
        <f t="shared" ref="R27:R33" si="27">P27-Q27</f>
        <v>12.360000000000014</v>
      </c>
      <c r="S27" s="383">
        <f t="shared" ref="S27:S33" si="28">R27/8.7*10000/G27</f>
        <v>0.18929908796434586</v>
      </c>
      <c r="T27" s="383">
        <f t="shared" ref="T27:T33" si="29">R27/8.5*10000/G27</f>
        <v>0.19375318415174217</v>
      </c>
      <c r="U27" s="382"/>
      <c r="X27" s="382">
        <v>2.84</v>
      </c>
      <c r="Y27" s="33">
        <f t="shared" ref="Y27:Y32" si="30">G27*X27</f>
        <v>213142</v>
      </c>
      <c r="Z27" s="33"/>
      <c r="AB27" s="391">
        <v>9669.4444444403998</v>
      </c>
      <c r="AC27" s="386">
        <f>(G27*0.01)</f>
        <v>750.5</v>
      </c>
    </row>
    <row r="28" spans="1:30" x14ac:dyDescent="0.3">
      <c r="A28" s="439">
        <v>43292.826388888891</v>
      </c>
      <c r="B28" s="439">
        <v>43294.25</v>
      </c>
      <c r="C28" s="23"/>
      <c r="D28" s="23"/>
      <c r="E28" s="35" t="s">
        <v>41</v>
      </c>
      <c r="F28" s="36" t="s">
        <v>39</v>
      </c>
      <c r="G28" s="388">
        <v>49204</v>
      </c>
      <c r="H28" s="388" t="s">
        <v>40</v>
      </c>
      <c r="I28" s="388">
        <v>86600</v>
      </c>
      <c r="J28" s="379">
        <f t="shared" si="24"/>
        <v>-37396</v>
      </c>
      <c r="K28" s="380">
        <f>'[209]Taipower Prosperity II'!$F$43</f>
        <v>1.4236111111094942</v>
      </c>
      <c r="L28" s="380">
        <f>'[209]Taipower Prosperity II'!$F$43-'[209]Taipower Prosperity II'!$F$40</f>
        <v>0.86979166666787933</v>
      </c>
      <c r="M28" s="379">
        <f t="shared" si="25"/>
        <v>34562.809756136819</v>
      </c>
      <c r="N28" s="379">
        <f t="shared" si="26"/>
        <v>56569.868263394186</v>
      </c>
      <c r="O28" s="379">
        <v>30000</v>
      </c>
      <c r="P28" s="382">
        <v>191.18</v>
      </c>
      <c r="Q28" s="382">
        <v>184.74</v>
      </c>
      <c r="R28" s="382">
        <f t="shared" si="27"/>
        <v>6.4399999999999977</v>
      </c>
      <c r="S28" s="383">
        <f t="shared" si="28"/>
        <v>0.15044099769479535</v>
      </c>
      <c r="T28" s="383">
        <f t="shared" si="29"/>
        <v>0.15398078587584935</v>
      </c>
      <c r="U28" s="382"/>
      <c r="X28" s="382">
        <v>2.84</v>
      </c>
      <c r="Y28" s="33">
        <f t="shared" si="30"/>
        <v>139739.35999999999</v>
      </c>
      <c r="Z28" s="33"/>
      <c r="AB28" s="391">
        <v>7703.4166666545416</v>
      </c>
      <c r="AC28" s="386">
        <f t="shared" ref="AC28:AC33" si="31">(G28*0.01)</f>
        <v>492.04</v>
      </c>
    </row>
    <row r="29" spans="1:30" x14ac:dyDescent="0.3">
      <c r="A29" s="439">
        <v>43295.243055555555</v>
      </c>
      <c r="B29" s="439">
        <v>43297.444444444445</v>
      </c>
      <c r="C29" s="23"/>
      <c r="D29" s="23"/>
      <c r="E29" s="35" t="s">
        <v>280</v>
      </c>
      <c r="F29" s="36" t="s">
        <v>32</v>
      </c>
      <c r="G29" s="388">
        <v>68327</v>
      </c>
      <c r="H29" s="388" t="s">
        <v>33</v>
      </c>
      <c r="I29" s="388">
        <v>68302</v>
      </c>
      <c r="J29" s="379">
        <f t="shared" si="24"/>
        <v>25</v>
      </c>
      <c r="K29" s="380">
        <f>'[209]Navios Felicity'!$F$54</f>
        <v>2.2013888888905058</v>
      </c>
      <c r="L29" s="380">
        <f>'[209]Navios Felicity'!$F$54-'[209]Navios Felicity'!$F$51</f>
        <v>1.3246527777773736</v>
      </c>
      <c r="M29" s="379">
        <f t="shared" si="25"/>
        <v>31038.132492090768</v>
      </c>
      <c r="N29" s="379">
        <f t="shared" si="26"/>
        <v>51581.064220199223</v>
      </c>
      <c r="O29" s="379">
        <v>30000</v>
      </c>
      <c r="P29" s="382">
        <v>182.99</v>
      </c>
      <c r="Q29" s="382">
        <v>173.37</v>
      </c>
      <c r="R29" s="382">
        <f t="shared" si="27"/>
        <v>9.6200000000000045</v>
      </c>
      <c r="S29" s="383">
        <f t="shared" si="28"/>
        <v>0.16183165168041655</v>
      </c>
      <c r="T29" s="383">
        <f t="shared" si="29"/>
        <v>0.16563945524936752</v>
      </c>
      <c r="U29" s="382"/>
      <c r="X29" s="382">
        <v>2.84</v>
      </c>
      <c r="Y29" s="33">
        <f t="shared" si="30"/>
        <v>194048.68</v>
      </c>
      <c r="Z29" s="33"/>
      <c r="AB29" s="391">
        <v>9529.1388888929305</v>
      </c>
      <c r="AC29" s="386">
        <f t="shared" si="31"/>
        <v>683.27</v>
      </c>
    </row>
    <row r="30" spans="1:30" x14ac:dyDescent="0.3">
      <c r="A30" s="439">
        <v>43298.111111111109</v>
      </c>
      <c r="B30" s="439">
        <v>43298.888888888891</v>
      </c>
      <c r="C30" s="23"/>
      <c r="D30" s="23"/>
      <c r="E30" s="35" t="s">
        <v>242</v>
      </c>
      <c r="F30" s="36" t="s">
        <v>32</v>
      </c>
      <c r="G30" s="388">
        <v>26606</v>
      </c>
      <c r="H30" s="388" t="s">
        <v>199</v>
      </c>
      <c r="I30" s="388">
        <v>72920</v>
      </c>
      <c r="J30" s="379">
        <f t="shared" si="24"/>
        <v>-46314</v>
      </c>
      <c r="K30" s="380">
        <f>'[209]Zheng Kai'!$F$32</f>
        <v>0.70138888889050577</v>
      </c>
      <c r="L30" s="380">
        <f>'[209]Zheng Kai'!$F$32-'[209]Zheng Kai'!$F$29</f>
        <v>0.48611111110949423</v>
      </c>
      <c r="M30" s="379">
        <f t="shared" si="25"/>
        <v>37933.30693060562</v>
      </c>
      <c r="N30" s="379">
        <f t="shared" si="26"/>
        <v>54732.342857324904</v>
      </c>
      <c r="O30" s="379">
        <v>30000</v>
      </c>
      <c r="P30" s="382">
        <v>172.51</v>
      </c>
      <c r="Q30" s="382">
        <v>168.99</v>
      </c>
      <c r="R30" s="382">
        <f t="shared" si="27"/>
        <v>3.5199999999999818</v>
      </c>
      <c r="S30" s="383">
        <f t="shared" si="28"/>
        <v>0.15207009740262467</v>
      </c>
      <c r="T30" s="383">
        <f t="shared" si="29"/>
        <v>0.15564821734150994</v>
      </c>
      <c r="U30" s="382"/>
      <c r="X30" s="382">
        <v>2.84</v>
      </c>
      <c r="Y30" s="33">
        <f t="shared" si="30"/>
        <v>75561.039999999994</v>
      </c>
      <c r="Z30" s="33"/>
      <c r="AB30" s="391">
        <v>4250.6111112283352</v>
      </c>
      <c r="AC30" s="386">
        <f t="shared" si="31"/>
        <v>266.06</v>
      </c>
    </row>
    <row r="31" spans="1:30" x14ac:dyDescent="0.3">
      <c r="A31" s="439">
        <v>43300.673611111109</v>
      </c>
      <c r="B31" s="439">
        <v>43301.375</v>
      </c>
      <c r="C31" s="23"/>
      <c r="D31" s="23"/>
      <c r="E31" s="35" t="s">
        <v>281</v>
      </c>
      <c r="F31" s="36" t="s">
        <v>32</v>
      </c>
      <c r="G31" s="388">
        <v>27294</v>
      </c>
      <c r="H31" s="388" t="s">
        <v>49</v>
      </c>
      <c r="I31" s="388">
        <v>77000</v>
      </c>
      <c r="J31" s="379">
        <f t="shared" si="24"/>
        <v>-49706</v>
      </c>
      <c r="K31" s="380">
        <f>'[209]Zheng Kai'!$F$32</f>
        <v>0.70138888889050577</v>
      </c>
      <c r="L31" s="380">
        <f>'[209]Zheng Kai'!$F$32-'[209]Zheng Kai'!$F$29</f>
        <v>0.48611111110949423</v>
      </c>
      <c r="M31" s="379">
        <f t="shared" si="25"/>
        <v>38914.217821692473</v>
      </c>
      <c r="N31" s="379">
        <f t="shared" si="26"/>
        <v>56147.6571430439</v>
      </c>
      <c r="O31" s="379">
        <v>30000</v>
      </c>
      <c r="P31" s="382">
        <v>166.33</v>
      </c>
      <c r="Q31" s="382">
        <v>163.25</v>
      </c>
      <c r="R31" s="382">
        <f t="shared" si="27"/>
        <v>3.0800000000000125</v>
      </c>
      <c r="S31" s="383">
        <f t="shared" si="28"/>
        <v>0.12970725745795728</v>
      </c>
      <c r="T31" s="383">
        <f t="shared" si="29"/>
        <v>0.13275919292755625</v>
      </c>
      <c r="U31" s="382"/>
      <c r="X31" s="382">
        <v>2.84</v>
      </c>
      <c r="Y31" s="33">
        <f t="shared" si="30"/>
        <v>77514.959999999992</v>
      </c>
      <c r="Z31" s="33"/>
      <c r="AB31" s="391">
        <v>4236.8888889050586</v>
      </c>
      <c r="AC31" s="386">
        <f t="shared" si="31"/>
        <v>272.94</v>
      </c>
    </row>
    <row r="32" spans="1:30" x14ac:dyDescent="0.3">
      <c r="A32" s="439">
        <v>43301.680555555555</v>
      </c>
      <c r="B32" s="439">
        <v>43303.805555555555</v>
      </c>
      <c r="C32" s="47"/>
      <c r="D32" s="47"/>
      <c r="E32" s="35" t="s">
        <v>282</v>
      </c>
      <c r="F32" s="36" t="s">
        <v>32</v>
      </c>
      <c r="G32" s="388">
        <v>64999</v>
      </c>
      <c r="H32" s="403" t="s">
        <v>33</v>
      </c>
      <c r="I32" s="403">
        <v>64999</v>
      </c>
      <c r="J32" s="379">
        <f t="shared" si="24"/>
        <v>0</v>
      </c>
      <c r="K32" s="394">
        <f>[209]Everlucky!$F$56</f>
        <v>2.125</v>
      </c>
      <c r="L32" s="394">
        <f>[209]Everlucky!$F$56-[209]Everlucky!$F$53</f>
        <v>1.2291666666715173</v>
      </c>
      <c r="M32" s="379">
        <f t="shared" si="25"/>
        <v>30587.764705882353</v>
      </c>
      <c r="N32" s="379">
        <f t="shared" si="26"/>
        <v>52880.542372672673</v>
      </c>
      <c r="O32" s="392">
        <v>30000</v>
      </c>
      <c r="P32" s="395">
        <v>162.91</v>
      </c>
      <c r="Q32" s="395">
        <v>153.72</v>
      </c>
      <c r="R32" s="395">
        <f t="shared" si="27"/>
        <v>9.1899999999999977</v>
      </c>
      <c r="S32" s="383">
        <f t="shared" si="28"/>
        <v>0.16251355237472262</v>
      </c>
      <c r="T32" s="383">
        <f t="shared" si="29"/>
        <v>0.16633740066589253</v>
      </c>
      <c r="U32" s="402"/>
      <c r="X32" s="382">
        <v>2.84</v>
      </c>
      <c r="Y32" s="33">
        <f t="shared" si="30"/>
        <v>184597.16</v>
      </c>
      <c r="Z32" s="33"/>
      <c r="AB32" s="404">
        <v>9374.6666666181609</v>
      </c>
      <c r="AC32" s="386">
        <f t="shared" si="31"/>
        <v>649.99</v>
      </c>
    </row>
    <row r="33" spans="1:30" s="24" customFormat="1" ht="12" customHeight="1" x14ac:dyDescent="0.3">
      <c r="A33" s="439">
        <v>43306.548611111109</v>
      </c>
      <c r="B33" s="439">
        <v>43312.1875</v>
      </c>
      <c r="C33" s="47"/>
      <c r="D33" s="47"/>
      <c r="E33" s="35" t="s">
        <v>103</v>
      </c>
      <c r="F33" s="36" t="s">
        <v>32</v>
      </c>
      <c r="G33" s="388">
        <v>67000</v>
      </c>
      <c r="H33" s="403" t="s">
        <v>36</v>
      </c>
      <c r="I33" s="403">
        <v>67000</v>
      </c>
      <c r="J33" s="392">
        <f t="shared" si="24"/>
        <v>0</v>
      </c>
      <c r="K33" s="394">
        <f>'[209]Dewi Parwati'!$F$62</f>
        <v>5.6388888888905058</v>
      </c>
      <c r="L33" s="394">
        <f>'[209]Dewi Parwati'!$F$62-'[209]Dewi Parwati'!$F$59</f>
        <v>1.2673611111131322</v>
      </c>
      <c r="M33" s="379">
        <f>G33/K33</f>
        <v>11881.773399011372</v>
      </c>
      <c r="N33" s="379">
        <f>G33/L33</f>
        <v>52865.753424573224</v>
      </c>
      <c r="O33" s="392">
        <v>30000</v>
      </c>
      <c r="P33" s="395">
        <v>150.07</v>
      </c>
      <c r="Q33" s="395">
        <v>135.35</v>
      </c>
      <c r="R33" s="395">
        <f t="shared" si="27"/>
        <v>14.719999999999999</v>
      </c>
      <c r="S33" s="383">
        <f t="shared" si="28"/>
        <v>0.25253045119231426</v>
      </c>
      <c r="T33" s="383">
        <f t="shared" si="29"/>
        <v>0.25847234416154519</v>
      </c>
      <c r="U33" s="402"/>
      <c r="V33" s="389"/>
      <c r="W33" s="32"/>
      <c r="X33" s="382">
        <v>2.84</v>
      </c>
      <c r="Y33" s="33">
        <f>G33*X33</f>
        <v>190280</v>
      </c>
      <c r="Z33" s="33"/>
      <c r="AA33" s="33"/>
      <c r="AB33" s="404">
        <v>9659.7222222020118</v>
      </c>
      <c r="AC33" s="386">
        <f t="shared" si="31"/>
        <v>670</v>
      </c>
      <c r="AD33" s="35"/>
    </row>
    <row r="34" spans="1:30" s="24" customFormat="1" ht="12" customHeight="1" x14ac:dyDescent="0.3">
      <c r="A34" s="682">
        <v>43316.083333333336</v>
      </c>
      <c r="B34" s="682">
        <v>43317.104166666664</v>
      </c>
      <c r="C34" s="23"/>
      <c r="D34" s="23"/>
      <c r="E34" s="35" t="s">
        <v>238</v>
      </c>
      <c r="F34" s="36" t="s">
        <v>32</v>
      </c>
      <c r="G34" s="388">
        <v>37405</v>
      </c>
      <c r="H34" s="388" t="s">
        <v>40</v>
      </c>
      <c r="I34" s="388">
        <v>79550</v>
      </c>
      <c r="J34" s="26">
        <f t="shared" ref="J34:J39" si="32">G34-I34</f>
        <v>-42145</v>
      </c>
      <c r="K34" s="380">
        <f>'[210]Ying Shun'!$F$39</f>
        <v>1.0208333333284827</v>
      </c>
      <c r="L34" s="380">
        <f>'[210]Ying Shun'!$F$39-'[210]Ying Shun'!$F$36</f>
        <v>0.65277777777373558</v>
      </c>
      <c r="M34" s="379">
        <f>G34/K34</f>
        <v>36641.632653235334</v>
      </c>
      <c r="N34" s="379">
        <f>G34/L34</f>
        <v>57301.276596099509</v>
      </c>
      <c r="O34" s="379">
        <v>30000</v>
      </c>
      <c r="P34" s="382">
        <v>149.69</v>
      </c>
      <c r="Q34" s="382">
        <v>144.26</v>
      </c>
      <c r="R34" s="395">
        <f t="shared" ref="R34:R43" si="33">P34-Q34</f>
        <v>5.4300000000000068</v>
      </c>
      <c r="S34" s="383">
        <f t="shared" ref="S34:S38" si="34">R34/8.7*10000/G34</f>
        <v>0.16685949232308075</v>
      </c>
      <c r="T34" s="383">
        <f t="shared" ref="T34:T38" si="35">R34/8.5*10000/G34</f>
        <v>0.17078559802480028</v>
      </c>
      <c r="U34" s="382"/>
      <c r="V34" s="389"/>
      <c r="W34" s="32"/>
      <c r="X34" s="382">
        <v>2.84</v>
      </c>
      <c r="Y34" s="33">
        <f t="shared" ref="Y34:Y38" si="36">G34*X34</f>
        <v>106230.2</v>
      </c>
      <c r="Z34" s="33"/>
      <c r="AA34" s="33"/>
      <c r="AB34" s="391">
        <v>5940.5555555959763</v>
      </c>
      <c r="AC34" s="386">
        <f t="shared" ref="AC34:AC38" si="37">(G34*0.01)</f>
        <v>374.05</v>
      </c>
      <c r="AD34" s="35"/>
    </row>
    <row r="35" spans="1:30" s="24" customFormat="1" ht="12" customHeight="1" x14ac:dyDescent="0.3">
      <c r="A35" s="682">
        <v>43321.638888888891</v>
      </c>
      <c r="B35" s="682">
        <v>43322.628472222219</v>
      </c>
      <c r="C35" s="23"/>
      <c r="D35" s="23"/>
      <c r="E35" s="35" t="s">
        <v>236</v>
      </c>
      <c r="F35" s="36" t="s">
        <v>32</v>
      </c>
      <c r="G35" s="388">
        <v>29767</v>
      </c>
      <c r="H35" s="388" t="s">
        <v>33</v>
      </c>
      <c r="I35" s="388">
        <v>71280</v>
      </c>
      <c r="J35" s="26">
        <f t="shared" si="32"/>
        <v>-41513</v>
      </c>
      <c r="K35" s="380">
        <f>'[210]Yue Dian 8'!$F$39</f>
        <v>0.98958333332848269</v>
      </c>
      <c r="L35" s="380">
        <f>'[210]Yue Dian 8'!$F$39-'[210]Yue Dian 8'!$F$36</f>
        <v>0.49479166664968943</v>
      </c>
      <c r="M35" s="379">
        <f>G35/K35</f>
        <v>30080.336842252709</v>
      </c>
      <c r="N35" s="379">
        <f>G35/L35</f>
        <v>60160.673686274749</v>
      </c>
      <c r="O35" s="379">
        <v>30000</v>
      </c>
      <c r="P35" s="382">
        <v>137.66</v>
      </c>
      <c r="Q35" s="382">
        <v>132.79</v>
      </c>
      <c r="R35" s="395">
        <f t="shared" si="33"/>
        <v>4.8700000000000045</v>
      </c>
      <c r="S35" s="383">
        <f t="shared" si="34"/>
        <v>0.18805056436407072</v>
      </c>
      <c r="T35" s="383">
        <f t="shared" si="35"/>
        <v>0.19247528352557824</v>
      </c>
      <c r="U35" s="382"/>
      <c r="V35" s="389"/>
      <c r="W35" s="32"/>
      <c r="X35" s="382">
        <v>2.84</v>
      </c>
      <c r="Y35" s="33">
        <f t="shared" si="36"/>
        <v>84538.28</v>
      </c>
      <c r="Z35" s="33"/>
      <c r="AA35" s="33"/>
      <c r="AB35" s="391">
        <v>4974.4166668364387</v>
      </c>
      <c r="AC35" s="386">
        <f t="shared" si="37"/>
        <v>297.67</v>
      </c>
      <c r="AD35" s="35"/>
    </row>
    <row r="36" spans="1:30" x14ac:dyDescent="0.3">
      <c r="A36" s="682">
        <v>43325.145833333336</v>
      </c>
      <c r="B36" s="682">
        <v>43326.069444444445</v>
      </c>
      <c r="C36" s="23"/>
      <c r="D36" s="23"/>
      <c r="E36" s="35" t="s">
        <v>167</v>
      </c>
      <c r="F36" s="36" t="s">
        <v>32</v>
      </c>
      <c r="G36" s="388">
        <v>32854</v>
      </c>
      <c r="H36" s="388" t="s">
        <v>33</v>
      </c>
      <c r="I36" s="388">
        <v>67030</v>
      </c>
      <c r="J36" s="26">
        <f t="shared" si="32"/>
        <v>-34176</v>
      </c>
      <c r="K36" s="380">
        <f>'[210]Genco Beauty'!$F$35</f>
        <v>0.92361111110949423</v>
      </c>
      <c r="L36" s="380">
        <f>'[210]Genco Beauty'!$F$35-'[210]Genco Beauty'!$F$32</f>
        <v>0.62673611111313221</v>
      </c>
      <c r="M36" s="379">
        <f>G36/K36</f>
        <v>35571.248120363023</v>
      </c>
      <c r="N36" s="379">
        <f>G36/L36</f>
        <v>52420.786703432059</v>
      </c>
      <c r="O36" s="379">
        <v>30000</v>
      </c>
      <c r="P36" s="382">
        <v>128.72999999999999</v>
      </c>
      <c r="Q36" s="382">
        <v>123.96</v>
      </c>
      <c r="R36" s="395">
        <f t="shared" si="33"/>
        <v>4.769999999999996</v>
      </c>
      <c r="S36" s="383">
        <f t="shared" si="34"/>
        <v>0.16688252939336612</v>
      </c>
      <c r="T36" s="383">
        <f t="shared" si="35"/>
        <v>0.17080917714379829</v>
      </c>
      <c r="U36" s="382"/>
      <c r="X36" s="382">
        <v>2.84</v>
      </c>
      <c r="Y36" s="33">
        <f t="shared" si="36"/>
        <v>93305.36</v>
      </c>
      <c r="Z36" s="33"/>
      <c r="AB36" s="391">
        <v>4683.9722222020109</v>
      </c>
      <c r="AC36" s="386">
        <f t="shared" si="37"/>
        <v>328.54</v>
      </c>
    </row>
    <row r="37" spans="1:30" s="24" customFormat="1" ht="12" customHeight="1" x14ac:dyDescent="0.3">
      <c r="A37" s="682">
        <v>43335.368055555555</v>
      </c>
      <c r="B37" s="682">
        <v>43336.927083333336</v>
      </c>
      <c r="C37" s="23"/>
      <c r="D37" s="23"/>
      <c r="E37" s="44" t="s">
        <v>80</v>
      </c>
      <c r="F37" s="681" t="s">
        <v>32</v>
      </c>
      <c r="G37" s="388">
        <v>45969</v>
      </c>
      <c r="H37" s="388" t="s">
        <v>33</v>
      </c>
      <c r="I37" s="388">
        <v>67683</v>
      </c>
      <c r="J37" s="26">
        <f t="shared" si="32"/>
        <v>-21714</v>
      </c>
      <c r="K37" s="380">
        <f>'[210]Rosco Sandalwood'!$F$48</f>
        <v>1.5590277777810115</v>
      </c>
      <c r="L37" s="380">
        <f>'[210]Rosco Sandalwood'!$F$48-'[210]Rosco Sandalwood'!$F$45</f>
        <v>0.89062500000727596</v>
      </c>
      <c r="M37" s="379">
        <f>(G37)/K37</f>
        <v>29485.683741586949</v>
      </c>
      <c r="N37" s="379">
        <f>(G37)/L37</f>
        <v>51614.315789052023</v>
      </c>
      <c r="O37" s="379">
        <v>30000</v>
      </c>
      <c r="P37" s="382">
        <v>109.27</v>
      </c>
      <c r="Q37" s="382">
        <v>101.28</v>
      </c>
      <c r="R37" s="395">
        <f t="shared" si="33"/>
        <v>7.9899999999999949</v>
      </c>
      <c r="S37" s="383">
        <f>R37/8.7*10000/(G37)</f>
        <v>0.19978481250357863</v>
      </c>
      <c r="T37" s="383">
        <f>R37/8.5*10000/(G37)</f>
        <v>0.20448563162130989</v>
      </c>
      <c r="U37" s="382"/>
      <c r="V37" s="389"/>
      <c r="W37" s="32"/>
      <c r="X37" s="382">
        <v>2.84</v>
      </c>
      <c r="Y37" s="33">
        <f t="shared" si="36"/>
        <v>130551.95999999999</v>
      </c>
      <c r="Z37" s="33"/>
      <c r="AA37" s="33"/>
      <c r="AB37" s="391">
        <v>6416.7499999272404</v>
      </c>
      <c r="AC37" s="386">
        <f t="shared" si="37"/>
        <v>459.69</v>
      </c>
      <c r="AD37" s="35"/>
    </row>
    <row r="38" spans="1:30" s="24" customFormat="1" ht="12" customHeight="1" x14ac:dyDescent="0.3">
      <c r="A38" s="682">
        <v>43337.180555555555</v>
      </c>
      <c r="B38" s="682">
        <v>43339.125</v>
      </c>
      <c r="C38" s="47"/>
      <c r="D38" s="47"/>
      <c r="E38" s="44" t="s">
        <v>232</v>
      </c>
      <c r="F38" s="399" t="s">
        <v>32</v>
      </c>
      <c r="G38" s="388">
        <v>37858</v>
      </c>
      <c r="H38" s="403" t="s">
        <v>93</v>
      </c>
      <c r="I38" s="403">
        <v>80005</v>
      </c>
      <c r="J38" s="405">
        <f t="shared" si="32"/>
        <v>-42147</v>
      </c>
      <c r="K38" s="394">
        <f>'[210]HL IBT'!$F$39</f>
        <v>1.9444444444452529</v>
      </c>
      <c r="L38" s="394">
        <f>'[210]HL IBT'!$F$39-'[210]HL IBT'!$F$36</f>
        <v>0.84548611110949423</v>
      </c>
      <c r="M38" s="379">
        <f>(G38)/K38</f>
        <v>19469.828571420476</v>
      </c>
      <c r="N38" s="379">
        <f>(G38)/L38</f>
        <v>44776.607802960374</v>
      </c>
      <c r="O38" s="392">
        <v>30000</v>
      </c>
      <c r="P38" s="395">
        <v>100.69</v>
      </c>
      <c r="Q38" s="395">
        <v>93.21</v>
      </c>
      <c r="R38" s="395">
        <f t="shared" si="33"/>
        <v>7.480000000000004</v>
      </c>
      <c r="S38" s="383">
        <f t="shared" si="34"/>
        <v>0.22710394498983816</v>
      </c>
      <c r="T38" s="383">
        <f t="shared" si="35"/>
        <v>0.23244756722489313</v>
      </c>
      <c r="U38" s="402"/>
      <c r="V38" s="389"/>
      <c r="W38" s="32"/>
      <c r="X38" s="382">
        <v>2.84</v>
      </c>
      <c r="Y38" s="33">
        <f t="shared" si="36"/>
        <v>107516.72</v>
      </c>
      <c r="Z38" s="33"/>
      <c r="AA38" s="33"/>
      <c r="AB38" s="404">
        <v>4164.4722222383916</v>
      </c>
      <c r="AC38" s="386">
        <f t="shared" si="37"/>
        <v>378.58</v>
      </c>
      <c r="AD38" s="35"/>
    </row>
    <row r="39" spans="1:30" s="24" customFormat="1" ht="12" customHeight="1" x14ac:dyDescent="0.3">
      <c r="A39" s="682">
        <v>43348.46875</v>
      </c>
      <c r="B39" s="682">
        <v>43351.125</v>
      </c>
      <c r="C39" s="23"/>
      <c r="D39" s="23"/>
      <c r="E39" s="35" t="s">
        <v>41</v>
      </c>
      <c r="F39" s="36" t="s">
        <v>39</v>
      </c>
      <c r="G39" s="388">
        <v>86600</v>
      </c>
      <c r="H39" s="388" t="s">
        <v>40</v>
      </c>
      <c r="I39" s="388">
        <v>86600</v>
      </c>
      <c r="J39" s="26">
        <f t="shared" si="32"/>
        <v>0</v>
      </c>
      <c r="K39" s="380">
        <f>'[211]Taipower Prosperity II'!$F$57</f>
        <v>2.65625</v>
      </c>
      <c r="L39" s="380">
        <f>'[211]Taipower Prosperity II'!$F$57-'[211]Taipower Prosperity II'!$F$54</f>
        <v>1.7621527777700976</v>
      </c>
      <c r="M39" s="379">
        <f>G39/K39</f>
        <v>32602.352941176472</v>
      </c>
      <c r="N39" s="379">
        <f>G39/L39</f>
        <v>49144.433497751139</v>
      </c>
      <c r="O39" s="379">
        <v>30000</v>
      </c>
      <c r="P39" s="69">
        <f>(78696/10000)*8.7</f>
        <v>68.465519999999998</v>
      </c>
      <c r="Q39" s="69">
        <f>(64868/10000)*8.7</f>
        <v>56.435159999999989</v>
      </c>
      <c r="R39" s="395">
        <f t="shared" si="33"/>
        <v>12.030360000000009</v>
      </c>
      <c r="S39" s="383">
        <f>R39/8.7*10000/G39</f>
        <v>0.15967667436489619</v>
      </c>
      <c r="T39" s="383">
        <f>R39/8.5*10000/G39</f>
        <v>0.16343377258524669</v>
      </c>
      <c r="U39" s="382"/>
      <c r="V39" s="389"/>
      <c r="W39" s="32"/>
      <c r="X39" s="382">
        <v>2.84</v>
      </c>
      <c r="Y39" s="33">
        <f t="shared" ref="Y39:Y42" si="38">G39*X39</f>
        <v>245944</v>
      </c>
      <c r="Z39" s="33"/>
      <c r="AA39" s="33"/>
      <c r="AB39" s="406">
        <v>11245.138888965692</v>
      </c>
      <c r="AC39" s="386">
        <f>(G39*0.01)</f>
        <v>866</v>
      </c>
      <c r="AD39" s="35"/>
    </row>
    <row r="40" spans="1:30" s="81" customFormat="1" ht="12" customHeight="1" x14ac:dyDescent="0.3">
      <c r="A40" s="693">
        <v>43353.833333333336</v>
      </c>
      <c r="B40" s="693">
        <v>43356.006944444445</v>
      </c>
      <c r="C40" s="70"/>
      <c r="D40" s="70"/>
      <c r="E40" s="71" t="s">
        <v>283</v>
      </c>
      <c r="F40" s="681" t="s">
        <v>32</v>
      </c>
      <c r="G40" s="407">
        <v>71000</v>
      </c>
      <c r="H40" s="407" t="s">
        <v>49</v>
      </c>
      <c r="I40" s="407">
        <v>71000</v>
      </c>
      <c r="J40" s="73">
        <f>(G40)-I40</f>
        <v>0</v>
      </c>
      <c r="K40" s="380">
        <f>[211]Protefs!$F$58</f>
        <v>2.1736111111094942</v>
      </c>
      <c r="L40" s="380">
        <f>[211]Protefs!$F$58-[211]Protefs!$F$55</f>
        <v>1.3211805555583851</v>
      </c>
      <c r="M40" s="408">
        <f>(G40)/K40</f>
        <v>32664.536741238357</v>
      </c>
      <c r="N40" s="408">
        <f>(G40)/L40</f>
        <v>53739.816031422357</v>
      </c>
      <c r="O40" s="408">
        <v>30000</v>
      </c>
      <c r="P40" s="75">
        <f>(184825/10000)*8.7</f>
        <v>160.79775000000001</v>
      </c>
      <c r="Q40" s="75">
        <f>(174038/10000)*8.7</f>
        <v>151.41306</v>
      </c>
      <c r="R40" s="409">
        <f t="shared" si="33"/>
        <v>9.3846900000000062</v>
      </c>
      <c r="S40" s="410">
        <f t="shared" ref="S40:S71" si="39">R40/8.7*10000/(G40)</f>
        <v>0.15192957746478886</v>
      </c>
      <c r="T40" s="410">
        <f>R40/8.5*10000/G40</f>
        <v>0.15550439105219563</v>
      </c>
      <c r="U40" s="411"/>
      <c r="V40" s="412"/>
      <c r="W40" s="413"/>
      <c r="X40" s="411">
        <v>2.64</v>
      </c>
      <c r="Y40" s="58">
        <f t="shared" si="38"/>
        <v>187440</v>
      </c>
      <c r="Z40" s="58"/>
      <c r="AA40" s="58"/>
      <c r="AB40" s="414">
        <v>10454.861111082815</v>
      </c>
      <c r="AC40" s="415" t="s">
        <v>70</v>
      </c>
      <c r="AD40" s="71"/>
    </row>
    <row r="41" spans="1:30" s="24" customFormat="1" ht="12" customHeight="1" x14ac:dyDescent="0.3">
      <c r="A41" s="682">
        <v>43359.402777777781</v>
      </c>
      <c r="B41" s="682">
        <v>43362.951388888891</v>
      </c>
      <c r="C41" s="23"/>
      <c r="D41" s="23"/>
      <c r="E41" s="35" t="s">
        <v>227</v>
      </c>
      <c r="F41" s="681" t="s">
        <v>58</v>
      </c>
      <c r="G41" s="388">
        <v>85456</v>
      </c>
      <c r="H41" s="388" t="s">
        <v>49</v>
      </c>
      <c r="I41" s="388">
        <v>159680</v>
      </c>
      <c r="J41" s="26">
        <f>(G41)-I41</f>
        <v>-74224</v>
      </c>
      <c r="K41" s="380">
        <f>'[211]Mineral Brugge'!$F$56</f>
        <v>3.5486111111094942</v>
      </c>
      <c r="L41" s="380">
        <f>'[211]Mineral Brugge'!$F$56-'[211]Mineral Brugge'!$F$53</f>
        <v>1.6024305555620231</v>
      </c>
      <c r="M41" s="379">
        <f>(G41)/K41</f>
        <v>24081.534246586314</v>
      </c>
      <c r="N41" s="379">
        <f>(G41)/L41</f>
        <v>53328.988082124954</v>
      </c>
      <c r="O41" s="379">
        <v>30000</v>
      </c>
      <c r="P41" s="69">
        <f>(167642/10000)*8.7</f>
        <v>145.84853999999999</v>
      </c>
      <c r="Q41" s="69">
        <f>(152569/10000)*8.7</f>
        <v>132.73502999999999</v>
      </c>
      <c r="R41" s="395">
        <f t="shared" si="33"/>
        <v>13.113509999999991</v>
      </c>
      <c r="S41" s="383">
        <f t="shared" si="39"/>
        <v>0.17638316794607739</v>
      </c>
      <c r="T41" s="383">
        <f>R41/8.5*10000/(G41)</f>
        <v>0.18053336013304394</v>
      </c>
      <c r="U41" s="382"/>
      <c r="V41" s="389"/>
      <c r="W41" s="32"/>
      <c r="X41" s="382">
        <v>2.64</v>
      </c>
      <c r="Y41" s="33">
        <f t="shared" si="38"/>
        <v>225603.84</v>
      </c>
      <c r="Z41" s="33"/>
      <c r="AA41" s="33"/>
      <c r="AB41" s="406">
        <v>12461.027777713101</v>
      </c>
      <c r="AC41" s="416" t="s">
        <v>70</v>
      </c>
      <c r="AD41" s="35"/>
    </row>
    <row r="42" spans="1:30" s="24" customFormat="1" ht="12" customHeight="1" x14ac:dyDescent="0.3">
      <c r="A42" s="682">
        <v>43365.715277777781</v>
      </c>
      <c r="B42" s="682">
        <v>43368.40625</v>
      </c>
      <c r="C42" s="23"/>
      <c r="D42" s="23"/>
      <c r="E42" s="35" t="s">
        <v>284</v>
      </c>
      <c r="F42" s="36" t="s">
        <v>39</v>
      </c>
      <c r="G42" s="388">
        <v>87820</v>
      </c>
      <c r="H42" s="388" t="s">
        <v>40</v>
      </c>
      <c r="I42" s="388">
        <v>87860</v>
      </c>
      <c r="J42" s="26">
        <f>(G42)-I42</f>
        <v>-40</v>
      </c>
      <c r="K42" s="380">
        <f>'[211]Ocean Emerald'!$F$56</f>
        <v>2.6909722222189885</v>
      </c>
      <c r="L42" s="380">
        <f>'[211]Ocean Emerald'!$F$56-'[211]Ocean Emerald'!$F$53</f>
        <v>1.7239583333139308</v>
      </c>
      <c r="M42" s="379">
        <f>(G42)/K42</f>
        <v>32635.045161329541</v>
      </c>
      <c r="N42" s="379">
        <f>(G42)/L42</f>
        <v>50940.9063449842</v>
      </c>
      <c r="O42" s="379">
        <v>30000</v>
      </c>
      <c r="P42" s="69">
        <f>(148332/10000)*8.7</f>
        <v>129.04883999999998</v>
      </c>
      <c r="Q42" s="69">
        <f>(134849/10000)*8.7</f>
        <v>117.31862999999998</v>
      </c>
      <c r="R42" s="395">
        <f t="shared" si="33"/>
        <v>11.73021</v>
      </c>
      <c r="S42" s="383">
        <f t="shared" si="39"/>
        <v>0.15352994762013208</v>
      </c>
      <c r="T42" s="383">
        <f>R42/8.5*10000/(G42)</f>
        <v>0.15714241697589992</v>
      </c>
      <c r="U42" s="395">
        <f>S42-T42</f>
        <v>-3.6124693557678389E-3</v>
      </c>
      <c r="V42" s="389"/>
      <c r="W42" s="32"/>
      <c r="X42" s="382">
        <v>2.64</v>
      </c>
      <c r="Y42" s="33">
        <f t="shared" si="38"/>
        <v>231844.80000000002</v>
      </c>
      <c r="Z42" s="33"/>
      <c r="AA42" s="33"/>
      <c r="AB42" s="406">
        <v>12033.750000194026</v>
      </c>
      <c r="AC42" s="416" t="s">
        <v>70</v>
      </c>
      <c r="AD42" s="35"/>
    </row>
    <row r="43" spans="1:30" s="24" customFormat="1" ht="12" customHeight="1" x14ac:dyDescent="0.3">
      <c r="A43" s="682">
        <v>43368.708333333336</v>
      </c>
      <c r="B43" s="682">
        <v>43373.194444444445</v>
      </c>
      <c r="C43" s="23"/>
      <c r="D43" s="23"/>
      <c r="E43" s="35" t="s">
        <v>222</v>
      </c>
      <c r="F43" s="690" t="s">
        <v>58</v>
      </c>
      <c r="G43" s="388">
        <v>157027</v>
      </c>
      <c r="H43" s="388" t="s">
        <v>49</v>
      </c>
      <c r="I43" s="388">
        <v>165000</v>
      </c>
      <c r="J43" s="26">
        <f>(G43)-I43</f>
        <v>-7973</v>
      </c>
      <c r="K43" s="380">
        <f>'[211]Australia Maru'!$F$80</f>
        <v>4.4861111111094942</v>
      </c>
      <c r="L43" s="380">
        <f>'[211]Australia Maru'!$F$80-'[211]Australia Maru'!$F$77</f>
        <v>2.6319444444585924</v>
      </c>
      <c r="M43" s="379">
        <f>(G43)/K43</f>
        <v>35002.922600631813</v>
      </c>
      <c r="N43" s="379">
        <f>(G43)/L43</f>
        <v>59661.973614455012</v>
      </c>
      <c r="O43" s="379">
        <v>30000</v>
      </c>
      <c r="P43" s="69">
        <f>(134539/10000)*8.7</f>
        <v>117.04893</v>
      </c>
      <c r="Q43" s="69">
        <f>(111855/10000)*8.7</f>
        <v>97.313849999999988</v>
      </c>
      <c r="R43" s="395">
        <f t="shared" si="33"/>
        <v>19.735080000000011</v>
      </c>
      <c r="S43" s="383">
        <f t="shared" si="39"/>
        <v>0.14445923312551354</v>
      </c>
      <c r="T43" s="383">
        <f>R43/8.5*10000/(G43)</f>
        <v>0.14785827390493739</v>
      </c>
      <c r="U43" s="395">
        <f>S43-T43</f>
        <v>-3.3990407794238509E-3</v>
      </c>
      <c r="V43" s="389"/>
      <c r="W43" s="32"/>
      <c r="X43" s="382">
        <v>2.64</v>
      </c>
      <c r="Y43" s="33">
        <f>G43*X43</f>
        <v>414551.28</v>
      </c>
      <c r="Z43" s="33"/>
      <c r="AA43" s="33"/>
      <c r="AB43" s="406">
        <f>'[211]Recap Sep 2018'!E10*'[211]Recap Sep 2018'!C10</f>
        <v>15018.22222208074</v>
      </c>
      <c r="AC43" s="416" t="s">
        <v>70</v>
      </c>
      <c r="AD43" s="35"/>
    </row>
    <row r="44" spans="1:30" s="24" customFormat="1" ht="12" customHeight="1" x14ac:dyDescent="0.3">
      <c r="A44" s="682">
        <v>43374.944444444445</v>
      </c>
      <c r="B44" s="682">
        <v>43378.243055555555</v>
      </c>
      <c r="C44" s="23"/>
      <c r="D44" s="23"/>
      <c r="E44" s="35" t="s">
        <v>103</v>
      </c>
      <c r="F44" s="36" t="s">
        <v>39</v>
      </c>
      <c r="G44" s="388">
        <v>68083</v>
      </c>
      <c r="H44" s="388" t="s">
        <v>36</v>
      </c>
      <c r="I44" s="388">
        <v>68000</v>
      </c>
      <c r="J44" s="26">
        <f>G44-I44</f>
        <v>83</v>
      </c>
      <c r="K44" s="380">
        <f>B44-A44</f>
        <v>3.2986111111094942</v>
      </c>
      <c r="L44" s="380">
        <f>'[212]Dewi Parwati'!$F$57-'[212]Dewi Parwati'!$F$54</f>
        <v>1.5972222222408163</v>
      </c>
      <c r="M44" s="379">
        <f>G44/K44</f>
        <v>20639.898947378537</v>
      </c>
      <c r="N44" s="379">
        <f>G44/L44</f>
        <v>42625.878260373334</v>
      </c>
      <c r="O44" s="379">
        <v>30000</v>
      </c>
      <c r="P44" s="69">
        <f>(109098/10000)*8.7</f>
        <v>94.915260000000004</v>
      </c>
      <c r="Q44" s="69">
        <f>(95061/10000)*8.7</f>
        <v>82.703069999999997</v>
      </c>
      <c r="R44" s="395">
        <f t="shared" ref="R44:R75" si="40">P44-Q44</f>
        <v>12.212190000000007</v>
      </c>
      <c r="S44" s="383">
        <f t="shared" si="39"/>
        <v>0.20617481603337118</v>
      </c>
      <c r="T44" s="383">
        <f>R44/8.5*10000/G44</f>
        <v>0.2110259881753328</v>
      </c>
      <c r="U44" s="395">
        <f>S44-T44</f>
        <v>-4.8511721419616238E-3</v>
      </c>
      <c r="V44" s="389"/>
      <c r="W44" s="32"/>
      <c r="X44" s="382">
        <v>2.64</v>
      </c>
      <c r="Y44" s="33">
        <f t="shared" ref="Y44:Y51" si="41">G44*X44</f>
        <v>179739.12</v>
      </c>
      <c r="Z44" s="33"/>
      <c r="AA44" s="33"/>
      <c r="AB44" s="391">
        <v>6722.1111109251688</v>
      </c>
      <c r="AC44" s="416" t="s">
        <v>70</v>
      </c>
      <c r="AD44" s="35"/>
    </row>
    <row r="45" spans="1:30" s="24" customFormat="1" ht="12" customHeight="1" x14ac:dyDescent="0.3">
      <c r="A45" s="682">
        <v>43379.3125</v>
      </c>
      <c r="B45" s="682">
        <v>43381.5625</v>
      </c>
      <c r="C45" s="23"/>
      <c r="D45" s="23"/>
      <c r="E45" s="35" t="s">
        <v>102</v>
      </c>
      <c r="F45" s="690" t="s">
        <v>32</v>
      </c>
      <c r="G45" s="388">
        <v>71500</v>
      </c>
      <c r="H45" s="388" t="s">
        <v>33</v>
      </c>
      <c r="I45" s="388">
        <v>71500</v>
      </c>
      <c r="J45" s="26">
        <f>(G45)-I45</f>
        <v>0</v>
      </c>
      <c r="K45" s="380">
        <f>'[212]Shao Shan 1'!$F$55</f>
        <v>2.25</v>
      </c>
      <c r="L45" s="380">
        <f>'[212]Shao Shan 1'!$F$55-'[212]Shao Shan 1'!$F$52</f>
        <v>1.4583333333430346</v>
      </c>
      <c r="M45" s="379">
        <f>(G45)/K45</f>
        <v>31777.777777777777</v>
      </c>
      <c r="N45" s="379">
        <f>(G45)/L45</f>
        <v>49028.571428245275</v>
      </c>
      <c r="O45" s="379">
        <v>30000</v>
      </c>
      <c r="P45" s="69">
        <f>(93500/10000)*8.7</f>
        <v>81.344999999999985</v>
      </c>
      <c r="Q45" s="69">
        <f>(81850/10000)*8.7</f>
        <v>71.209500000000006</v>
      </c>
      <c r="R45" s="395">
        <f t="shared" si="40"/>
        <v>10.135499999999979</v>
      </c>
      <c r="S45" s="383">
        <f t="shared" si="39"/>
        <v>0.16293706293706262</v>
      </c>
      <c r="T45" s="383">
        <f>R45/8.5*10000/(G45)</f>
        <v>0.16677087618264053</v>
      </c>
      <c r="U45" s="382"/>
      <c r="V45" s="389"/>
      <c r="W45" s="32"/>
      <c r="X45" s="382">
        <v>2.64</v>
      </c>
      <c r="Y45" s="33">
        <f t="shared" si="41"/>
        <v>188760</v>
      </c>
      <c r="Z45" s="33"/>
      <c r="AA45" s="33"/>
      <c r="AB45" s="391">
        <v>9249.9999999029878</v>
      </c>
      <c r="AC45" s="416" t="s">
        <v>70</v>
      </c>
      <c r="AD45" s="35"/>
    </row>
    <row r="46" spans="1:30" s="24" customFormat="1" ht="12" customHeight="1" x14ac:dyDescent="0.3">
      <c r="A46" s="682">
        <v>43383.833333333336</v>
      </c>
      <c r="B46" s="682">
        <v>43386.923611111109</v>
      </c>
      <c r="C46" s="23"/>
      <c r="D46" s="23"/>
      <c r="E46" s="417" t="s">
        <v>286</v>
      </c>
      <c r="F46" s="690" t="s">
        <v>32</v>
      </c>
      <c r="G46" s="388">
        <v>59999</v>
      </c>
      <c r="H46" s="388" t="s">
        <v>93</v>
      </c>
      <c r="I46" s="388">
        <v>60000</v>
      </c>
      <c r="J46" s="26">
        <f>(G46)-I46</f>
        <v>-1</v>
      </c>
      <c r="K46" s="380">
        <f>[212]Meister!$F$57</f>
        <v>3.0902777777737356</v>
      </c>
      <c r="L46" s="380">
        <f>[212]Meister!$F$57-[212]Meister!$F$54</f>
        <v>1.1631944444488909</v>
      </c>
      <c r="M46" s="379">
        <f>(G46)/K46</f>
        <v>19415.406741598428</v>
      </c>
      <c r="N46" s="379">
        <f>(G46)/L46</f>
        <v>51581.229850549098</v>
      </c>
      <c r="O46" s="379">
        <v>30000</v>
      </c>
      <c r="P46" s="69">
        <f>(78190/10000)*8.7</f>
        <v>68.025299999999987</v>
      </c>
      <c r="Q46" s="69">
        <f>(65130/10000)*8.7</f>
        <v>56.663099999999993</v>
      </c>
      <c r="R46" s="395">
        <f t="shared" si="40"/>
        <v>11.362199999999994</v>
      </c>
      <c r="S46" s="383">
        <f t="shared" si="39"/>
        <v>0.21767029450490832</v>
      </c>
      <c r="T46" s="383">
        <f>R46/8.5*10000/G46</f>
        <v>0.22279194849325909</v>
      </c>
      <c r="U46" s="382"/>
      <c r="V46" s="389"/>
      <c r="W46" s="32"/>
      <c r="X46" s="382">
        <v>2.64</v>
      </c>
      <c r="Y46" s="33">
        <f t="shared" si="41"/>
        <v>158397.36000000002</v>
      </c>
      <c r="Z46" s="33"/>
      <c r="AA46" s="33"/>
      <c r="AB46" s="391">
        <v>8367.7222221777574</v>
      </c>
      <c r="AC46" s="416" t="s">
        <v>70</v>
      </c>
      <c r="AD46" s="35"/>
    </row>
    <row r="47" spans="1:30" s="24" customFormat="1" ht="12" customHeight="1" x14ac:dyDescent="0.3">
      <c r="A47" s="682">
        <v>43387.142361111109</v>
      </c>
      <c r="B47" s="682">
        <v>43389.791666666664</v>
      </c>
      <c r="C47" s="23"/>
      <c r="D47" s="23"/>
      <c r="E47" s="35" t="s">
        <v>277</v>
      </c>
      <c r="F47" s="690" t="s">
        <v>32</v>
      </c>
      <c r="G47" s="388">
        <v>76650</v>
      </c>
      <c r="H47" s="388" t="s">
        <v>93</v>
      </c>
      <c r="I47" s="388">
        <v>76650</v>
      </c>
      <c r="J47" s="26">
        <f>(G47)-I47</f>
        <v>0</v>
      </c>
      <c r="K47" s="380">
        <f>'[212]Sea Empire'!$F$56</f>
        <v>2.6493055555547471</v>
      </c>
      <c r="L47" s="380">
        <f>'[212]Sea Empire'!$F$56-'[212]Sea Empire'!$F$53</f>
        <v>1.506944444423425</v>
      </c>
      <c r="M47" s="379">
        <f>(G47)/K47</f>
        <v>28932.110091751947</v>
      </c>
      <c r="N47" s="379">
        <f>(G47)/L47</f>
        <v>50864.516129741736</v>
      </c>
      <c r="O47" s="379">
        <v>30000</v>
      </c>
      <c r="P47" s="69">
        <f>(64901/10000)*8.7</f>
        <v>56.463869999999993</v>
      </c>
      <c r="Q47" s="69">
        <f>(50916/10000)*8.7</f>
        <v>44.296919999999993</v>
      </c>
      <c r="R47" s="395">
        <f t="shared" si="40"/>
        <v>12.16695</v>
      </c>
      <c r="S47" s="383">
        <f t="shared" si="39"/>
        <v>0.18245270711024136</v>
      </c>
      <c r="T47" s="383">
        <f>R47/8.5*10000/G47</f>
        <v>0.18674571198342352</v>
      </c>
      <c r="U47" s="382"/>
      <c r="V47" s="389"/>
      <c r="W47" s="32"/>
      <c r="X47" s="382">
        <v>2.64</v>
      </c>
      <c r="Y47" s="33">
        <f t="shared" si="41"/>
        <v>202356</v>
      </c>
      <c r="Z47" s="33"/>
      <c r="AA47" s="33"/>
      <c r="AB47" s="391">
        <v>10480.555555765752</v>
      </c>
      <c r="AC47" s="416" t="s">
        <v>70</v>
      </c>
      <c r="AD47" s="35"/>
    </row>
    <row r="48" spans="1:30" s="81" customFormat="1" ht="11.25" customHeight="1" x14ac:dyDescent="0.3">
      <c r="A48" s="693">
        <v>43393.552083333336</v>
      </c>
      <c r="B48" s="693">
        <v>43395.069444444445</v>
      </c>
      <c r="C48" s="70"/>
      <c r="D48" s="70"/>
      <c r="E48" s="71" t="s">
        <v>81</v>
      </c>
      <c r="F48" s="229"/>
      <c r="G48" s="407">
        <v>27841</v>
      </c>
      <c r="H48" s="407" t="s">
        <v>33</v>
      </c>
      <c r="I48" s="407">
        <v>74405</v>
      </c>
      <c r="J48" s="73">
        <f>(G48-I48)</f>
        <v>-46564</v>
      </c>
      <c r="K48" s="380">
        <f>'[212]Long Shan Hu'!$F$41</f>
        <v>1.5173611111094942</v>
      </c>
      <c r="L48" s="380">
        <f>'[212]Long Shan Hu'!$F$41-'[212]Long Shan Hu'!$F$38</f>
        <v>0.54861111110949423</v>
      </c>
      <c r="M48" s="408">
        <f>G48/K48</f>
        <v>18348.302059516118</v>
      </c>
      <c r="N48" s="408">
        <f>G48/L48</f>
        <v>50748.151898883742</v>
      </c>
      <c r="O48" s="408">
        <v>30000</v>
      </c>
      <c r="P48" s="75">
        <f>(168517/10000)*8.7</f>
        <v>146.60979</v>
      </c>
      <c r="Q48" s="75">
        <f>(162484/10000)*8.7</f>
        <v>141.36107999999999</v>
      </c>
      <c r="R48" s="409">
        <f t="shared" si="40"/>
        <v>5.2487100000000169</v>
      </c>
      <c r="S48" s="410">
        <f t="shared" si="39"/>
        <v>0.21669480262921659</v>
      </c>
      <c r="T48" s="410">
        <f>R48/8.5*10000/G48</f>
        <v>0.22179350386755112</v>
      </c>
      <c r="U48" s="411"/>
      <c r="V48" s="412"/>
      <c r="W48" s="413"/>
      <c r="X48" s="411">
        <v>2.64</v>
      </c>
      <c r="Y48" s="58">
        <f t="shared" si="41"/>
        <v>73500.240000000005</v>
      </c>
      <c r="Z48" s="58"/>
      <c r="AA48" s="58"/>
      <c r="AB48" s="418">
        <v>3794.2222222383916</v>
      </c>
      <c r="AC48" s="415" t="s">
        <v>70</v>
      </c>
      <c r="AD48" s="71"/>
    </row>
    <row r="49" spans="1:30" s="81" customFormat="1" ht="12" customHeight="1" x14ac:dyDescent="0.3">
      <c r="A49" s="693">
        <v>43395.805555555555</v>
      </c>
      <c r="B49" s="693">
        <v>43398.569444444445</v>
      </c>
      <c r="C49" s="70"/>
      <c r="D49" s="70"/>
      <c r="E49" s="71" t="s">
        <v>288</v>
      </c>
      <c r="F49" s="229"/>
      <c r="G49" s="407">
        <v>73667</v>
      </c>
      <c r="H49" s="407" t="s">
        <v>33</v>
      </c>
      <c r="I49" s="407">
        <v>73650</v>
      </c>
      <c r="J49" s="73">
        <f>(G49)-I49</f>
        <v>17</v>
      </c>
      <c r="K49" s="380">
        <f>[212]Peace!$F$59</f>
        <v>2.7638888888905058</v>
      </c>
      <c r="L49" s="380">
        <f>[212]Peace!$F$59-[212]Peace!$F$56</f>
        <v>1.4687499999915115</v>
      </c>
      <c r="M49" s="408">
        <f>(G49)/K49</f>
        <v>26653.386934657774</v>
      </c>
      <c r="N49" s="408">
        <f>(G49)/L49</f>
        <v>50156.255319438809</v>
      </c>
      <c r="O49" s="408">
        <v>30000</v>
      </c>
      <c r="P49" s="75">
        <f>(160956/10000)*8.7</f>
        <v>140.03172000000001</v>
      </c>
      <c r="Q49" s="75">
        <f>(148100/10000)*8.7</f>
        <v>128.84699999999998</v>
      </c>
      <c r="R49" s="409">
        <f t="shared" si="40"/>
        <v>11.184720000000027</v>
      </c>
      <c r="S49" s="410">
        <f t="shared" si="39"/>
        <v>0.17451504744322469</v>
      </c>
      <c r="T49" s="410">
        <f>R49/8.5*10000/G49</f>
        <v>0.17862128385365347</v>
      </c>
      <c r="U49" s="411"/>
      <c r="V49" s="412"/>
      <c r="W49" s="413"/>
      <c r="X49" s="411">
        <v>2.64</v>
      </c>
      <c r="Y49" s="58">
        <f t="shared" si="41"/>
        <v>194480.88</v>
      </c>
      <c r="Z49" s="58"/>
      <c r="AA49" s="58"/>
      <c r="AB49" s="418">
        <v>9868.1666667515492</v>
      </c>
      <c r="AC49" s="415" t="s">
        <v>70</v>
      </c>
      <c r="AD49" s="71"/>
    </row>
    <row r="50" spans="1:30" s="81" customFormat="1" ht="12" customHeight="1" x14ac:dyDescent="0.3">
      <c r="A50" s="693">
        <v>43399.729166666664</v>
      </c>
      <c r="B50" s="693">
        <v>43402.159722222219</v>
      </c>
      <c r="C50" s="70"/>
      <c r="D50" s="70"/>
      <c r="E50" s="71" t="s">
        <v>208</v>
      </c>
      <c r="F50" s="229"/>
      <c r="G50" s="407">
        <v>79381</v>
      </c>
      <c r="H50" s="407" t="s">
        <v>33</v>
      </c>
      <c r="I50" s="407">
        <v>99999</v>
      </c>
      <c r="J50" s="73">
        <f>(G50)-I50</f>
        <v>-20618</v>
      </c>
      <c r="K50" s="380">
        <f>'[212]Ocean Energy'!$F$50</f>
        <v>2.4305555555547471</v>
      </c>
      <c r="L50" s="380">
        <f>'[212]Ocean Energy'!$F$50-'[212]Ocean Energy'!$F$47</f>
        <v>1.4982638888723159</v>
      </c>
      <c r="M50" s="408">
        <f>(G50)/K50</f>
        <v>32659.611428582291</v>
      </c>
      <c r="N50" s="408">
        <f>(G50)/L50</f>
        <v>52981.988413100546</v>
      </c>
      <c r="O50" s="408">
        <v>30000</v>
      </c>
      <c r="P50" s="75">
        <f>(146479/10000)*8.7</f>
        <v>127.43672999999998</v>
      </c>
      <c r="Q50" s="75">
        <f>(133408/10000)*8.7</f>
        <v>116.06495999999999</v>
      </c>
      <c r="R50" s="409">
        <f t="shared" si="40"/>
        <v>11.371769999999998</v>
      </c>
      <c r="S50" s="410">
        <f t="shared" si="39"/>
        <v>0.16466156888928082</v>
      </c>
      <c r="T50" s="410">
        <f>R50/8.5*10000/(G50)</f>
        <v>0.16853595874549918</v>
      </c>
      <c r="U50" s="411"/>
      <c r="V50" s="412"/>
      <c r="W50" s="413"/>
      <c r="X50" s="411">
        <v>2.64</v>
      </c>
      <c r="Y50" s="58">
        <f t="shared" si="41"/>
        <v>209565.84</v>
      </c>
      <c r="Z50" s="58"/>
      <c r="AA50" s="58"/>
      <c r="AB50" s="418">
        <v>11477.694444610175</v>
      </c>
      <c r="AC50" s="415" t="s">
        <v>70</v>
      </c>
      <c r="AD50" s="71"/>
    </row>
    <row r="51" spans="1:30" s="81" customFormat="1" ht="12" customHeight="1" x14ac:dyDescent="0.3">
      <c r="A51" s="693">
        <v>43402.604166666664</v>
      </c>
      <c r="B51" s="693">
        <v>43404.791666666664</v>
      </c>
      <c r="C51" s="70"/>
      <c r="D51" s="70"/>
      <c r="E51" s="71" t="s">
        <v>205</v>
      </c>
      <c r="F51" s="229"/>
      <c r="G51" s="407">
        <v>61274</v>
      </c>
      <c r="H51" s="407" t="s">
        <v>40</v>
      </c>
      <c r="I51" s="407">
        <v>90000</v>
      </c>
      <c r="J51" s="73">
        <f>(G51)-I51</f>
        <v>-28726</v>
      </c>
      <c r="K51" s="380">
        <f>'[212]Taipower Prosperity V'!$F$55</f>
        <v>2.1875</v>
      </c>
      <c r="L51" s="380">
        <f>'[212]Taipower Prosperity V'!$F$55-'[212]Taipower Prosperity V'!$F$52</f>
        <v>1.3298611111131322</v>
      </c>
      <c r="M51" s="408">
        <f>(G51)/K51</f>
        <v>28010.971428571429</v>
      </c>
      <c r="N51" s="408">
        <f>(G51)/L51</f>
        <v>46075.488250582719</v>
      </c>
      <c r="O51" s="408">
        <v>30000</v>
      </c>
      <c r="P51" s="75">
        <f>(132794/10000)*8.7</f>
        <v>115.53077999999999</v>
      </c>
      <c r="Q51" s="75">
        <f>(122199/10000)*8.7</f>
        <v>106.31313</v>
      </c>
      <c r="R51" s="409">
        <f t="shared" si="40"/>
        <v>9.2176499999999919</v>
      </c>
      <c r="S51" s="410">
        <f t="shared" si="39"/>
        <v>0.17291183862649726</v>
      </c>
      <c r="T51" s="410">
        <f>R51/8.5*10000/(G51)</f>
        <v>0.17698035247653243</v>
      </c>
      <c r="U51" s="411"/>
      <c r="V51" s="412"/>
      <c r="W51" s="413"/>
      <c r="X51" s="411">
        <v>2.64</v>
      </c>
      <c r="Y51" s="58">
        <f t="shared" si="41"/>
        <v>161763.36000000002</v>
      </c>
      <c r="Z51" s="58"/>
      <c r="AA51" s="58"/>
      <c r="AB51" s="418">
        <v>7126.0555555353467</v>
      </c>
      <c r="AC51" s="415" t="s">
        <v>70</v>
      </c>
      <c r="AD51" s="71"/>
    </row>
    <row r="52" spans="1:30" s="81" customFormat="1" ht="12" customHeight="1" x14ac:dyDescent="0.3">
      <c r="A52" s="693">
        <v>43405.65625</v>
      </c>
      <c r="B52" s="693">
        <v>43408.722222222219</v>
      </c>
      <c r="C52" s="70"/>
      <c r="D52" s="70"/>
      <c r="E52" s="71" t="s">
        <v>64</v>
      </c>
      <c r="F52" s="229"/>
      <c r="G52" s="407">
        <v>65410</v>
      </c>
      <c r="H52" s="407" t="s">
        <v>33</v>
      </c>
      <c r="I52" s="407">
        <v>65400</v>
      </c>
      <c r="J52" s="73">
        <f>G52-I52</f>
        <v>10</v>
      </c>
      <c r="K52" s="380">
        <f>'[213]Zheng Hao'!$F$58</f>
        <v>3.0659722222189885</v>
      </c>
      <c r="L52" s="380">
        <f>'[213]Zheng Hao'!$F$58-'[213]Zheng Hao'!$F$55</f>
        <v>2.0694444444488909</v>
      </c>
      <c r="M52" s="408">
        <f>G52/K52</f>
        <v>21334.178935469841</v>
      </c>
      <c r="N52" s="408">
        <f>G52/L52</f>
        <v>31607.516778455578</v>
      </c>
      <c r="O52" s="408">
        <v>30000</v>
      </c>
      <c r="P52" s="75">
        <f>(119110/10000)*8.7</f>
        <v>103.62569999999999</v>
      </c>
      <c r="Q52" s="75">
        <f>(105574/10000)*8.7</f>
        <v>91.849379999999982</v>
      </c>
      <c r="R52" s="409">
        <f t="shared" si="40"/>
        <v>11.776320000000013</v>
      </c>
      <c r="S52" s="410">
        <f t="shared" si="39"/>
        <v>0.20694083473475025</v>
      </c>
      <c r="T52" s="410">
        <f>R52/8.5*10000/G52</f>
        <v>0.21181003084615613</v>
      </c>
      <c r="U52" s="411"/>
      <c r="V52" s="412"/>
      <c r="W52" s="413"/>
      <c r="X52" s="411">
        <v>2.64</v>
      </c>
      <c r="Y52" s="58">
        <f t="shared" ref="Y52:Y57" si="42">G52*X52</f>
        <v>172682.4</v>
      </c>
      <c r="Z52" s="58"/>
      <c r="AA52" s="58"/>
      <c r="AB52" s="418">
        <v>1108.888888844426</v>
      </c>
      <c r="AC52" s="415" t="s">
        <v>70</v>
      </c>
      <c r="AD52" s="71"/>
    </row>
    <row r="53" spans="1:30" s="81" customFormat="1" ht="12" customHeight="1" x14ac:dyDescent="0.3">
      <c r="A53" s="693">
        <v>43409.555555555555</v>
      </c>
      <c r="B53" s="693">
        <v>43412.6875</v>
      </c>
      <c r="C53" s="70"/>
      <c r="D53" s="70"/>
      <c r="E53" s="71" t="s">
        <v>280</v>
      </c>
      <c r="F53" s="229"/>
      <c r="G53" s="407">
        <v>64999</v>
      </c>
      <c r="H53" s="407" t="s">
        <v>33</v>
      </c>
      <c r="I53" s="407">
        <v>64999</v>
      </c>
      <c r="J53" s="73">
        <f>G53-I53</f>
        <v>0</v>
      </c>
      <c r="K53" s="380">
        <f>'[213]Navios Felicity'!$F$56</f>
        <v>3.1319444444452529</v>
      </c>
      <c r="L53" s="380">
        <f>'[213]Navios Felicity'!$F$56-'[213]Navios Felicity'!$F$53</f>
        <v>2.1927083333503106</v>
      </c>
      <c r="M53" s="408">
        <f>G53/K53</f>
        <v>20753.5609756044</v>
      </c>
      <c r="N53" s="408">
        <f>G53/L53</f>
        <v>29643.249405946255</v>
      </c>
      <c r="O53" s="408">
        <v>30000</v>
      </c>
      <c r="P53" s="75">
        <f>(104044/10000)*8.7</f>
        <v>90.518280000000004</v>
      </c>
      <c r="Q53" s="75">
        <f>(89950/10000)*8.7</f>
        <v>78.256499999999988</v>
      </c>
      <c r="R53" s="409">
        <f t="shared" si="40"/>
        <v>12.261780000000016</v>
      </c>
      <c r="S53" s="410">
        <f t="shared" si="39"/>
        <v>0.21683410514007939</v>
      </c>
      <c r="T53" s="410">
        <f>R53/8.5*10000/G53</f>
        <v>0.22193608408455182</v>
      </c>
      <c r="U53" s="411"/>
      <c r="V53" s="412"/>
      <c r="W53" s="413"/>
      <c r="X53" s="411">
        <v>2.64</v>
      </c>
      <c r="Y53" s="58">
        <f t="shared" si="42"/>
        <v>171597.36000000002</v>
      </c>
      <c r="Z53" s="58"/>
      <c r="AA53" s="58"/>
      <c r="AB53" s="418">
        <v>-521.50000033954313</v>
      </c>
      <c r="AC53" s="415" t="s">
        <v>70</v>
      </c>
      <c r="AD53" s="71"/>
    </row>
    <row r="54" spans="1:30" s="81" customFormat="1" ht="12" customHeight="1" x14ac:dyDescent="0.3">
      <c r="A54" s="693">
        <v>43413.333333333336</v>
      </c>
      <c r="B54" s="693">
        <v>43416.506944444445</v>
      </c>
      <c r="C54" s="70"/>
      <c r="D54" s="70"/>
      <c r="E54" s="71" t="s">
        <v>103</v>
      </c>
      <c r="F54" s="229"/>
      <c r="G54" s="407">
        <v>67078</v>
      </c>
      <c r="H54" s="407" t="s">
        <v>36</v>
      </c>
      <c r="I54" s="407">
        <v>67000</v>
      </c>
      <c r="J54" s="73">
        <f>G54-I54</f>
        <v>78</v>
      </c>
      <c r="K54" s="380">
        <f>'[213]Dewi Parwati'!$F$56</f>
        <v>3.1736111111094942</v>
      </c>
      <c r="L54" s="380">
        <f>'[214]Dewi Parwati'!$F$56-'[214]Dewi Parwati'!$F$53</f>
        <v>1.8576388888614019</v>
      </c>
      <c r="M54" s="408">
        <f>G54/K54</f>
        <v>21136.175054715364</v>
      </c>
      <c r="N54" s="408">
        <f>G54/L54</f>
        <v>36109.278505207199</v>
      </c>
      <c r="O54" s="408">
        <v>30000</v>
      </c>
      <c r="P54" s="75">
        <f>(89237/10000)*8.7</f>
        <v>77.636189999999999</v>
      </c>
      <c r="Q54" s="75">
        <f>(74170/10000)*8.7</f>
        <v>64.527899999999988</v>
      </c>
      <c r="R54" s="409">
        <f t="shared" si="40"/>
        <v>13.108290000000011</v>
      </c>
      <c r="S54" s="410">
        <f t="shared" si="39"/>
        <v>0.22461910015206199</v>
      </c>
      <c r="T54" s="410">
        <f>R54/8.5*10000/G54</f>
        <v>0.22990425544975754</v>
      </c>
      <c r="U54" s="411"/>
      <c r="V54" s="412"/>
      <c r="W54" s="413"/>
      <c r="X54" s="411">
        <v>2.64</v>
      </c>
      <c r="Y54" s="58">
        <f t="shared" si="42"/>
        <v>177085.92</v>
      </c>
      <c r="Z54" s="58"/>
      <c r="AA54" s="58"/>
      <c r="AB54" s="418">
        <v>3782.9444447193159</v>
      </c>
      <c r="AC54" s="415" t="s">
        <v>70</v>
      </c>
      <c r="AD54" s="71"/>
    </row>
    <row r="55" spans="1:30" s="81" customFormat="1" ht="12" customHeight="1" x14ac:dyDescent="0.3">
      <c r="A55" s="693">
        <v>43416.722222222219</v>
      </c>
      <c r="B55" s="693">
        <v>43420.590277777781</v>
      </c>
      <c r="C55" s="70"/>
      <c r="D55" s="70"/>
      <c r="E55" s="419" t="s">
        <v>107</v>
      </c>
      <c r="F55" s="229"/>
      <c r="G55" s="407">
        <v>71376</v>
      </c>
      <c r="H55" s="407" t="s">
        <v>93</v>
      </c>
      <c r="I55" s="407">
        <v>71160</v>
      </c>
      <c r="J55" s="73">
        <f>(G55)-I55</f>
        <v>216</v>
      </c>
      <c r="K55" s="380">
        <f>'[213]New Herald'!$F$59</f>
        <v>3.8680555555620231</v>
      </c>
      <c r="L55" s="380">
        <f>'[213]New Herald'!$F$59-'[213]New Herald'!$F$56</f>
        <v>2.9513888889086957</v>
      </c>
      <c r="M55" s="408">
        <f>(G55)/K55</f>
        <v>18452.682226180994</v>
      </c>
      <c r="N55" s="408">
        <f>(G55)/L55</f>
        <v>24183.86823513182</v>
      </c>
      <c r="O55" s="408">
        <v>30000</v>
      </c>
      <c r="P55" s="75">
        <f>(72982/10000)*8.7</f>
        <v>63.494339999999994</v>
      </c>
      <c r="Q55" s="75">
        <f>(55372/10000)*8.7</f>
        <v>48.173639999999999</v>
      </c>
      <c r="R55" s="409">
        <f t="shared" si="40"/>
        <v>15.320699999999995</v>
      </c>
      <c r="S55" s="410">
        <f t="shared" si="39"/>
        <v>0.2467215870880968</v>
      </c>
      <c r="T55" s="410">
        <f>R55/8.5*10000/(G55)</f>
        <v>0.25252680090193436</v>
      </c>
      <c r="U55" s="411"/>
      <c r="V55" s="412"/>
      <c r="W55" s="413"/>
      <c r="X55" s="411">
        <v>2.64</v>
      </c>
      <c r="Y55" s="58">
        <f t="shared" si="42"/>
        <v>188432.64000000001</v>
      </c>
      <c r="Z55" s="58"/>
      <c r="AA55" s="58"/>
      <c r="AB55" s="418">
        <v>-11443.777778173913</v>
      </c>
      <c r="AC55" s="415" t="s">
        <v>70</v>
      </c>
      <c r="AD55" s="71"/>
    </row>
    <row r="56" spans="1:30" s="81" customFormat="1" ht="12" customHeight="1" x14ac:dyDescent="0.3">
      <c r="A56" s="693">
        <v>43421.590277777781</v>
      </c>
      <c r="B56" s="693">
        <v>43426.076388888891</v>
      </c>
      <c r="C56" s="70"/>
      <c r="D56" s="70"/>
      <c r="E56" s="71" t="s">
        <v>290</v>
      </c>
      <c r="F56" s="229"/>
      <c r="G56" s="407">
        <v>79120</v>
      </c>
      <c r="H56" s="407"/>
      <c r="I56" s="407">
        <v>79118</v>
      </c>
      <c r="J56" s="73">
        <f>G56-I56</f>
        <v>2</v>
      </c>
      <c r="K56" s="380">
        <f>'[213]Sea Gemini'!$F$61</f>
        <v>4.4861111111094942</v>
      </c>
      <c r="L56" s="380">
        <f>'[213]Sea Gemini'!$F$61-'[213]Sea Gemini'!$F$58</f>
        <v>2.9513888888832298</v>
      </c>
      <c r="M56" s="408">
        <f>G56/K56</f>
        <v>17636.656346755582</v>
      </c>
      <c r="N56" s="408">
        <f>G56/L56</f>
        <v>26807.717647110225</v>
      </c>
      <c r="O56" s="408">
        <v>30000</v>
      </c>
      <c r="P56" s="75">
        <f>(53693/10000)*8.7</f>
        <v>46.712909999999994</v>
      </c>
      <c r="Q56" s="75">
        <f>(34942/10000)*8.7</f>
        <v>30.399539999999998</v>
      </c>
      <c r="R56" s="409">
        <f t="shared" si="40"/>
        <v>16.313369999999995</v>
      </c>
      <c r="S56" s="410">
        <f t="shared" si="39"/>
        <v>0.23699443882709803</v>
      </c>
      <c r="T56" s="410">
        <f>R56/8.5*10000/G56</f>
        <v>0.2425707785642062</v>
      </c>
      <c r="U56" s="411"/>
      <c r="V56" s="412"/>
      <c r="W56" s="413"/>
      <c r="X56" s="411">
        <v>2.64</v>
      </c>
      <c r="Y56" s="58">
        <f t="shared" si="42"/>
        <v>208876.80000000002</v>
      </c>
      <c r="Z56" s="58"/>
      <c r="AA56" s="58"/>
      <c r="AB56" s="418">
        <v>-6281.1111109979302</v>
      </c>
      <c r="AC56" s="415" t="s">
        <v>70</v>
      </c>
      <c r="AD56" s="71"/>
    </row>
    <row r="57" spans="1:30" s="81" customFormat="1" ht="12" customHeight="1" x14ac:dyDescent="0.3">
      <c r="A57" s="693">
        <v>43428.173611111109</v>
      </c>
      <c r="B57" s="693">
        <v>43430.6875</v>
      </c>
      <c r="C57" s="420"/>
      <c r="D57" s="420"/>
      <c r="E57" s="193" t="s">
        <v>291</v>
      </c>
      <c r="F57" s="193"/>
      <c r="G57" s="405">
        <v>76985</v>
      </c>
      <c r="H57" s="405"/>
      <c r="I57" s="405">
        <v>76980</v>
      </c>
      <c r="J57" s="73">
        <f>(G57)-I57</f>
        <v>5</v>
      </c>
      <c r="K57" s="394">
        <f>[213]Seneca!$F$56</f>
        <v>2.5138888888905058</v>
      </c>
      <c r="L57" s="394">
        <f>[213]Seneca!$F$56-[213]Seneca!$F$53</f>
        <v>1.6684027777955635</v>
      </c>
      <c r="M57" s="408">
        <f>(G57)/K57</f>
        <v>30623.867403295222</v>
      </c>
      <c r="N57" s="408">
        <f>(G57)/L57</f>
        <v>46142.934442796344</v>
      </c>
      <c r="O57" s="421">
        <v>30000</v>
      </c>
      <c r="P57" s="75">
        <f>(155973/10000)*8.7</f>
        <v>135.69650999999999</v>
      </c>
      <c r="Q57" s="75">
        <f>(142813/10000)*8.7</f>
        <v>124.24730999999998</v>
      </c>
      <c r="R57" s="409">
        <f t="shared" si="40"/>
        <v>11.449200000000005</v>
      </c>
      <c r="S57" s="410">
        <f t="shared" si="39"/>
        <v>0.17094239137494327</v>
      </c>
      <c r="T57" s="410">
        <f t="shared" ref="T57:T88" si="43">R57/8.5*10000/(G57)</f>
        <v>0.17496456528964779</v>
      </c>
      <c r="U57" s="422"/>
      <c r="V57" s="412"/>
      <c r="W57" s="413"/>
      <c r="X57" s="411">
        <v>6.5</v>
      </c>
      <c r="Y57" s="58">
        <f t="shared" si="42"/>
        <v>500402.5</v>
      </c>
      <c r="Z57" s="58"/>
      <c r="AA57" s="58"/>
      <c r="AB57" s="418">
        <v>8977.6388887110334</v>
      </c>
      <c r="AC57" s="415" t="s">
        <v>70</v>
      </c>
      <c r="AD57" s="71"/>
    </row>
    <row r="58" spans="1:30" s="81" customFormat="1" ht="12" customHeight="1" x14ac:dyDescent="0.3">
      <c r="A58" s="693">
        <v>43432.583333333336</v>
      </c>
      <c r="B58" s="693">
        <v>43434.208333333336</v>
      </c>
      <c r="C58" s="420"/>
      <c r="D58" s="420"/>
      <c r="E58" s="193" t="s">
        <v>193</v>
      </c>
      <c r="F58" s="193"/>
      <c r="G58" s="405">
        <v>45934</v>
      </c>
      <c r="H58" s="405"/>
      <c r="I58" s="405">
        <v>79088</v>
      </c>
      <c r="J58" s="73">
        <f>(G58)-I58</f>
        <v>-33154</v>
      </c>
      <c r="K58" s="394">
        <f>'[215]Daebo Gladstone'!$F$38</f>
        <v>1.625</v>
      </c>
      <c r="L58" s="394">
        <f>'[215]Daebo Gladstone'!$F$38-'[215]Daebo Gladstone'!$F$35</f>
        <v>0.95138888889050577</v>
      </c>
      <c r="M58" s="408">
        <f>(G58)/K58</f>
        <v>28267.076923076922</v>
      </c>
      <c r="N58" s="408">
        <f>(G58)/L58</f>
        <v>48280.992700647876</v>
      </c>
      <c r="O58" s="421">
        <v>30000</v>
      </c>
      <c r="P58" s="75">
        <f>(139166/10000)*8.7</f>
        <v>121.07442</v>
      </c>
      <c r="Q58" s="75">
        <f>(131277/10000)*8.7</f>
        <v>114.21099</v>
      </c>
      <c r="R58" s="409">
        <f t="shared" si="40"/>
        <v>6.8634300000000081</v>
      </c>
      <c r="S58" s="410">
        <f t="shared" si="39"/>
        <v>0.17174641877476401</v>
      </c>
      <c r="T58" s="410">
        <f t="shared" si="43"/>
        <v>0.17578751098122902</v>
      </c>
      <c r="U58" s="422"/>
      <c r="V58" s="412"/>
      <c r="W58" s="413"/>
      <c r="X58" s="411">
        <v>2.64</v>
      </c>
      <c r="Y58" s="58">
        <f>G58*X58</f>
        <v>121265.76000000001</v>
      </c>
      <c r="Z58" s="58"/>
      <c r="AA58" s="58"/>
      <c r="AB58" s="423">
        <v>5797.4444444282744</v>
      </c>
      <c r="AC58" s="415" t="s">
        <v>70</v>
      </c>
      <c r="AD58" s="71"/>
    </row>
    <row r="59" spans="1:30" s="81" customFormat="1" ht="12" customHeight="1" x14ac:dyDescent="0.3">
      <c r="A59" s="693">
        <v>43436.618055555555</v>
      </c>
      <c r="B59" s="693">
        <v>43438.291666666664</v>
      </c>
      <c r="C59" s="70"/>
      <c r="D59" s="70"/>
      <c r="E59" s="71" t="s">
        <v>192</v>
      </c>
      <c r="F59" s="229"/>
      <c r="G59" s="407">
        <v>55781</v>
      </c>
      <c r="H59" s="407"/>
      <c r="I59" s="407">
        <v>88000</v>
      </c>
      <c r="J59" s="73">
        <f>G59-I59</f>
        <v>-32219</v>
      </c>
      <c r="K59" s="380">
        <f>'[216]Ocean Sapphire'!$F$49</f>
        <v>1.6736111111094942</v>
      </c>
      <c r="L59" s="380">
        <f>'[216]Ocean Sapphire'!$F$49-'[216]Ocean Sapphire'!$F$46</f>
        <v>1.1093749999890861</v>
      </c>
      <c r="M59" s="408">
        <f>(G59)/K59</f>
        <v>33329.726141111038</v>
      </c>
      <c r="N59" s="408">
        <f>(G59)/L59</f>
        <v>50281.464789227059</v>
      </c>
      <c r="O59" s="408">
        <v>30000</v>
      </c>
      <c r="P59" s="75">
        <f>(127124/10000)*8.7</f>
        <v>110.59787999999999</v>
      </c>
      <c r="Q59" s="75">
        <f>(117999/10000)*8.7</f>
        <v>102.65912999999999</v>
      </c>
      <c r="R59" s="409">
        <f t="shared" si="40"/>
        <v>7.9387499999999989</v>
      </c>
      <c r="S59" s="410">
        <f t="shared" si="39"/>
        <v>0.16358616733296283</v>
      </c>
      <c r="T59" s="410">
        <f t="shared" si="43"/>
        <v>0.16743525362315018</v>
      </c>
      <c r="U59" s="411"/>
      <c r="V59" s="412"/>
      <c r="W59" s="413"/>
      <c r="X59" s="411">
        <v>2.64</v>
      </c>
      <c r="Y59" s="58">
        <f t="shared" ref="Y59:Y63" si="44">G59*X59</f>
        <v>147261.84</v>
      </c>
      <c r="Z59" s="58"/>
      <c r="AA59" s="58"/>
      <c r="AB59" s="418">
        <v>6612.5833334424724</v>
      </c>
      <c r="AC59" s="425"/>
      <c r="AD59" s="71"/>
    </row>
    <row r="60" spans="1:30" s="81" customFormat="1" ht="12" customHeight="1" x14ac:dyDescent="0.3">
      <c r="A60" s="693">
        <v>43439.576388888891</v>
      </c>
      <c r="B60" s="693">
        <v>43442.666666666664</v>
      </c>
      <c r="C60" s="70"/>
      <c r="D60" s="70"/>
      <c r="E60" s="71" t="s">
        <v>103</v>
      </c>
      <c r="F60" s="229"/>
      <c r="G60" s="407">
        <v>67007</v>
      </c>
      <c r="H60" s="407" t="s">
        <v>36</v>
      </c>
      <c r="I60" s="407">
        <v>67000</v>
      </c>
      <c r="J60" s="73">
        <f t="shared" ref="J60:J67" si="45">(G60)-I60</f>
        <v>7</v>
      </c>
      <c r="K60" s="380">
        <f>'[216]Dewi Parwati'!$F$70</f>
        <v>3.0902777777737356</v>
      </c>
      <c r="L60" s="380">
        <f>'[216]Dewi Parwati'!$F$70-'[216]Dewi Parwati'!$F$67</f>
        <v>1.5034722222141379</v>
      </c>
      <c r="M60" s="408">
        <f>G60/K60</f>
        <v>21683.164044972182</v>
      </c>
      <c r="N60" s="408">
        <f>G60/L60</f>
        <v>44568.166281994847</v>
      </c>
      <c r="O60" s="408">
        <v>30000</v>
      </c>
      <c r="P60" s="75">
        <f>(116094/10000)*8.7</f>
        <v>101.00178</v>
      </c>
      <c r="Q60" s="75">
        <f>(101927/10000)*8.7</f>
        <v>88.676490000000001</v>
      </c>
      <c r="R60" s="409">
        <f t="shared" si="40"/>
        <v>12.325289999999995</v>
      </c>
      <c r="S60" s="410">
        <f t="shared" si="39"/>
        <v>0.21142567194472214</v>
      </c>
      <c r="T60" s="410">
        <f t="shared" si="43"/>
        <v>0.2164003936375391</v>
      </c>
      <c r="U60" s="411"/>
      <c r="V60" s="412"/>
      <c r="W60" s="413"/>
      <c r="X60" s="411">
        <v>2.64</v>
      </c>
      <c r="Y60" s="58">
        <f t="shared" si="44"/>
        <v>176898.48</v>
      </c>
      <c r="Z60" s="58"/>
      <c r="AA60" s="58"/>
      <c r="AB60" s="418">
        <v>7300.9444445252857</v>
      </c>
      <c r="AC60" s="425"/>
      <c r="AD60" s="71"/>
    </row>
    <row r="61" spans="1:30" s="81" customFormat="1" ht="12" customHeight="1" x14ac:dyDescent="0.3">
      <c r="A61" s="693">
        <v>43445.638888888891</v>
      </c>
      <c r="B61" s="693">
        <v>43447.934027777781</v>
      </c>
      <c r="C61" s="70"/>
      <c r="D61" s="70"/>
      <c r="E61" s="71" t="s">
        <v>292</v>
      </c>
      <c r="F61" s="229"/>
      <c r="G61" s="407">
        <v>72975</v>
      </c>
      <c r="H61" s="407" t="s">
        <v>199</v>
      </c>
      <c r="I61" s="407">
        <v>72975</v>
      </c>
      <c r="J61" s="73">
        <f t="shared" si="45"/>
        <v>0</v>
      </c>
      <c r="K61" s="380">
        <f>'[216]Ecoan G.O'!$F$58</f>
        <v>2.2951388888905058</v>
      </c>
      <c r="L61" s="380">
        <f>'[216]Ecoan G.O'!$F$58-'[216]Ecoan G.O'!$F$55</f>
        <v>1.6406250000133391</v>
      </c>
      <c r="M61" s="408">
        <f>G61/K61</f>
        <v>31795.461422065346</v>
      </c>
      <c r="N61" s="408">
        <f>G61/L61</f>
        <v>44479.999999638356</v>
      </c>
      <c r="O61" s="408">
        <v>30000</v>
      </c>
      <c r="P61" s="75">
        <f>(97000/10000)*8.7</f>
        <v>84.389999999999986</v>
      </c>
      <c r="Q61" s="75">
        <f>(84835/10000)*8.7</f>
        <v>73.806449999999984</v>
      </c>
      <c r="R61" s="409">
        <f t="shared" si="40"/>
        <v>10.583550000000002</v>
      </c>
      <c r="S61" s="410">
        <f t="shared" si="39"/>
        <v>0.16670092497430633</v>
      </c>
      <c r="T61" s="410">
        <f t="shared" si="43"/>
        <v>0.17062329967958412</v>
      </c>
      <c r="U61" s="411"/>
      <c r="V61" s="412"/>
      <c r="W61" s="413"/>
      <c r="X61" s="411">
        <v>2.64</v>
      </c>
      <c r="Y61" s="58">
        <f t="shared" si="44"/>
        <v>192654</v>
      </c>
      <c r="Z61" s="58"/>
      <c r="AA61" s="58"/>
      <c r="AB61" s="418">
        <v>7918.7499998666099</v>
      </c>
      <c r="AC61" s="425"/>
      <c r="AD61" s="71"/>
    </row>
    <row r="62" spans="1:30" s="81" customFormat="1" ht="12" customHeight="1" x14ac:dyDescent="0.3">
      <c r="A62" s="693">
        <v>43449.638888888891</v>
      </c>
      <c r="B62" s="693">
        <v>43450.138888888891</v>
      </c>
      <c r="C62" s="70"/>
      <c r="D62" s="70"/>
      <c r="E62" s="71" t="s">
        <v>190</v>
      </c>
      <c r="F62" s="229"/>
      <c r="G62" s="407">
        <v>18564</v>
      </c>
      <c r="H62" s="407" t="s">
        <v>33</v>
      </c>
      <c r="I62" s="407">
        <v>70201</v>
      </c>
      <c r="J62" s="73">
        <f t="shared" si="45"/>
        <v>-51637</v>
      </c>
      <c r="K62" s="380">
        <f>'[216]Wei Qin'!$F$29</f>
        <v>0.5</v>
      </c>
      <c r="L62" s="380">
        <f>'[216]Wei Qin'!$F$29-'[216]Wei Qin'!$F$26</f>
        <v>0.33333333333212067</v>
      </c>
      <c r="M62" s="408">
        <f>G62/K62</f>
        <v>37128</v>
      </c>
      <c r="N62" s="408">
        <f>G62/L62</f>
        <v>55692.000000202606</v>
      </c>
      <c r="O62" s="408">
        <v>30000</v>
      </c>
      <c r="P62" s="75">
        <f>(206312/10000)*8.7</f>
        <v>179.49143999999998</v>
      </c>
      <c r="Q62" s="75">
        <f>(203494/10000)*8.7</f>
        <v>177.03977999999998</v>
      </c>
      <c r="R62" s="409">
        <f t="shared" si="40"/>
        <v>2.4516600000000039</v>
      </c>
      <c r="S62" s="410">
        <f t="shared" si="39"/>
        <v>0.15179918121094618</v>
      </c>
      <c r="T62" s="410">
        <f t="shared" si="43"/>
        <v>0.15537092665120372</v>
      </c>
      <c r="U62" s="411"/>
      <c r="V62" s="412"/>
      <c r="W62" s="413"/>
      <c r="X62" s="411">
        <v>2.64</v>
      </c>
      <c r="Y62" s="58">
        <f t="shared" si="44"/>
        <v>49008.959999999999</v>
      </c>
      <c r="Z62" s="58"/>
      <c r="AA62" s="58"/>
      <c r="AB62" s="418">
        <v>2854.6666666787933</v>
      </c>
      <c r="AC62" s="425"/>
      <c r="AD62" s="71"/>
    </row>
    <row r="63" spans="1:30" s="24" customFormat="1" ht="12" customHeight="1" x14ac:dyDescent="0.3">
      <c r="A63" s="682">
        <v>43450.847222222219</v>
      </c>
      <c r="B63" s="682">
        <v>43453.152777777781</v>
      </c>
      <c r="C63" s="23"/>
      <c r="D63" s="23"/>
      <c r="E63" s="35" t="s">
        <v>293</v>
      </c>
      <c r="F63" s="36"/>
      <c r="G63" s="388">
        <v>74630</v>
      </c>
      <c r="H63" s="388" t="s">
        <v>49</v>
      </c>
      <c r="I63" s="388">
        <v>74630</v>
      </c>
      <c r="J63" s="26">
        <f t="shared" si="45"/>
        <v>0</v>
      </c>
      <c r="K63" s="380">
        <f>'[216]Stella Ellena'!$F$53</f>
        <v>2.3055555555620231</v>
      </c>
      <c r="L63" s="380">
        <f>'[216]Stella Ellena'!$F$53-'[216]Stella Ellena'!$F$50</f>
        <v>1.4826388889086957</v>
      </c>
      <c r="M63" s="379">
        <f>(G63)/K63</f>
        <v>32369.638554126064</v>
      </c>
      <c r="N63" s="379">
        <f>(G63)/L63</f>
        <v>50335.925057875567</v>
      </c>
      <c r="O63" s="379">
        <v>30000</v>
      </c>
      <c r="P63" s="69">
        <f>(202309/10000)*8.7</f>
        <v>176.00882999999996</v>
      </c>
      <c r="Q63" s="69">
        <f>(190142/10000)*8.7</f>
        <v>165.42353999999997</v>
      </c>
      <c r="R63" s="395">
        <f t="shared" si="40"/>
        <v>10.585289999999986</v>
      </c>
      <c r="S63" s="383">
        <f t="shared" si="39"/>
        <v>0.16303095269998641</v>
      </c>
      <c r="T63" s="383">
        <f t="shared" si="43"/>
        <v>0.16686697511645665</v>
      </c>
      <c r="U63" s="382"/>
      <c r="V63" s="389"/>
      <c r="W63" s="32"/>
      <c r="X63" s="382">
        <v>2.64</v>
      </c>
      <c r="Y63" s="33">
        <f t="shared" si="44"/>
        <v>197023.2</v>
      </c>
      <c r="Z63" s="33"/>
      <c r="AA63" s="33"/>
      <c r="AB63" s="391">
        <v>10050.277777579709</v>
      </c>
      <c r="AC63" s="386"/>
      <c r="AD63" s="35"/>
    </row>
    <row r="64" spans="1:30" s="24" customFormat="1" ht="12" customHeight="1" x14ac:dyDescent="0.3">
      <c r="A64" s="682">
        <v>43455.069444444445</v>
      </c>
      <c r="B64" s="682">
        <v>43457.534722222219</v>
      </c>
      <c r="C64" s="23"/>
      <c r="D64" s="23"/>
      <c r="E64" s="35" t="s">
        <v>294</v>
      </c>
      <c r="F64" s="36"/>
      <c r="G64" s="388">
        <v>67004</v>
      </c>
      <c r="H64" s="388" t="s">
        <v>36</v>
      </c>
      <c r="I64" s="388">
        <v>67000</v>
      </c>
      <c r="J64" s="26">
        <f t="shared" si="45"/>
        <v>4</v>
      </c>
      <c r="K64" s="380">
        <f>'[216]Kartini Baruna'!$F$64</f>
        <v>2.4652777777737356</v>
      </c>
      <c r="L64" s="380">
        <f>'[216]Kartini Baruna'!$F$64-'[216]Kartini Baruna'!$F$61</f>
        <v>1.5520833333381838</v>
      </c>
      <c r="M64" s="379">
        <f>G64/K64</f>
        <v>27179.087323988228</v>
      </c>
      <c r="N64" s="379">
        <f>G64/L64</f>
        <v>43170.362415972471</v>
      </c>
      <c r="O64" s="379">
        <v>30000</v>
      </c>
      <c r="P64" s="69">
        <f>(187150/10000)*8.7</f>
        <v>162.82049999999998</v>
      </c>
      <c r="Q64" s="69">
        <f>(174194/10000)*8.7</f>
        <v>151.54877999999999</v>
      </c>
      <c r="R64" s="395">
        <f t="shared" si="40"/>
        <v>11.271719999999988</v>
      </c>
      <c r="S64" s="383">
        <f t="shared" si="39"/>
        <v>0.19336159035281456</v>
      </c>
      <c r="T64" s="383">
        <f t="shared" si="43"/>
        <v>0.19791127483170429</v>
      </c>
      <c r="U64" s="382"/>
      <c r="V64" s="389"/>
      <c r="W64" s="32"/>
      <c r="X64" s="382">
        <v>2.64</v>
      </c>
      <c r="Y64" s="33">
        <f>G64*X64</f>
        <v>176890.56</v>
      </c>
      <c r="Z64" s="33"/>
      <c r="AA64" s="33"/>
      <c r="AB64" s="391">
        <v>6813.8333332848288</v>
      </c>
      <c r="AC64" s="386"/>
      <c r="AD64" s="35"/>
    </row>
    <row r="65" spans="1:30" s="81" customFormat="1" ht="12" customHeight="1" x14ac:dyDescent="0.3">
      <c r="A65" s="693">
        <v>43459.822916666664</v>
      </c>
      <c r="B65" s="693">
        <v>43463.416666666664</v>
      </c>
      <c r="C65" s="70"/>
      <c r="D65" s="70"/>
      <c r="E65" s="71" t="s">
        <v>295</v>
      </c>
      <c r="F65" s="229"/>
      <c r="G65" s="407">
        <v>79120</v>
      </c>
      <c r="H65" s="407" t="s">
        <v>49</v>
      </c>
      <c r="I65" s="407">
        <v>77000</v>
      </c>
      <c r="J65" s="73">
        <f t="shared" si="45"/>
        <v>2120</v>
      </c>
      <c r="K65" s="380">
        <f>'[216]Yun Ton'!$F$58</f>
        <v>3.59375</v>
      </c>
      <c r="L65" s="380">
        <f>'[216]Yun Ton'!$F$58-'[216]Yun Ton'!$F$55</f>
        <v>1.6788194444343389</v>
      </c>
      <c r="M65" s="408">
        <f>(G65)/K65</f>
        <v>22016</v>
      </c>
      <c r="N65" s="408">
        <f>(G65)/L65</f>
        <v>47128.355739683895</v>
      </c>
      <c r="O65" s="408">
        <v>30000</v>
      </c>
      <c r="P65" s="75">
        <f>(170647/10000)*8.7</f>
        <v>148.46288999999999</v>
      </c>
      <c r="Q65" s="75">
        <f>(154661/10000)*8.7</f>
        <v>134.55507</v>
      </c>
      <c r="R65" s="409">
        <f t="shared" si="40"/>
        <v>13.907819999999987</v>
      </c>
      <c r="S65" s="410">
        <f t="shared" si="39"/>
        <v>0.20204752275025262</v>
      </c>
      <c r="T65" s="410">
        <f t="shared" si="43"/>
        <v>0.20680158210908206</v>
      </c>
      <c r="U65" s="411"/>
      <c r="V65" s="412"/>
      <c r="W65" s="413"/>
      <c r="X65" s="411">
        <v>2.64</v>
      </c>
      <c r="Y65" s="58">
        <f>G65*X65</f>
        <v>208876.80000000002</v>
      </c>
      <c r="Z65" s="58"/>
      <c r="AA65" s="58"/>
      <c r="AB65" s="418">
        <v>9585.1388889899445</v>
      </c>
      <c r="AC65" s="425"/>
      <c r="AD65" s="71"/>
    </row>
    <row r="66" spans="1:30" s="81" customFormat="1" ht="12" customHeight="1" x14ac:dyDescent="0.3">
      <c r="A66" s="693">
        <v>43463.694444444445</v>
      </c>
      <c r="B66" s="693">
        <v>43465.989583333336</v>
      </c>
      <c r="C66" s="70"/>
      <c r="D66" s="70"/>
      <c r="E66" s="71" t="s">
        <v>296</v>
      </c>
      <c r="F66" s="229"/>
      <c r="G66" s="407">
        <v>75260</v>
      </c>
      <c r="H66" s="407" t="s">
        <v>33</v>
      </c>
      <c r="I66" s="407">
        <v>75260</v>
      </c>
      <c r="J66" s="73">
        <f t="shared" si="45"/>
        <v>0</v>
      </c>
      <c r="K66" s="380">
        <f>'[216]HC Sunshine'!$F$47</f>
        <v>2.2951388888905058</v>
      </c>
      <c r="L66" s="380">
        <f>'[216]HC Sunshine'!$F$47-'[216]HC Sunshine'!$F$44</f>
        <v>1.4930555555438332</v>
      </c>
      <c r="M66" s="408">
        <f>(G66)/K66</f>
        <v>32791.04387289672</v>
      </c>
      <c r="N66" s="408">
        <f>(G66)/L66</f>
        <v>50406.697674814364</v>
      </c>
      <c r="O66" s="408">
        <v>30000</v>
      </c>
      <c r="P66" s="75">
        <f>(154255/10000)*8.7</f>
        <v>134.20184999999998</v>
      </c>
      <c r="Q66" s="75">
        <f>(141680/10000)*8.7</f>
        <v>123.26159999999999</v>
      </c>
      <c r="R66" s="409">
        <f t="shared" si="40"/>
        <v>10.940249999999992</v>
      </c>
      <c r="S66" s="410">
        <f t="shared" si="39"/>
        <v>0.16708743024182821</v>
      </c>
      <c r="T66" s="410">
        <f t="shared" si="43"/>
        <v>0.17101889918869473</v>
      </c>
      <c r="U66" s="411"/>
      <c r="V66" s="412"/>
      <c r="W66" s="413"/>
      <c r="X66" s="411">
        <v>2.64</v>
      </c>
      <c r="Y66" s="58">
        <f>G66*X66</f>
        <v>198686.40000000002</v>
      </c>
      <c r="Z66" s="58"/>
      <c r="AA66" s="58"/>
      <c r="AB66" s="418">
        <v>10156.111111228334</v>
      </c>
      <c r="AC66" s="425"/>
      <c r="AD66" s="71"/>
    </row>
    <row r="67" spans="1:30" x14ac:dyDescent="0.3">
      <c r="A67" s="682">
        <v>43467.625</v>
      </c>
      <c r="B67" s="682">
        <v>43469.979166666664</v>
      </c>
      <c r="C67" s="23"/>
      <c r="D67" s="14"/>
      <c r="E67" s="24" t="s">
        <v>292</v>
      </c>
      <c r="F67" s="25" t="s">
        <v>32</v>
      </c>
      <c r="G67" s="434">
        <v>71500</v>
      </c>
      <c r="H67" s="434" t="s">
        <v>33</v>
      </c>
      <c r="I67" s="434">
        <v>71500</v>
      </c>
      <c r="J67" s="434">
        <f t="shared" si="45"/>
        <v>0</v>
      </c>
      <c r="K67" s="27">
        <f t="shared" ref="K67:K95" si="46">B67-A67</f>
        <v>2.3541666666642413</v>
      </c>
      <c r="L67" s="27">
        <f>'[217]Ecoan G.O'!$F$111</f>
        <v>1.5833333333321207</v>
      </c>
      <c r="M67" s="434">
        <f>(G67)/K67</f>
        <v>30371.681415960495</v>
      </c>
      <c r="N67" s="434">
        <f>(G67/L67)</f>
        <v>45157.894736876689</v>
      </c>
      <c r="O67" s="434">
        <v>30000</v>
      </c>
      <c r="P67" s="69">
        <f>(138811/10000)*8.7</f>
        <v>120.76557</v>
      </c>
      <c r="Q67" s="69">
        <f>(126584/10000)*8.7</f>
        <v>110.12808</v>
      </c>
      <c r="R67" s="455">
        <f t="shared" si="40"/>
        <v>10.63749</v>
      </c>
      <c r="S67" s="435">
        <f t="shared" si="39"/>
        <v>0.17100699300699304</v>
      </c>
      <c r="T67" s="435">
        <f t="shared" si="43"/>
        <v>0.17503068696009874</v>
      </c>
      <c r="U67" s="455">
        <f>S67-T67</f>
        <v>-4.0236939531057003E-3</v>
      </c>
      <c r="V67" s="384"/>
      <c r="W67" s="24"/>
      <c r="X67" s="436">
        <v>2.64</v>
      </c>
      <c r="Y67" s="33">
        <f t="shared" ref="Y67:Y74" si="47">G67*X67</f>
        <v>188760</v>
      </c>
      <c r="Z67" s="33"/>
      <c r="AA67" s="33"/>
      <c r="AB67" s="438"/>
      <c r="AC67" s="469"/>
    </row>
    <row r="68" spans="1:30" x14ac:dyDescent="0.3">
      <c r="A68" s="682">
        <v>43470.618055555555</v>
      </c>
      <c r="B68" s="682">
        <v>43472.895833333336</v>
      </c>
      <c r="C68" s="23"/>
      <c r="D68" s="14"/>
      <c r="E68" s="24" t="s">
        <v>298</v>
      </c>
      <c r="F68" s="25" t="s">
        <v>32</v>
      </c>
      <c r="G68" s="434">
        <v>59045</v>
      </c>
      <c r="H68" s="434" t="s">
        <v>33</v>
      </c>
      <c r="I68" s="603">
        <v>59045</v>
      </c>
      <c r="J68" s="434">
        <f>I68-G68</f>
        <v>0</v>
      </c>
      <c r="K68" s="27">
        <f t="shared" si="46"/>
        <v>2.2777777777810115</v>
      </c>
      <c r="L68" s="27">
        <f>'[217]Prema One'!$F$87</f>
        <v>1.2013888888868678</v>
      </c>
      <c r="M68" s="434">
        <f>G68/K68</f>
        <v>25922.195121914418</v>
      </c>
      <c r="N68" s="434">
        <f>G68/L68</f>
        <v>49147.283237076903</v>
      </c>
      <c r="O68" s="434">
        <v>30000</v>
      </c>
      <c r="P68" s="69">
        <f>(125415/10000)*8.7</f>
        <v>109.11104999999998</v>
      </c>
      <c r="Q68" s="69">
        <f>(114650/10000)*8.7</f>
        <v>99.745499999999993</v>
      </c>
      <c r="R68" s="455">
        <f t="shared" si="40"/>
        <v>9.3655499999999847</v>
      </c>
      <c r="S68" s="435">
        <f t="shared" si="39"/>
        <v>0.18231857058175938</v>
      </c>
      <c r="T68" s="435">
        <f t="shared" si="43"/>
        <v>0.18660841930133018</v>
      </c>
      <c r="U68" s="435"/>
      <c r="V68" s="133"/>
      <c r="W68" s="24"/>
      <c r="X68" s="436">
        <v>2.64</v>
      </c>
      <c r="Y68" s="33">
        <f t="shared" si="47"/>
        <v>155878.80000000002</v>
      </c>
      <c r="Z68" s="33"/>
      <c r="AA68" s="33"/>
      <c r="AB68" s="438"/>
      <c r="AC68" s="469"/>
    </row>
    <row r="69" spans="1:30" x14ac:dyDescent="0.3">
      <c r="A69" s="682">
        <v>43473.986111111109</v>
      </c>
      <c r="B69" s="682">
        <v>43476.875</v>
      </c>
      <c r="C69" s="23"/>
      <c r="D69" s="14"/>
      <c r="E69" s="24" t="s">
        <v>395</v>
      </c>
      <c r="F69" s="25" t="s">
        <v>91</v>
      </c>
      <c r="G69" s="434">
        <v>81381</v>
      </c>
      <c r="H69" s="434" t="s">
        <v>49</v>
      </c>
      <c r="I69" s="434">
        <v>165000</v>
      </c>
      <c r="J69" s="434">
        <f>(G69)-I69</f>
        <v>-83619</v>
      </c>
      <c r="K69" s="27">
        <f t="shared" si="46"/>
        <v>2.8888888888905058</v>
      </c>
      <c r="L69" s="27">
        <f>'[217]Cape Garland'!$F$112</f>
        <v>1.8211805555656611</v>
      </c>
      <c r="M69" s="434">
        <f t="shared" ref="M69:M105" si="48">(G69)/K69</f>
        <v>28170.346153830385</v>
      </c>
      <c r="N69" s="434">
        <f t="shared" ref="N69:N93" si="49">(G69)/L69</f>
        <v>44685.84938011429</v>
      </c>
      <c r="O69" s="434">
        <v>30000</v>
      </c>
      <c r="P69" s="69">
        <f>(113054/10000)*8.7</f>
        <v>98.356979999999993</v>
      </c>
      <c r="Q69" s="69">
        <f>(98272/10000)*8.7</f>
        <v>85.496639999999985</v>
      </c>
      <c r="R69" s="455">
        <f t="shared" si="40"/>
        <v>12.860340000000008</v>
      </c>
      <c r="S69" s="435">
        <f t="shared" si="39"/>
        <v>0.18163944901144016</v>
      </c>
      <c r="T69" s="435">
        <f t="shared" si="43"/>
        <v>0.1859133183999446</v>
      </c>
      <c r="U69" s="435"/>
      <c r="V69" s="133"/>
      <c r="W69" s="24"/>
      <c r="X69" s="436">
        <v>2.64</v>
      </c>
      <c r="Y69" s="33">
        <f t="shared" si="47"/>
        <v>214845.84</v>
      </c>
      <c r="Z69" s="33"/>
      <c r="AA69" s="33"/>
      <c r="AB69" s="438"/>
      <c r="AC69" s="469"/>
    </row>
    <row r="70" spans="1:30" x14ac:dyDescent="0.3">
      <c r="A70" s="682">
        <v>43477.736111111109</v>
      </c>
      <c r="B70" s="682">
        <v>43480.534722222219</v>
      </c>
      <c r="C70" s="23"/>
      <c r="D70" s="14"/>
      <c r="E70" s="24" t="s">
        <v>403</v>
      </c>
      <c r="F70" s="25" t="s">
        <v>32</v>
      </c>
      <c r="G70" s="434">
        <v>68676</v>
      </c>
      <c r="H70" s="434" t="s">
        <v>33</v>
      </c>
      <c r="I70" s="434">
        <v>68675</v>
      </c>
      <c r="J70" s="434">
        <f>G70-I70</f>
        <v>1</v>
      </c>
      <c r="K70" s="27">
        <f t="shared" si="46"/>
        <v>2.7986111111094942</v>
      </c>
      <c r="L70" s="27">
        <f>'[217]Grace One'!$F$110</f>
        <v>1.4253472222117125</v>
      </c>
      <c r="M70" s="434">
        <f t="shared" si="48"/>
        <v>24539.315136490604</v>
      </c>
      <c r="N70" s="434">
        <f t="shared" si="49"/>
        <v>48181.943971122622</v>
      </c>
      <c r="O70" s="434">
        <v>30000</v>
      </c>
      <c r="P70" s="69">
        <f>(97094/10000)*8.7</f>
        <v>84.471779999999995</v>
      </c>
      <c r="Q70" s="69">
        <f>(82237/10000)*8.7</f>
        <v>71.546189999999982</v>
      </c>
      <c r="R70" s="455">
        <f t="shared" si="40"/>
        <v>12.925590000000014</v>
      </c>
      <c r="S70" s="435">
        <f t="shared" si="39"/>
        <v>0.21633467295707406</v>
      </c>
      <c r="T70" s="435">
        <f t="shared" si="43"/>
        <v>0.22142490055606398</v>
      </c>
      <c r="U70" s="435"/>
      <c r="V70" s="133"/>
      <c r="W70" s="24"/>
      <c r="X70" s="436">
        <v>2.64</v>
      </c>
      <c r="Y70" s="33">
        <f t="shared" si="47"/>
        <v>181304.64</v>
      </c>
      <c r="Z70" s="33"/>
      <c r="AA70" s="33"/>
      <c r="AB70" s="438"/>
      <c r="AC70" s="469"/>
    </row>
    <row r="71" spans="1:30" x14ac:dyDescent="0.3">
      <c r="A71" s="682">
        <v>43480.777777777781</v>
      </c>
      <c r="B71" s="682">
        <v>43482.381944444445</v>
      </c>
      <c r="C71" s="23"/>
      <c r="D71" s="23"/>
      <c r="E71" s="24" t="s">
        <v>44</v>
      </c>
      <c r="F71" s="25" t="s">
        <v>39</v>
      </c>
      <c r="G71" s="434">
        <v>40634</v>
      </c>
      <c r="H71" s="434" t="s">
        <v>40</v>
      </c>
      <c r="I71" s="434">
        <v>90200</v>
      </c>
      <c r="J71" s="434">
        <f>G71-I71</f>
        <v>-49566</v>
      </c>
      <c r="K71" s="27">
        <f t="shared" si="46"/>
        <v>1.6041666666642413</v>
      </c>
      <c r="L71" s="27">
        <f>'[217]Taipower Prosperity VIII'!$F$75</f>
        <v>1.0329861111094942</v>
      </c>
      <c r="M71" s="434">
        <f t="shared" si="48"/>
        <v>25330.285714324011</v>
      </c>
      <c r="N71" s="434">
        <f t="shared" si="49"/>
        <v>39336.443697540562</v>
      </c>
      <c r="O71" s="434">
        <v>30000</v>
      </c>
      <c r="P71" s="69">
        <f>(81768/10000)*8.7</f>
        <v>71.138159999999999</v>
      </c>
      <c r="Q71" s="69">
        <f>(73363/10000)*8.7</f>
        <v>63.82580999999999</v>
      </c>
      <c r="R71" s="455">
        <f t="shared" si="40"/>
        <v>7.3123500000000092</v>
      </c>
      <c r="S71" s="435">
        <f t="shared" si="39"/>
        <v>0.2068464832406362</v>
      </c>
      <c r="T71" s="435">
        <f t="shared" si="43"/>
        <v>0.21171345931688645</v>
      </c>
      <c r="U71" s="436"/>
      <c r="V71" s="133"/>
      <c r="W71" s="24"/>
      <c r="X71" s="436">
        <v>2.64</v>
      </c>
      <c r="Y71" s="33">
        <f t="shared" si="47"/>
        <v>107273.76000000001</v>
      </c>
      <c r="Z71" s="33"/>
      <c r="AA71" s="33"/>
      <c r="AB71" s="438"/>
      <c r="AC71" s="469"/>
    </row>
    <row r="72" spans="1:30" x14ac:dyDescent="0.3">
      <c r="A72" s="682">
        <v>43483.916666666664</v>
      </c>
      <c r="B72" s="682">
        <v>43486.604166666664</v>
      </c>
      <c r="C72" s="23"/>
      <c r="D72" s="23"/>
      <c r="E72" s="24" t="s">
        <v>490</v>
      </c>
      <c r="F72" s="25" t="s">
        <v>39</v>
      </c>
      <c r="G72" s="434">
        <v>77000</v>
      </c>
      <c r="H72" s="434" t="s">
        <v>33</v>
      </c>
      <c r="I72" s="434">
        <v>77000</v>
      </c>
      <c r="J72" s="434">
        <f>G72-I72</f>
        <v>0</v>
      </c>
      <c r="K72" s="27">
        <f t="shared" si="46"/>
        <v>2.6875</v>
      </c>
      <c r="L72" s="27">
        <f>'[217]JR Summer'!$F$110</f>
        <v>1.7013888888941437</v>
      </c>
      <c r="M72" s="434">
        <f t="shared" si="48"/>
        <v>28651.162790697676</v>
      </c>
      <c r="N72" s="434">
        <f t="shared" si="49"/>
        <v>45257.142857003077</v>
      </c>
      <c r="O72" s="434">
        <v>30000</v>
      </c>
      <c r="P72" s="69">
        <f>(70843/10000)*8.7</f>
        <v>61.633409999999991</v>
      </c>
      <c r="Q72" s="69">
        <f>(57090/10000)*8.7</f>
        <v>49.668299999999995</v>
      </c>
      <c r="R72" s="455">
        <f t="shared" si="40"/>
        <v>11.965109999999996</v>
      </c>
      <c r="S72" s="435">
        <f t="shared" ref="S72:S103" si="50">R72/8.7*10000/(G72)</f>
        <v>0.17861038961038955</v>
      </c>
      <c r="T72" s="435">
        <f t="shared" si="43"/>
        <v>0.18281298701298695</v>
      </c>
      <c r="U72" s="436"/>
      <c r="V72" s="133"/>
      <c r="W72" s="24"/>
      <c r="X72" s="436">
        <v>2.64</v>
      </c>
      <c r="Y72" s="33">
        <f t="shared" si="47"/>
        <v>203280</v>
      </c>
      <c r="Z72" s="604" t="s">
        <v>491</v>
      </c>
      <c r="AA72" s="33"/>
      <c r="AB72" s="438"/>
      <c r="AC72" s="469"/>
    </row>
    <row r="73" spans="1:30" x14ac:dyDescent="0.3">
      <c r="A73" s="682">
        <v>43486.923611111109</v>
      </c>
      <c r="B73" s="682">
        <v>43489.361111111109</v>
      </c>
      <c r="C73" s="23"/>
      <c r="D73" s="23"/>
      <c r="E73" s="24" t="s">
        <v>276</v>
      </c>
      <c r="F73" s="25" t="s">
        <v>32</v>
      </c>
      <c r="G73" s="434">
        <v>57200</v>
      </c>
      <c r="H73" s="434" t="s">
        <v>33</v>
      </c>
      <c r="I73" s="434">
        <v>57200</v>
      </c>
      <c r="J73" s="434">
        <f>G73-I73</f>
        <v>0</v>
      </c>
      <c r="K73" s="27">
        <f t="shared" si="46"/>
        <v>2.4375</v>
      </c>
      <c r="L73" s="27">
        <f>'[217]Best Unity'!$F$81</f>
        <v>1.2065972222153505</v>
      </c>
      <c r="M73" s="434">
        <f t="shared" si="48"/>
        <v>23466.666666666668</v>
      </c>
      <c r="N73" s="434">
        <f t="shared" si="49"/>
        <v>47406.04316573761</v>
      </c>
      <c r="O73" s="434">
        <v>30000</v>
      </c>
      <c r="P73" s="69">
        <f>(56213/10000)*8.7</f>
        <v>48.905309999999993</v>
      </c>
      <c r="Q73" s="69">
        <f>(45865/10000)*8.7</f>
        <v>39.902549999999998</v>
      </c>
      <c r="R73" s="455">
        <f t="shared" si="40"/>
        <v>9.002759999999995</v>
      </c>
      <c r="S73" s="435">
        <f t="shared" si="50"/>
        <v>0.18090909090909083</v>
      </c>
      <c r="T73" s="435">
        <f t="shared" si="43"/>
        <v>0.1851657754010694</v>
      </c>
      <c r="U73" s="436"/>
      <c r="V73" s="133"/>
      <c r="W73" s="24"/>
      <c r="X73" s="436">
        <v>2.64</v>
      </c>
      <c r="Y73" s="33">
        <f t="shared" si="47"/>
        <v>151008</v>
      </c>
      <c r="Z73" s="33"/>
      <c r="AA73" s="33"/>
      <c r="AB73" s="438"/>
      <c r="AC73" s="469"/>
    </row>
    <row r="74" spans="1:30" x14ac:dyDescent="0.3">
      <c r="A74" s="682">
        <v>43493.993055555555</v>
      </c>
      <c r="B74" s="682">
        <v>43495.916666666664</v>
      </c>
      <c r="C74" s="23"/>
      <c r="D74" s="23"/>
      <c r="E74" s="24" t="s">
        <v>38</v>
      </c>
      <c r="F74" s="25" t="s">
        <v>39</v>
      </c>
      <c r="G74" s="434">
        <v>59427</v>
      </c>
      <c r="H74" s="434" t="s">
        <v>40</v>
      </c>
      <c r="I74" s="434">
        <v>86325</v>
      </c>
      <c r="J74" s="434">
        <f>G74-I74</f>
        <v>-26898</v>
      </c>
      <c r="K74" s="27">
        <f t="shared" si="46"/>
        <v>1.9236111111094942</v>
      </c>
      <c r="L74" s="27">
        <f>'[217]Taipower Prosperity I'!$F$85</f>
        <v>1.1614583333102928</v>
      </c>
      <c r="M74" s="434">
        <f t="shared" si="48"/>
        <v>30893.45848378048</v>
      </c>
      <c r="N74" s="434">
        <f t="shared" si="49"/>
        <v>51165.847534647291</v>
      </c>
      <c r="O74" s="434">
        <v>30000</v>
      </c>
      <c r="P74" s="69">
        <f>(162828/10000)*8.7</f>
        <v>141.66036</v>
      </c>
      <c r="Q74" s="69">
        <f>(152298/10000)*8.7</f>
        <v>132.49925999999999</v>
      </c>
      <c r="R74" s="455">
        <f t="shared" si="40"/>
        <v>9.1611000000000047</v>
      </c>
      <c r="S74" s="435">
        <f t="shared" si="50"/>
        <v>0.17719218537028633</v>
      </c>
      <c r="T74" s="435">
        <f t="shared" si="43"/>
        <v>0.18136141326135188</v>
      </c>
      <c r="U74" s="436"/>
      <c r="V74" s="133"/>
      <c r="W74" s="24"/>
      <c r="X74" s="436">
        <v>2.64</v>
      </c>
      <c r="Y74" s="33">
        <f t="shared" si="47"/>
        <v>156887.28</v>
      </c>
      <c r="Z74" s="33"/>
      <c r="AA74" s="33"/>
      <c r="AB74" s="438"/>
      <c r="AC74" s="469"/>
    </row>
    <row r="75" spans="1:30" x14ac:dyDescent="0.3">
      <c r="A75" s="682">
        <v>43496.583333333336</v>
      </c>
      <c r="B75" s="682">
        <v>43502.381944444445</v>
      </c>
      <c r="C75" s="23"/>
      <c r="D75" s="23"/>
      <c r="E75" s="473" t="s">
        <v>105</v>
      </c>
      <c r="F75" s="25" t="s">
        <v>91</v>
      </c>
      <c r="G75" s="462">
        <v>103000</v>
      </c>
      <c r="H75" s="462" t="s">
        <v>33</v>
      </c>
      <c r="I75" s="462">
        <v>103000</v>
      </c>
      <c r="J75" s="462">
        <f>I75-G75</f>
        <v>0</v>
      </c>
      <c r="K75" s="27">
        <f t="shared" si="46"/>
        <v>5.7986111111094942</v>
      </c>
      <c r="L75" s="476">
        <f>'[218]Eastern Glamour'!$F$145</f>
        <v>3.6996527777882875</v>
      </c>
      <c r="M75" s="462">
        <f t="shared" si="48"/>
        <v>17762.874251501958</v>
      </c>
      <c r="N75" s="462">
        <f t="shared" si="49"/>
        <v>27840.450492647331</v>
      </c>
      <c r="O75" s="434">
        <v>30000</v>
      </c>
      <c r="P75" s="69">
        <f>(151374/10000)*8.7</f>
        <v>131.69537999999997</v>
      </c>
      <c r="Q75" s="69">
        <f>(124973/10000)*8.7</f>
        <v>108.72650999999999</v>
      </c>
      <c r="R75" s="455">
        <f t="shared" si="40"/>
        <v>22.968869999999981</v>
      </c>
      <c r="S75" s="435">
        <f t="shared" si="50"/>
        <v>0.25632038834951437</v>
      </c>
      <c r="T75" s="435">
        <f t="shared" si="43"/>
        <v>0.26235145631067941</v>
      </c>
      <c r="U75" s="436"/>
      <c r="V75" s="133"/>
      <c r="W75" s="24"/>
      <c r="X75" s="436">
        <v>2.64</v>
      </c>
      <c r="Y75" s="33">
        <f t="shared" ref="Y75:Y78" si="51">G75*X75</f>
        <v>271920</v>
      </c>
      <c r="Z75" s="33"/>
      <c r="AA75" s="33"/>
      <c r="AB75" s="438"/>
      <c r="AC75" s="469"/>
    </row>
    <row r="76" spans="1:30" x14ac:dyDescent="0.3">
      <c r="A76" s="682">
        <v>43504.722222222219</v>
      </c>
      <c r="B76" s="682">
        <v>43506.138888888891</v>
      </c>
      <c r="C76" s="23"/>
      <c r="D76" s="14"/>
      <c r="E76" s="35" t="s">
        <v>334</v>
      </c>
      <c r="F76" s="25" t="s">
        <v>32</v>
      </c>
      <c r="G76" s="433">
        <v>39949</v>
      </c>
      <c r="H76" s="24" t="s">
        <v>33</v>
      </c>
      <c r="I76" s="433">
        <v>69430</v>
      </c>
      <c r="J76" s="434">
        <f>G76-I76</f>
        <v>-29481</v>
      </c>
      <c r="K76" s="27">
        <f t="shared" si="46"/>
        <v>1.4166666666715173</v>
      </c>
      <c r="L76" s="27">
        <f>'[218]Ningbo Innovation'!$F$69</f>
        <v>0.88020833333575865</v>
      </c>
      <c r="M76" s="434">
        <f t="shared" si="48"/>
        <v>28199.294117550504</v>
      </c>
      <c r="N76" s="434">
        <f t="shared" si="49"/>
        <v>45385.846153721097</v>
      </c>
      <c r="O76" s="434">
        <v>30000</v>
      </c>
      <c r="P76" s="69">
        <f>(120851/10000)*8.7</f>
        <v>105.14036999999999</v>
      </c>
      <c r="Q76" s="69">
        <f>(113311/10000)*8.7</f>
        <v>98.58056999999998</v>
      </c>
      <c r="R76" s="455">
        <f t="shared" ref="R76:R95" si="52">P76-Q76</f>
        <v>6.5598000000000098</v>
      </c>
      <c r="S76" s="435">
        <f t="shared" si="50"/>
        <v>0.18874064432151022</v>
      </c>
      <c r="T76" s="435">
        <f t="shared" si="43"/>
        <v>0.19318160065848691</v>
      </c>
      <c r="U76" s="435"/>
      <c r="V76" s="444"/>
      <c r="W76" s="488"/>
      <c r="X76" s="436">
        <v>2.64</v>
      </c>
      <c r="Y76" s="33">
        <f t="shared" si="51"/>
        <v>105465.36</v>
      </c>
      <c r="Z76" s="33"/>
      <c r="AA76" s="33"/>
      <c r="AB76" s="438"/>
      <c r="AC76" s="469"/>
    </row>
    <row r="77" spans="1:30" x14ac:dyDescent="0.3">
      <c r="A77" s="682">
        <v>43506.5625</v>
      </c>
      <c r="B77" s="682">
        <v>43510.802083333336</v>
      </c>
      <c r="C77" s="23"/>
      <c r="D77" s="14"/>
      <c r="E77" s="35" t="s">
        <v>492</v>
      </c>
      <c r="F77" s="25" t="s">
        <v>32</v>
      </c>
      <c r="G77" s="433">
        <v>76845</v>
      </c>
      <c r="H77" s="433" t="s">
        <v>49</v>
      </c>
      <c r="I77" s="433">
        <v>76845</v>
      </c>
      <c r="J77" s="434">
        <f>(G77)-I77</f>
        <v>0</v>
      </c>
      <c r="K77" s="27">
        <f t="shared" si="46"/>
        <v>4.2395833333357587</v>
      </c>
      <c r="L77" s="27">
        <f>'[218]Minoan Courage'!$F$133</f>
        <v>1.5694444444525288</v>
      </c>
      <c r="M77" s="434">
        <f t="shared" si="48"/>
        <v>18125.601965591595</v>
      </c>
      <c r="N77" s="434">
        <f t="shared" si="49"/>
        <v>48963.18584045575</v>
      </c>
      <c r="O77" s="434">
        <v>30000</v>
      </c>
      <c r="P77" s="69">
        <f>(112623/10000)*8.7</f>
        <v>97.982009999999988</v>
      </c>
      <c r="Q77" s="69">
        <f>(93992/10000)*8.7</f>
        <v>81.773039999999995</v>
      </c>
      <c r="R77" s="455">
        <f t="shared" si="52"/>
        <v>16.208969999999994</v>
      </c>
      <c r="S77" s="435">
        <f t="shared" si="50"/>
        <v>0.24244908582210939</v>
      </c>
      <c r="T77" s="435">
        <f t="shared" si="43"/>
        <v>0.24815377019439427</v>
      </c>
      <c r="U77" s="435"/>
      <c r="V77" s="444"/>
      <c r="W77" s="488"/>
      <c r="X77" s="436">
        <v>2.64</v>
      </c>
      <c r="Y77" s="33">
        <f t="shared" si="51"/>
        <v>202870.80000000002</v>
      </c>
      <c r="Z77" s="33"/>
      <c r="AA77" s="33"/>
      <c r="AB77" s="438"/>
      <c r="AC77" s="469"/>
    </row>
    <row r="78" spans="1:30" x14ac:dyDescent="0.3">
      <c r="A78" s="682">
        <v>43511.5625</v>
      </c>
      <c r="B78" s="682">
        <v>43514.111111111109</v>
      </c>
      <c r="C78" s="23"/>
      <c r="D78" s="23"/>
      <c r="E78" s="35" t="s">
        <v>150</v>
      </c>
      <c r="F78" s="25" t="s">
        <v>32</v>
      </c>
      <c r="G78" s="433">
        <v>66600</v>
      </c>
      <c r="H78" s="433" t="s">
        <v>33</v>
      </c>
      <c r="I78" s="433">
        <v>66600</v>
      </c>
      <c r="J78" s="434">
        <f>(G78+[219]Barges!C146)-I78</f>
        <v>6971.4210000000021</v>
      </c>
      <c r="K78" s="27">
        <f t="shared" si="46"/>
        <v>2.5486111111094942</v>
      </c>
      <c r="L78" s="27">
        <f>'[218]Chang Ming 2'!$F$90</f>
        <v>1.468749999992724</v>
      </c>
      <c r="M78" s="434">
        <f t="shared" si="48"/>
        <v>26131.880109008405</v>
      </c>
      <c r="N78" s="434">
        <f t="shared" si="49"/>
        <v>45344.68085128846</v>
      </c>
      <c r="O78" s="434">
        <v>30000</v>
      </c>
      <c r="P78" s="69">
        <f>(92488/10000)*8.7</f>
        <v>80.464559999999992</v>
      </c>
      <c r="Q78" s="69">
        <f>(79691/10000)*8.7</f>
        <v>69.33117</v>
      </c>
      <c r="R78" s="455">
        <f t="shared" si="52"/>
        <v>11.133389999999991</v>
      </c>
      <c r="S78" s="435">
        <f t="shared" si="50"/>
        <v>0.19214714714714701</v>
      </c>
      <c r="T78" s="435">
        <f t="shared" si="43"/>
        <v>0.19666825649178576</v>
      </c>
      <c r="U78" s="435"/>
      <c r="V78" s="444"/>
      <c r="W78" s="488"/>
      <c r="X78" s="436">
        <v>2.64</v>
      </c>
      <c r="Y78" s="33">
        <f t="shared" si="51"/>
        <v>175824</v>
      </c>
      <c r="Z78" s="33"/>
      <c r="AA78" s="33"/>
      <c r="AB78" s="438"/>
      <c r="AC78" s="469"/>
    </row>
    <row r="79" spans="1:30" x14ac:dyDescent="0.3">
      <c r="A79" s="682">
        <v>43514.847222222219</v>
      </c>
      <c r="B79" s="682">
        <v>43516.152777777781</v>
      </c>
      <c r="C79" s="23"/>
      <c r="D79" s="23"/>
      <c r="E79" s="35" t="s">
        <v>165</v>
      </c>
      <c r="F79" s="25" t="s">
        <v>32</v>
      </c>
      <c r="G79" s="433">
        <v>25502</v>
      </c>
      <c r="H79" s="433" t="s">
        <v>33</v>
      </c>
      <c r="I79" s="433">
        <v>70300</v>
      </c>
      <c r="J79" s="434">
        <f>(G79)-I79</f>
        <v>-44798</v>
      </c>
      <c r="K79" s="27">
        <f t="shared" si="46"/>
        <v>1.3055555555620231</v>
      </c>
      <c r="L79" s="27">
        <f>'[218]Chang Sheng'!$F$56</f>
        <v>0.60937500000363798</v>
      </c>
      <c r="M79" s="434">
        <f t="shared" si="48"/>
        <v>19533.446808413872</v>
      </c>
      <c r="N79" s="434">
        <f t="shared" si="49"/>
        <v>41849.435897186057</v>
      </c>
      <c r="O79" s="434">
        <v>30000</v>
      </c>
      <c r="P79" s="69">
        <f>(78608/10000)*8.7</f>
        <v>68.388959999999997</v>
      </c>
      <c r="Q79" s="69">
        <f>(72690/10000)*8.7</f>
        <v>63.240299999999998</v>
      </c>
      <c r="R79" s="455">
        <f t="shared" si="52"/>
        <v>5.1486599999999996</v>
      </c>
      <c r="S79" s="435">
        <f t="shared" si="50"/>
        <v>0.23206023057015135</v>
      </c>
      <c r="T79" s="435">
        <f t="shared" si="43"/>
        <v>0.23752047128944903</v>
      </c>
      <c r="U79" s="435"/>
      <c r="V79" s="444"/>
      <c r="W79" s="488"/>
      <c r="X79" s="436">
        <v>2.64</v>
      </c>
      <c r="Y79" s="33">
        <f>G79*X79</f>
        <v>67325.279999999999</v>
      </c>
      <c r="Z79" s="33"/>
      <c r="AA79" s="33"/>
      <c r="AB79" s="438"/>
      <c r="AC79" s="469"/>
    </row>
    <row r="80" spans="1:30" x14ac:dyDescent="0.3">
      <c r="A80" s="682">
        <v>43517.354166666664</v>
      </c>
      <c r="B80" s="682">
        <v>43518.864583333336</v>
      </c>
      <c r="C80" s="23"/>
      <c r="D80" s="23"/>
      <c r="E80" s="35" t="s">
        <v>331</v>
      </c>
      <c r="F80" s="25" t="s">
        <v>32</v>
      </c>
      <c r="G80" s="433">
        <v>40045</v>
      </c>
      <c r="H80" s="433" t="s">
        <v>33</v>
      </c>
      <c r="I80" s="433">
        <v>76950</v>
      </c>
      <c r="J80" s="434">
        <f>(G80)-I80</f>
        <v>-36905</v>
      </c>
      <c r="K80" s="27">
        <f t="shared" si="46"/>
        <v>1.5104166666715173</v>
      </c>
      <c r="L80" s="27">
        <f>'[218]Neng Yuan'!$F$71</f>
        <v>0.93923611110221827</v>
      </c>
      <c r="M80" s="434">
        <f t="shared" si="48"/>
        <v>26512.551724052788</v>
      </c>
      <c r="N80" s="434">
        <f t="shared" si="49"/>
        <v>42635.711645505347</v>
      </c>
      <c r="O80" s="434">
        <v>30000</v>
      </c>
      <c r="P80" s="69">
        <f>(70916/10000)*8.7</f>
        <v>61.696919999999992</v>
      </c>
      <c r="Q80" s="69">
        <f>(62450/10000)*8.7</f>
        <v>54.331499999999998</v>
      </c>
      <c r="R80" s="455">
        <f t="shared" si="52"/>
        <v>7.3654199999999932</v>
      </c>
      <c r="S80" s="435">
        <f t="shared" si="50"/>
        <v>0.21141216131851648</v>
      </c>
      <c r="T80" s="435">
        <f t="shared" si="43"/>
        <v>0.21638656511424625</v>
      </c>
      <c r="U80" s="435"/>
      <c r="V80" s="444"/>
      <c r="W80" s="488"/>
      <c r="X80" s="436">
        <v>2.64</v>
      </c>
      <c r="Y80" s="33">
        <f>G80*X80</f>
        <v>105718.8</v>
      </c>
      <c r="Z80" s="33"/>
      <c r="AA80" s="33"/>
      <c r="AB80" s="438"/>
      <c r="AC80" s="469"/>
    </row>
    <row r="81" spans="1:29" x14ac:dyDescent="0.3">
      <c r="A81" s="682">
        <v>43519.513888888891</v>
      </c>
      <c r="B81" s="682">
        <v>43524.375</v>
      </c>
      <c r="C81" s="23"/>
      <c r="D81" s="23"/>
      <c r="E81" s="35" t="s">
        <v>493</v>
      </c>
      <c r="F81" s="25" t="s">
        <v>32</v>
      </c>
      <c r="G81" s="433">
        <v>69887</v>
      </c>
      <c r="H81" s="433" t="s">
        <v>49</v>
      </c>
      <c r="I81" s="433">
        <v>70743</v>
      </c>
      <c r="J81" s="434">
        <f>(G81)-I81</f>
        <v>-856</v>
      </c>
      <c r="K81" s="27">
        <f t="shared" si="46"/>
        <v>4.8611111111094942</v>
      </c>
      <c r="L81" s="27">
        <f>'[218]Christina IV'!$F$116</f>
        <v>3.7343749999987872</v>
      </c>
      <c r="M81" s="434">
        <f t="shared" si="48"/>
        <v>14376.754285719067</v>
      </c>
      <c r="N81" s="434">
        <f t="shared" si="49"/>
        <v>18714.510460257123</v>
      </c>
      <c r="O81" s="434">
        <v>30000</v>
      </c>
      <c r="P81" s="69">
        <f>(61099/10000)*8.7</f>
        <v>53.15612999999999</v>
      </c>
      <c r="Q81" s="69">
        <f>(42739/10000)*8.7</f>
        <v>37.182929999999999</v>
      </c>
      <c r="R81" s="455">
        <f t="shared" si="52"/>
        <v>15.973199999999991</v>
      </c>
      <c r="S81" s="435">
        <f t="shared" si="50"/>
        <v>0.26270980296764768</v>
      </c>
      <c r="T81" s="435">
        <f t="shared" si="43"/>
        <v>0.26889121009629818</v>
      </c>
      <c r="U81" s="435"/>
      <c r="V81" s="444"/>
      <c r="W81" s="488"/>
      <c r="X81" s="436">
        <v>2.64</v>
      </c>
      <c r="Y81" s="33">
        <f>G81*X81</f>
        <v>184501.68000000002</v>
      </c>
      <c r="Z81" s="33"/>
      <c r="AA81" s="33"/>
      <c r="AB81" s="438"/>
      <c r="AC81" s="469"/>
    </row>
    <row r="82" spans="1:29" x14ac:dyDescent="0.3">
      <c r="A82" s="682">
        <v>43525.607638888891</v>
      </c>
      <c r="B82" s="682">
        <v>43528.618055555555</v>
      </c>
      <c r="C82" s="23"/>
      <c r="D82" s="25"/>
      <c r="E82" s="35" t="s">
        <v>413</v>
      </c>
      <c r="F82" s="25" t="s">
        <v>39</v>
      </c>
      <c r="G82" s="433">
        <v>88000</v>
      </c>
      <c r="H82" s="433" t="s">
        <v>40</v>
      </c>
      <c r="I82" s="433">
        <v>88000</v>
      </c>
      <c r="J82" s="434">
        <f>G82-I82</f>
        <v>0</v>
      </c>
      <c r="K82" s="27">
        <f t="shared" si="46"/>
        <v>3.0104166666642413</v>
      </c>
      <c r="L82" s="27">
        <f>[220]Dimitra!$F$120</f>
        <v>2.0642361111022183</v>
      </c>
      <c r="M82" s="434">
        <f t="shared" si="48"/>
        <v>29231.833910058154</v>
      </c>
      <c r="N82" s="434">
        <f t="shared" si="49"/>
        <v>42630.782170074322</v>
      </c>
      <c r="O82" s="434">
        <v>30000</v>
      </c>
      <c r="P82" s="69">
        <f>(157829/10000)*8.7</f>
        <v>137.31122999999999</v>
      </c>
      <c r="Q82" s="69">
        <f>(141817/10000)*8.7</f>
        <v>123.38078999999999</v>
      </c>
      <c r="R82" s="455">
        <f t="shared" si="52"/>
        <v>13.930440000000004</v>
      </c>
      <c r="S82" s="435">
        <f t="shared" si="50"/>
        <v>0.18195454545454551</v>
      </c>
      <c r="T82" s="435">
        <f t="shared" si="43"/>
        <v>0.18623582887700543</v>
      </c>
      <c r="U82" s="435"/>
      <c r="V82" s="444"/>
      <c r="W82" s="32"/>
      <c r="X82" s="436">
        <v>2.64</v>
      </c>
      <c r="Y82" s="33">
        <f t="shared" ref="Y82:Y87" si="53">G82*X82</f>
        <v>232320</v>
      </c>
      <c r="Z82" s="33"/>
      <c r="AA82" s="33"/>
      <c r="AB82" s="605"/>
      <c r="AC82" s="469"/>
    </row>
    <row r="83" spans="1:29" x14ac:dyDescent="0.3">
      <c r="A83" s="682">
        <v>43529.034722222219</v>
      </c>
      <c r="B83" s="682">
        <v>43531.347222222219</v>
      </c>
      <c r="C83" s="23"/>
      <c r="D83" s="25"/>
      <c r="E83" s="35" t="s">
        <v>381</v>
      </c>
      <c r="F83" s="25" t="s">
        <v>32</v>
      </c>
      <c r="G83" s="433">
        <v>69130</v>
      </c>
      <c r="H83" s="433" t="s">
        <v>33</v>
      </c>
      <c r="I83" s="433">
        <v>69100</v>
      </c>
      <c r="J83" s="542">
        <f>(G83)-I83</f>
        <v>30</v>
      </c>
      <c r="K83" s="27">
        <f t="shared" si="46"/>
        <v>2.3125</v>
      </c>
      <c r="L83" s="27">
        <f>'[220]Fortune Union'!$F$99</f>
        <v>1.5086805555438332</v>
      </c>
      <c r="M83" s="434">
        <f t="shared" si="48"/>
        <v>29894.054054054053</v>
      </c>
      <c r="N83" s="434">
        <f t="shared" si="49"/>
        <v>45821.495972738077</v>
      </c>
      <c r="O83" s="434">
        <v>30000</v>
      </c>
      <c r="P83" s="69">
        <f>(141323/10000)*8.7</f>
        <v>122.95101</v>
      </c>
      <c r="Q83" s="69">
        <f>(129142/10000)*8.7</f>
        <v>112.35353999999998</v>
      </c>
      <c r="R83" s="455">
        <f t="shared" si="52"/>
        <v>10.597470000000015</v>
      </c>
      <c r="S83" s="435">
        <f t="shared" si="50"/>
        <v>0.1762042528569365</v>
      </c>
      <c r="T83" s="435">
        <f t="shared" si="43"/>
        <v>0.1803502352770997</v>
      </c>
      <c r="U83" s="435"/>
      <c r="V83" s="444"/>
      <c r="W83" s="32"/>
      <c r="X83" s="436">
        <v>2.64</v>
      </c>
      <c r="Y83" s="33">
        <f t="shared" si="53"/>
        <v>182503.2</v>
      </c>
      <c r="Z83" s="33"/>
      <c r="AA83" s="33"/>
      <c r="AB83" s="605"/>
      <c r="AC83" s="469"/>
    </row>
    <row r="84" spans="1:29" x14ac:dyDescent="0.3">
      <c r="A84" s="682">
        <v>43532.083333333336</v>
      </c>
      <c r="B84" s="682">
        <v>43534.583333333336</v>
      </c>
      <c r="C84" s="23"/>
      <c r="D84" s="25"/>
      <c r="E84" s="35" t="s">
        <v>494</v>
      </c>
      <c r="F84" s="25" t="s">
        <v>32</v>
      </c>
      <c r="G84" s="433">
        <v>69850</v>
      </c>
      <c r="H84" s="433" t="s">
        <v>33</v>
      </c>
      <c r="I84" s="433">
        <v>70100</v>
      </c>
      <c r="J84" s="434">
        <f t="shared" ref="J84:J90" si="54">G84-I84</f>
        <v>-250</v>
      </c>
      <c r="K84" s="27">
        <f t="shared" si="46"/>
        <v>2.5</v>
      </c>
      <c r="L84" s="27">
        <f>'[220]Xin Wu Zhou'!$F$108</f>
        <v>1.359374999996362</v>
      </c>
      <c r="M84" s="434">
        <f t="shared" si="48"/>
        <v>27940</v>
      </c>
      <c r="N84" s="434">
        <f t="shared" si="49"/>
        <v>51383.908046114528</v>
      </c>
      <c r="O84" s="434">
        <v>30000</v>
      </c>
      <c r="P84" s="69">
        <f>(127814/10000)*8.7</f>
        <v>111.19817999999999</v>
      </c>
      <c r="Q84" s="69">
        <f>(115088/10000)*8.7</f>
        <v>100.12656</v>
      </c>
      <c r="R84" s="455">
        <f t="shared" si="52"/>
        <v>11.071619999999996</v>
      </c>
      <c r="S84" s="435">
        <f t="shared" si="50"/>
        <v>0.18219040801717964</v>
      </c>
      <c r="T84" s="435">
        <f t="shared" si="43"/>
        <v>0.1864772411469956</v>
      </c>
      <c r="U84" s="435"/>
      <c r="V84" s="444"/>
      <c r="W84" s="32"/>
      <c r="X84" s="436">
        <v>2.64</v>
      </c>
      <c r="Y84" s="33">
        <f t="shared" si="53"/>
        <v>184404</v>
      </c>
      <c r="Z84" s="33"/>
      <c r="AA84" s="33"/>
      <c r="AB84" s="605"/>
      <c r="AC84" s="469"/>
    </row>
    <row r="85" spans="1:29" x14ac:dyDescent="0.3">
      <c r="A85" s="682">
        <v>43535.583333333336</v>
      </c>
      <c r="B85" s="682">
        <v>43538.840277777781</v>
      </c>
      <c r="C85" s="23"/>
      <c r="D85" s="25"/>
      <c r="E85" s="35" t="s">
        <v>150</v>
      </c>
      <c r="F85" s="25"/>
      <c r="G85" s="433">
        <v>67200</v>
      </c>
      <c r="H85" s="433" t="s">
        <v>33</v>
      </c>
      <c r="I85" s="433">
        <v>67200</v>
      </c>
      <c r="J85" s="434">
        <f t="shared" si="54"/>
        <v>0</v>
      </c>
      <c r="K85" s="27">
        <f t="shared" si="46"/>
        <v>3.2569444444452529</v>
      </c>
      <c r="L85" s="27">
        <f>'[220]Chang Ming 2'!$F$92</f>
        <v>1.2760416666824312</v>
      </c>
      <c r="M85" s="434">
        <f t="shared" si="48"/>
        <v>20632.835820890399</v>
      </c>
      <c r="N85" s="434">
        <f t="shared" si="49"/>
        <v>52662.857142206529</v>
      </c>
      <c r="O85" s="434">
        <v>30000</v>
      </c>
      <c r="P85" s="69">
        <f>(113225/10000)*8.7</f>
        <v>98.505749999999992</v>
      </c>
      <c r="Q85" s="69">
        <f>(100480/10000)*8.7</f>
        <v>87.417599999999993</v>
      </c>
      <c r="R85" s="455">
        <f t="shared" si="52"/>
        <v>11.088149999999999</v>
      </c>
      <c r="S85" s="435">
        <f t="shared" si="50"/>
        <v>0.18965773809523809</v>
      </c>
      <c r="T85" s="435">
        <f t="shared" si="43"/>
        <v>0.19412027310924371</v>
      </c>
      <c r="U85" s="435"/>
      <c r="V85" s="444"/>
      <c r="W85" s="32"/>
      <c r="X85" s="436">
        <v>2.64</v>
      </c>
      <c r="Y85" s="33">
        <f t="shared" si="53"/>
        <v>177408</v>
      </c>
      <c r="Z85" s="33"/>
      <c r="AA85" s="33"/>
      <c r="AB85" s="605"/>
      <c r="AC85" s="469"/>
    </row>
    <row r="86" spans="1:29" x14ac:dyDescent="0.3">
      <c r="A86" s="682">
        <v>43539.760416666664</v>
      </c>
      <c r="B86" s="682">
        <v>43545.597222222219</v>
      </c>
      <c r="C86" s="23"/>
      <c r="D86" s="25"/>
      <c r="E86" s="35" t="s">
        <v>412</v>
      </c>
      <c r="F86" s="25" t="s">
        <v>91</v>
      </c>
      <c r="G86" s="433">
        <v>117873</v>
      </c>
      <c r="H86" s="434" t="s">
        <v>49</v>
      </c>
      <c r="I86" s="433">
        <v>162100</v>
      </c>
      <c r="J86" s="434">
        <f t="shared" si="54"/>
        <v>-44227</v>
      </c>
      <c r="K86" s="27">
        <f t="shared" si="46"/>
        <v>5.8368055555547471</v>
      </c>
      <c r="L86" s="27">
        <f>[220]Hero!$F$175</f>
        <v>2.6302083333357587</v>
      </c>
      <c r="M86" s="434">
        <f t="shared" si="48"/>
        <v>20194.779298039681</v>
      </c>
      <c r="N86" s="434">
        <f t="shared" si="49"/>
        <v>44815.081188077485</v>
      </c>
      <c r="O86" s="434">
        <v>30000</v>
      </c>
      <c r="P86" s="69">
        <f>(99186/10000)*8.7</f>
        <v>86.291819999999987</v>
      </c>
      <c r="Q86" s="69">
        <f>(73484/10000)*8.7</f>
        <v>63.931079999999994</v>
      </c>
      <c r="R86" s="455">
        <f t="shared" si="52"/>
        <v>22.360739999999993</v>
      </c>
      <c r="S86" s="435">
        <f t="shared" si="50"/>
        <v>0.21804823835823295</v>
      </c>
      <c r="T86" s="435">
        <f t="shared" si="43"/>
        <v>0.22317878514313255</v>
      </c>
      <c r="U86" s="435"/>
      <c r="V86" s="444"/>
      <c r="W86" s="32"/>
      <c r="X86" s="436">
        <v>2.64</v>
      </c>
      <c r="Y86" s="33">
        <f t="shared" si="53"/>
        <v>311184.72000000003</v>
      </c>
      <c r="Z86" s="33"/>
      <c r="AA86" s="33"/>
      <c r="AB86" s="605"/>
      <c r="AC86" s="469"/>
    </row>
    <row r="87" spans="1:29" x14ac:dyDescent="0.3">
      <c r="A87" s="682">
        <v>43546.458333333336</v>
      </c>
      <c r="B87" s="682">
        <v>43547.666666666664</v>
      </c>
      <c r="C87" s="146"/>
      <c r="D87" s="701"/>
      <c r="E87" s="109" t="s">
        <v>413</v>
      </c>
      <c r="F87" s="25" t="s">
        <v>39</v>
      </c>
      <c r="G87" s="434">
        <v>27606</v>
      </c>
      <c r="H87" s="449" t="s">
        <v>40</v>
      </c>
      <c r="I87" s="449">
        <v>88000</v>
      </c>
      <c r="J87" s="434">
        <f t="shared" si="54"/>
        <v>-60394</v>
      </c>
      <c r="K87" s="27">
        <f t="shared" si="46"/>
        <v>1.2083333333284827</v>
      </c>
      <c r="L87" s="448">
        <f>[220]Dimitra2!$F$54</f>
        <v>0.59895833331756876</v>
      </c>
      <c r="M87" s="434">
        <f t="shared" si="48"/>
        <v>22846.34482767792</v>
      </c>
      <c r="N87" s="434">
        <f t="shared" si="49"/>
        <v>46090.017392517439</v>
      </c>
      <c r="O87" s="449">
        <v>30000</v>
      </c>
      <c r="P87" s="69">
        <f>(71920/10000)*8.7</f>
        <v>62.570399999999999</v>
      </c>
      <c r="Q87" s="69">
        <f>(65353/10000)*8.7</f>
        <v>56.857109999999999</v>
      </c>
      <c r="R87" s="455">
        <f t="shared" si="52"/>
        <v>5.7132900000000006</v>
      </c>
      <c r="S87" s="435">
        <f t="shared" si="50"/>
        <v>0.23788306889806571</v>
      </c>
      <c r="T87" s="435">
        <f t="shared" si="43"/>
        <v>0.24348031757802016</v>
      </c>
      <c r="U87" s="450"/>
      <c r="V87" s="133"/>
      <c r="W87" s="24"/>
      <c r="X87" s="436">
        <v>2.64</v>
      </c>
      <c r="Y87" s="33">
        <f t="shared" si="53"/>
        <v>72879.839999999997</v>
      </c>
      <c r="Z87" s="33"/>
      <c r="AA87" s="33"/>
      <c r="AB87" s="696"/>
      <c r="AC87" s="469"/>
    </row>
    <row r="88" spans="1:29" x14ac:dyDescent="0.3">
      <c r="A88" s="682">
        <v>43548.364583333336</v>
      </c>
      <c r="B88" s="682">
        <v>43549.493055555555</v>
      </c>
      <c r="C88" s="146"/>
      <c r="D88" s="701"/>
      <c r="E88" s="109" t="s">
        <v>414</v>
      </c>
      <c r="F88" s="25" t="s">
        <v>32</v>
      </c>
      <c r="G88" s="434">
        <v>33556</v>
      </c>
      <c r="H88" s="449" t="s">
        <v>49</v>
      </c>
      <c r="I88" s="449">
        <v>73100</v>
      </c>
      <c r="J88" s="434">
        <f t="shared" si="54"/>
        <v>-39544</v>
      </c>
      <c r="K88" s="27">
        <f t="shared" si="46"/>
        <v>1.1284722222189885</v>
      </c>
      <c r="L88" s="448">
        <f>[220]Melbourne!$F$52</f>
        <v>0.63368055554747116</v>
      </c>
      <c r="M88" s="434">
        <f t="shared" si="48"/>
        <v>29735.778461623671</v>
      </c>
      <c r="N88" s="434">
        <f t="shared" si="49"/>
        <v>52954.126028072838</v>
      </c>
      <c r="O88" s="449">
        <v>30000</v>
      </c>
      <c r="P88" s="69">
        <f>(182066/10000)*8.7</f>
        <v>158.39742000000001</v>
      </c>
      <c r="Q88" s="69">
        <f>(176417/10000)*8.7</f>
        <v>153.48278999999999</v>
      </c>
      <c r="R88" s="455">
        <f t="shared" si="52"/>
        <v>4.9146300000000167</v>
      </c>
      <c r="S88" s="435">
        <f t="shared" si="50"/>
        <v>0.1683454523781148</v>
      </c>
      <c r="T88" s="435">
        <f t="shared" si="43"/>
        <v>0.17230652184583511</v>
      </c>
      <c r="U88" s="450"/>
      <c r="V88" s="133"/>
      <c r="W88" s="24"/>
      <c r="X88" s="436">
        <v>2.64</v>
      </c>
      <c r="Y88" s="33">
        <f>G88*X88</f>
        <v>88587.840000000011</v>
      </c>
      <c r="Z88" s="33"/>
      <c r="AA88" s="33"/>
      <c r="AB88" s="696"/>
      <c r="AC88" s="469"/>
    </row>
    <row r="89" spans="1:29" x14ac:dyDescent="0.3">
      <c r="A89" s="682">
        <v>43551.701388888891</v>
      </c>
      <c r="B89" s="682">
        <v>43553.048611111109</v>
      </c>
      <c r="C89" s="146"/>
      <c r="D89" s="701"/>
      <c r="E89" s="109" t="s">
        <v>109</v>
      </c>
      <c r="F89" s="25" t="s">
        <v>32</v>
      </c>
      <c r="G89" s="434">
        <v>45873</v>
      </c>
      <c r="H89" s="449" t="s">
        <v>33</v>
      </c>
      <c r="I89" s="449">
        <v>67600</v>
      </c>
      <c r="J89" s="434">
        <f t="shared" si="54"/>
        <v>-21727</v>
      </c>
      <c r="K89" s="27">
        <f t="shared" si="46"/>
        <v>1.3472222222189885</v>
      </c>
      <c r="L89" s="448">
        <f>'[220]Yue Dian 81'!$F$59</f>
        <v>0.94097222221171251</v>
      </c>
      <c r="M89" s="434">
        <f t="shared" si="48"/>
        <v>34050.061855751832</v>
      </c>
      <c r="N89" s="434">
        <f t="shared" si="49"/>
        <v>48750.642066965163</v>
      </c>
      <c r="O89" s="449">
        <v>30000</v>
      </c>
      <c r="P89" s="69">
        <f>(173668/10000)*8.7</f>
        <v>151.09116</v>
      </c>
      <c r="Q89" s="69">
        <f>(167248/10000)*8.7</f>
        <v>145.50575999999998</v>
      </c>
      <c r="R89" s="455">
        <f t="shared" si="52"/>
        <v>5.5854000000000212</v>
      </c>
      <c r="S89" s="435">
        <f t="shared" si="50"/>
        <v>0.13995160551958721</v>
      </c>
      <c r="T89" s="435">
        <f t="shared" ref="T89:T105" si="55">R89/8.5*10000/(G89)</f>
        <v>0.14324458447298927</v>
      </c>
      <c r="U89" s="450"/>
      <c r="V89" s="133"/>
      <c r="W89" s="24"/>
      <c r="X89" s="436">
        <v>2.64</v>
      </c>
      <c r="Y89" s="33">
        <f>G89*X89</f>
        <v>121104.72</v>
      </c>
      <c r="Z89" s="33"/>
      <c r="AA89" s="33"/>
      <c r="AB89" s="696"/>
      <c r="AC89" s="469"/>
    </row>
    <row r="90" spans="1:29" x14ac:dyDescent="0.3">
      <c r="A90" s="682">
        <v>43555.076388888891</v>
      </c>
      <c r="B90" s="682">
        <v>43557.791666666664</v>
      </c>
      <c r="C90" s="23"/>
      <c r="D90" s="25"/>
      <c r="E90" s="35" t="s">
        <v>495</v>
      </c>
      <c r="F90" s="36" t="s">
        <v>32</v>
      </c>
      <c r="G90" s="433">
        <v>67038</v>
      </c>
      <c r="H90" s="433" t="s">
        <v>36</v>
      </c>
      <c r="I90" s="433">
        <v>67000</v>
      </c>
      <c r="J90" s="434">
        <f t="shared" si="54"/>
        <v>38</v>
      </c>
      <c r="K90" s="27">
        <f t="shared" si="46"/>
        <v>2.7152777777737356</v>
      </c>
      <c r="L90" s="27">
        <f>'[221]Arimbi Baruna'!$F$108</f>
        <v>1.3906249999769595</v>
      </c>
      <c r="M90" s="434">
        <f t="shared" si="48"/>
        <v>24689.186700804017</v>
      </c>
      <c r="N90" s="434">
        <f t="shared" si="49"/>
        <v>48207.101124394219</v>
      </c>
      <c r="O90" s="434">
        <v>30000</v>
      </c>
      <c r="P90" s="69">
        <f>(164224/10000)*8.7</f>
        <v>142.87487999999999</v>
      </c>
      <c r="Q90" s="69">
        <f>(150843/10000)*8.7</f>
        <v>131.23340999999999</v>
      </c>
      <c r="R90" s="455">
        <f t="shared" si="52"/>
        <v>11.641469999999998</v>
      </c>
      <c r="S90" s="435">
        <f t="shared" si="50"/>
        <v>0.19960321011963361</v>
      </c>
      <c r="T90" s="435">
        <f t="shared" si="55"/>
        <v>0.20429975624009558</v>
      </c>
      <c r="U90" s="435"/>
      <c r="V90" s="444"/>
      <c r="W90" s="32"/>
      <c r="X90" s="436">
        <v>2.64</v>
      </c>
      <c r="Y90" s="33">
        <f t="shared" ref="Y90:Y94" si="56">G90*X90</f>
        <v>176980.32</v>
      </c>
      <c r="Z90" s="33"/>
      <c r="AA90" s="33"/>
      <c r="AB90" s="438"/>
      <c r="AC90" s="469"/>
    </row>
    <row r="91" spans="1:29" x14ac:dyDescent="0.3">
      <c r="A91" s="682">
        <v>43559.743055555555</v>
      </c>
      <c r="B91" s="682">
        <v>43560.909722222219</v>
      </c>
      <c r="C91" s="23"/>
      <c r="D91" s="25"/>
      <c r="E91" s="71" t="s">
        <v>416</v>
      </c>
      <c r="F91" s="83" t="s">
        <v>32</v>
      </c>
      <c r="G91" s="567">
        <v>25784</v>
      </c>
      <c r="H91" s="560" t="s">
        <v>33</v>
      </c>
      <c r="I91" s="535">
        <v>54100</v>
      </c>
      <c r="J91" s="462">
        <f>(G91)-I91</f>
        <v>-28316</v>
      </c>
      <c r="K91" s="476">
        <f t="shared" si="46"/>
        <v>1.1666666666642413</v>
      </c>
      <c r="L91" s="476">
        <f>'[221]Rong Yuan'!$F$48</f>
        <v>0.91666666666787933</v>
      </c>
      <c r="M91" s="462">
        <f t="shared" si="48"/>
        <v>22100.571428617372</v>
      </c>
      <c r="N91" s="462">
        <f t="shared" si="49"/>
        <v>28127.999999962791</v>
      </c>
      <c r="O91" s="434">
        <v>30000</v>
      </c>
      <c r="P91" s="69">
        <f>(147844/10000)*8.7</f>
        <v>128.62428</v>
      </c>
      <c r="Q91" s="69">
        <f>(141434/10000)*8.7</f>
        <v>123.04757999999998</v>
      </c>
      <c r="R91" s="455">
        <f t="shared" si="52"/>
        <v>5.5767000000000166</v>
      </c>
      <c r="S91" s="435">
        <f t="shared" si="50"/>
        <v>0.24860378529320587</v>
      </c>
      <c r="T91" s="435">
        <f t="shared" si="55"/>
        <v>0.25445328612363421</v>
      </c>
      <c r="U91" s="435"/>
      <c r="V91" s="444"/>
      <c r="W91" s="32"/>
      <c r="X91" s="436">
        <v>2.64</v>
      </c>
      <c r="Y91" s="33">
        <f t="shared" si="56"/>
        <v>68069.760000000009</v>
      </c>
      <c r="Z91" s="33"/>
      <c r="AA91" s="33"/>
      <c r="AB91" s="438"/>
      <c r="AC91" s="469"/>
    </row>
    <row r="92" spans="1:29" x14ac:dyDescent="0.3">
      <c r="A92" s="682">
        <v>43564.708333333336</v>
      </c>
      <c r="B92" s="682">
        <v>43566.166666666664</v>
      </c>
      <c r="C92" s="23"/>
      <c r="D92" s="25"/>
      <c r="E92" s="71" t="s">
        <v>124</v>
      </c>
      <c r="F92" s="83" t="s">
        <v>32</v>
      </c>
      <c r="G92" s="512">
        <v>30095</v>
      </c>
      <c r="H92" s="512" t="s">
        <v>33</v>
      </c>
      <c r="I92" s="535">
        <v>66812</v>
      </c>
      <c r="J92" s="462">
        <f>G92-I92</f>
        <v>-36717</v>
      </c>
      <c r="K92" s="476">
        <f t="shared" si="46"/>
        <v>1.4583333333284827</v>
      </c>
      <c r="L92" s="476">
        <f>'[221]Zheng Jie '!$F$56</f>
        <v>1.1284722222080745</v>
      </c>
      <c r="M92" s="462">
        <f t="shared" si="48"/>
        <v>20636.571428640069</v>
      </c>
      <c r="N92" s="462">
        <f t="shared" si="49"/>
        <v>26668.800000334348</v>
      </c>
      <c r="O92" s="434">
        <v>30000</v>
      </c>
      <c r="P92" s="69">
        <f>(135613/10000)*8.7</f>
        <v>117.98330999999999</v>
      </c>
      <c r="Q92" s="69">
        <f>(127643/10000)*8.7</f>
        <v>111.04940999999999</v>
      </c>
      <c r="R92" s="455">
        <f t="shared" si="52"/>
        <v>6.9338999999999942</v>
      </c>
      <c r="S92" s="435">
        <f t="shared" si="50"/>
        <v>0.26482804452566849</v>
      </c>
      <c r="T92" s="435">
        <f t="shared" si="55"/>
        <v>0.27105929263215484</v>
      </c>
      <c r="U92" s="435"/>
      <c r="V92" s="444"/>
      <c r="W92" s="32"/>
      <c r="X92" s="436">
        <v>2.64</v>
      </c>
      <c r="Y92" s="33">
        <f t="shared" si="56"/>
        <v>79450.8</v>
      </c>
      <c r="Z92" s="33"/>
      <c r="AA92" s="33"/>
      <c r="AB92" s="438"/>
      <c r="AC92" s="469"/>
    </row>
    <row r="93" spans="1:29" x14ac:dyDescent="0.3">
      <c r="A93" s="682">
        <v>43566.597222222219</v>
      </c>
      <c r="B93" s="682">
        <v>43568.440972222219</v>
      </c>
      <c r="C93" s="23"/>
      <c r="D93" s="25"/>
      <c r="E93" s="71" t="s">
        <v>103</v>
      </c>
      <c r="F93" s="83" t="s">
        <v>32</v>
      </c>
      <c r="G93" s="512">
        <v>36747</v>
      </c>
      <c r="H93" s="512" t="s">
        <v>36</v>
      </c>
      <c r="I93" s="535">
        <v>67000</v>
      </c>
      <c r="J93" s="462">
        <f>G93-I93</f>
        <v>-30253</v>
      </c>
      <c r="K93" s="476">
        <f t="shared" si="46"/>
        <v>1.84375</v>
      </c>
      <c r="L93" s="476">
        <f>'[221]Dewi Parwati'!$F$79</f>
        <v>1.3489583333430346</v>
      </c>
      <c r="M93" s="462">
        <f t="shared" si="48"/>
        <v>19930.576271186441</v>
      </c>
      <c r="N93" s="462">
        <f t="shared" si="49"/>
        <v>27241.019304823396</v>
      </c>
      <c r="O93" s="434">
        <v>30000</v>
      </c>
      <c r="P93" s="69">
        <f>(126543/10000)*8.7</f>
        <v>110.09240999999999</v>
      </c>
      <c r="Q93" s="69">
        <f>(117431/10000)*8.7</f>
        <v>102.16497</v>
      </c>
      <c r="R93" s="455">
        <f t="shared" si="52"/>
        <v>7.9274399999999901</v>
      </c>
      <c r="S93" s="435">
        <f t="shared" si="50"/>
        <v>0.24796582033907499</v>
      </c>
      <c r="T93" s="435">
        <f t="shared" si="55"/>
        <v>0.25380031022940619</v>
      </c>
      <c r="U93" s="435"/>
      <c r="V93" s="444"/>
      <c r="W93" s="32"/>
      <c r="X93" s="436">
        <v>2.64</v>
      </c>
      <c r="Y93" s="33">
        <f t="shared" si="56"/>
        <v>97012.08</v>
      </c>
      <c r="Z93" s="33"/>
      <c r="AA93" s="33"/>
      <c r="AB93" s="438"/>
      <c r="AC93" s="469"/>
    </row>
    <row r="94" spans="1:29" x14ac:dyDescent="0.3">
      <c r="A94" s="682">
        <v>43569.847222222219</v>
      </c>
      <c r="B94" s="682">
        <v>43571.576388888891</v>
      </c>
      <c r="C94" s="146"/>
      <c r="D94" s="25"/>
      <c r="E94" s="193" t="s">
        <v>497</v>
      </c>
      <c r="F94" s="606" t="s">
        <v>91</v>
      </c>
      <c r="G94" s="512">
        <v>36614</v>
      </c>
      <c r="H94" s="607"/>
      <c r="I94" s="608"/>
      <c r="J94" s="462"/>
      <c r="K94" s="476">
        <f t="shared" si="46"/>
        <v>1.7291666666715173</v>
      </c>
      <c r="L94" s="609">
        <f>'[221]Cape Star'!$F$45</f>
        <v>6.9444444452528842E-3</v>
      </c>
      <c r="M94" s="462">
        <f t="shared" si="48"/>
        <v>21174.361445723735</v>
      </c>
      <c r="N94" s="462"/>
      <c r="O94" s="491">
        <v>30000</v>
      </c>
      <c r="P94" s="69">
        <f>(114937/10000)*8.7</f>
        <v>99.995189999999994</v>
      </c>
      <c r="Q94" s="69">
        <f>(105864/10000)*8.7</f>
        <v>92.101679999999988</v>
      </c>
      <c r="R94" s="455">
        <f t="shared" si="52"/>
        <v>7.8935100000000062</v>
      </c>
      <c r="S94" s="435">
        <f t="shared" si="50"/>
        <v>0.24780138744742469</v>
      </c>
      <c r="T94" s="435">
        <f t="shared" si="55"/>
        <v>0.25363200832854049</v>
      </c>
      <c r="U94" s="435"/>
      <c r="V94" s="444"/>
      <c r="W94" s="32"/>
      <c r="X94" s="436">
        <v>2.64</v>
      </c>
      <c r="Y94" s="33">
        <f t="shared" si="56"/>
        <v>96660.96</v>
      </c>
      <c r="Z94" s="33"/>
      <c r="AA94" s="33"/>
      <c r="AB94" s="452"/>
      <c r="AC94" s="469"/>
    </row>
    <row r="95" spans="1:29" x14ac:dyDescent="0.3">
      <c r="A95" s="682">
        <v>43581.715277777781</v>
      </c>
      <c r="B95" s="682">
        <v>43585.923611111109</v>
      </c>
      <c r="C95" s="228"/>
      <c r="D95" s="83"/>
      <c r="E95" s="193" t="s">
        <v>165</v>
      </c>
      <c r="F95" s="606" t="s">
        <v>32</v>
      </c>
      <c r="G95" s="610">
        <v>67400</v>
      </c>
      <c r="H95" s="607" t="s">
        <v>33</v>
      </c>
      <c r="I95" s="610">
        <v>67400</v>
      </c>
      <c r="J95" s="434">
        <f>G95-I95</f>
        <v>0</v>
      </c>
      <c r="K95" s="476">
        <f t="shared" si="46"/>
        <v>4.2083333333284827</v>
      </c>
      <c r="L95" s="609">
        <f>'[221]CHANG SHENG'!$F$108</f>
        <v>2.0364583333527357</v>
      </c>
      <c r="M95" s="462">
        <f t="shared" si="48"/>
        <v>16015.841584176876</v>
      </c>
      <c r="N95" s="462">
        <f t="shared" ref="N95:N105" si="57">(G95)/L95</f>
        <v>33096.67519150053</v>
      </c>
      <c r="O95" s="611">
        <v>30000</v>
      </c>
      <c r="P95" s="69">
        <f>(89400/10000)*8.7</f>
        <v>77.777999999999992</v>
      </c>
      <c r="Q95" s="69">
        <f>(71914/10000)*8.7</f>
        <v>62.565179999999991</v>
      </c>
      <c r="R95" s="455">
        <f t="shared" si="52"/>
        <v>15.212820000000001</v>
      </c>
      <c r="S95" s="435">
        <f t="shared" si="50"/>
        <v>0.25943620178041543</v>
      </c>
      <c r="T95" s="435">
        <f t="shared" si="55"/>
        <v>0.26554058299877814</v>
      </c>
      <c r="U95" s="612"/>
      <c r="V95" s="613"/>
      <c r="W95" s="413"/>
      <c r="X95" s="436">
        <v>2.64</v>
      </c>
      <c r="Y95" s="33">
        <f>G95*X95</f>
        <v>177936</v>
      </c>
      <c r="Z95" s="58"/>
      <c r="AA95" s="58"/>
      <c r="AB95" s="614"/>
      <c r="AC95" s="615"/>
    </row>
    <row r="96" spans="1:29" x14ac:dyDescent="0.3">
      <c r="A96" s="682">
        <v>43586.680555555555</v>
      </c>
      <c r="B96" s="682">
        <v>43589.423611111109</v>
      </c>
      <c r="C96" s="23"/>
      <c r="D96" s="25"/>
      <c r="E96" s="193" t="s">
        <v>498</v>
      </c>
      <c r="F96" s="45" t="s">
        <v>32</v>
      </c>
      <c r="G96" s="433">
        <v>71500</v>
      </c>
      <c r="H96" s="433" t="s">
        <v>33</v>
      </c>
      <c r="I96" s="433">
        <v>71500</v>
      </c>
      <c r="J96" s="434">
        <f t="shared" ref="J96:J100" si="58">G96-I96</f>
        <v>0</v>
      </c>
      <c r="K96" s="27">
        <f t="shared" ref="K96:K101" si="59">B96-A96</f>
        <v>2.7430555555547471</v>
      </c>
      <c r="L96" s="27">
        <f>'[222]SEACON 9'!$F$108</f>
        <v>1.671875000007276</v>
      </c>
      <c r="M96" s="434">
        <f t="shared" si="48"/>
        <v>26065.82278481781</v>
      </c>
      <c r="N96" s="434">
        <f t="shared" si="57"/>
        <v>42766.3551400008</v>
      </c>
      <c r="O96" s="434">
        <v>30000</v>
      </c>
      <c r="P96" s="69">
        <f>(70954/10000)*8.7</f>
        <v>61.729979999999991</v>
      </c>
      <c r="Q96" s="69">
        <f>(56410/10000)*8.7</f>
        <v>49.076699999999995</v>
      </c>
      <c r="R96" s="455">
        <f t="shared" ref="R96:R101" si="60">P96-Q96</f>
        <v>12.653279999999995</v>
      </c>
      <c r="S96" s="435">
        <f t="shared" si="50"/>
        <v>0.20341258741258733</v>
      </c>
      <c r="T96" s="435">
        <f t="shared" si="55"/>
        <v>0.20819876593994233</v>
      </c>
      <c r="U96" s="435"/>
      <c r="V96" s="444"/>
      <c r="W96" s="32"/>
      <c r="X96" s="436">
        <v>2.64</v>
      </c>
      <c r="Y96" s="33">
        <f t="shared" ref="Y96:Y102" si="61">G96*X96</f>
        <v>188760</v>
      </c>
      <c r="Z96" s="33"/>
      <c r="AA96" s="33"/>
      <c r="AB96" s="605"/>
      <c r="AC96" s="469"/>
    </row>
    <row r="97" spans="1:29" x14ac:dyDescent="0.3">
      <c r="A97" s="682">
        <v>43589.784722222219</v>
      </c>
      <c r="B97" s="682">
        <v>43591.819444444445</v>
      </c>
      <c r="C97" s="23"/>
      <c r="D97" s="25"/>
      <c r="E97" s="35" t="s">
        <v>499</v>
      </c>
      <c r="F97" s="45" t="s">
        <v>32</v>
      </c>
      <c r="G97" s="433">
        <v>55145</v>
      </c>
      <c r="H97" s="433" t="s">
        <v>33</v>
      </c>
      <c r="I97" s="433">
        <v>74664</v>
      </c>
      <c r="J97" s="434">
        <f t="shared" si="58"/>
        <v>-19519</v>
      </c>
      <c r="K97" s="27">
        <f t="shared" si="59"/>
        <v>2.0347222222262644</v>
      </c>
      <c r="L97" s="27">
        <f>[222]MALAKAND!$F$93</f>
        <v>1.0017361111131322</v>
      </c>
      <c r="M97" s="434">
        <f t="shared" si="48"/>
        <v>27101.979522130459</v>
      </c>
      <c r="N97" s="434">
        <f t="shared" si="57"/>
        <v>55049.428076145428</v>
      </c>
      <c r="O97" s="434">
        <v>30000</v>
      </c>
      <c r="P97" s="69">
        <f>(56060/10000)*8.7</f>
        <v>48.772199999999998</v>
      </c>
      <c r="Q97" s="69">
        <f>(47180/10000)*8.7</f>
        <v>41.046599999999998</v>
      </c>
      <c r="R97" s="455">
        <f t="shared" si="60"/>
        <v>7.7256</v>
      </c>
      <c r="S97" s="435">
        <f t="shared" si="50"/>
        <v>0.16103001178710674</v>
      </c>
      <c r="T97" s="435">
        <f t="shared" si="55"/>
        <v>0.16481895324092102</v>
      </c>
      <c r="U97" s="435"/>
      <c r="V97" s="444"/>
      <c r="W97" s="32"/>
      <c r="X97" s="436">
        <v>2.64</v>
      </c>
      <c r="Y97" s="33">
        <f t="shared" si="61"/>
        <v>145582.80000000002</v>
      </c>
      <c r="Z97" s="33"/>
      <c r="AA97" s="33"/>
      <c r="AB97" s="605"/>
      <c r="AC97" s="469"/>
    </row>
    <row r="98" spans="1:29" x14ac:dyDescent="0.3">
      <c r="A98" s="682">
        <v>43594.833333333336</v>
      </c>
      <c r="B98" s="682">
        <v>43599.958333333336</v>
      </c>
      <c r="C98" s="23"/>
      <c r="D98" s="25"/>
      <c r="E98" s="35" t="s">
        <v>500</v>
      </c>
      <c r="F98" s="45" t="s">
        <v>39</v>
      </c>
      <c r="G98" s="433">
        <v>88000</v>
      </c>
      <c r="H98" s="433" t="s">
        <v>40</v>
      </c>
      <c r="I98" s="433">
        <v>88000</v>
      </c>
      <c r="J98" s="434">
        <f t="shared" si="58"/>
        <v>0</v>
      </c>
      <c r="K98" s="27">
        <f t="shared" si="59"/>
        <v>5.125</v>
      </c>
      <c r="L98" s="27">
        <f>'[222]BOTTIGLIERI SOPHIE GREEN'!$F$141</f>
        <v>3.656249999992724</v>
      </c>
      <c r="M98" s="434">
        <f t="shared" si="48"/>
        <v>17170.731707317074</v>
      </c>
      <c r="N98" s="434">
        <f t="shared" si="57"/>
        <v>24068.376068423964</v>
      </c>
      <c r="O98" s="434">
        <v>30000</v>
      </c>
      <c r="P98" s="69">
        <f>(159859/10000)*8.7</f>
        <v>139.07732999999999</v>
      </c>
      <c r="Q98" s="69">
        <f>(136782/10000)*8.7</f>
        <v>119.00033999999999</v>
      </c>
      <c r="R98" s="455">
        <f t="shared" si="60"/>
        <v>20.076989999999995</v>
      </c>
      <c r="S98" s="435">
        <f t="shared" si="50"/>
        <v>0.26223863636363631</v>
      </c>
      <c r="T98" s="435">
        <f t="shared" si="55"/>
        <v>0.26840895721925129</v>
      </c>
      <c r="U98" s="435"/>
      <c r="V98" s="444"/>
      <c r="W98" s="32"/>
      <c r="X98" s="436">
        <v>2.64</v>
      </c>
      <c r="Y98" s="33">
        <f t="shared" si="61"/>
        <v>232320</v>
      </c>
      <c r="Z98" s="33"/>
      <c r="AA98" s="33"/>
      <c r="AB98" s="605"/>
      <c r="AC98" s="469"/>
    </row>
    <row r="99" spans="1:29" x14ac:dyDescent="0.3">
      <c r="A99" s="682">
        <v>43600.354166666664</v>
      </c>
      <c r="B99" s="682">
        <v>43601.673611111109</v>
      </c>
      <c r="C99" s="23"/>
      <c r="D99" s="25"/>
      <c r="E99" s="35" t="s">
        <v>102</v>
      </c>
      <c r="F99" s="45" t="s">
        <v>32</v>
      </c>
      <c r="G99" s="433">
        <v>34817</v>
      </c>
      <c r="H99" s="433" t="s">
        <v>33</v>
      </c>
      <c r="I99" s="433">
        <v>71500</v>
      </c>
      <c r="J99" s="434">
        <f t="shared" si="58"/>
        <v>-36683</v>
      </c>
      <c r="K99" s="27">
        <f t="shared" si="59"/>
        <v>1.3194444444452529</v>
      </c>
      <c r="L99" s="27">
        <f>'[222]SHAO SHAN 1'!$F$66</f>
        <v>0.82291666666424135</v>
      </c>
      <c r="M99" s="434">
        <f t="shared" si="48"/>
        <v>26387.62105261541</v>
      </c>
      <c r="N99" s="434">
        <f t="shared" si="57"/>
        <v>42309.265822909503</v>
      </c>
      <c r="O99" s="434">
        <v>30000</v>
      </c>
      <c r="P99" s="69">
        <f>(136398/10000)*8.7</f>
        <v>118.66625999999998</v>
      </c>
      <c r="Q99" s="69">
        <f>(129232/10000)*8.7</f>
        <v>112.43183999999999</v>
      </c>
      <c r="R99" s="455">
        <f t="shared" si="60"/>
        <v>6.2344199999999859</v>
      </c>
      <c r="S99" s="435">
        <f t="shared" si="50"/>
        <v>0.20581899646724258</v>
      </c>
      <c r="T99" s="435">
        <f t="shared" si="55"/>
        <v>0.21066179638411886</v>
      </c>
      <c r="U99" s="455">
        <f>S99-T99</f>
        <v>-4.8427999168762781E-3</v>
      </c>
      <c r="V99" s="444"/>
      <c r="W99" s="32"/>
      <c r="X99" s="436">
        <v>2.64</v>
      </c>
      <c r="Y99" s="33">
        <f t="shared" si="61"/>
        <v>91916.88</v>
      </c>
      <c r="Z99" s="33"/>
      <c r="AA99" s="33"/>
      <c r="AB99" s="605"/>
      <c r="AC99" s="469"/>
    </row>
    <row r="100" spans="1:29" x14ac:dyDescent="0.3">
      <c r="A100" s="682">
        <v>43601.958333333336</v>
      </c>
      <c r="B100" s="682">
        <v>43603.104166666664</v>
      </c>
      <c r="C100" s="23"/>
      <c r="D100" s="25"/>
      <c r="E100" s="35" t="s">
        <v>421</v>
      </c>
      <c r="F100" s="45" t="s">
        <v>32</v>
      </c>
      <c r="G100" s="433">
        <v>25779</v>
      </c>
      <c r="H100" s="433" t="s">
        <v>33</v>
      </c>
      <c r="I100" s="433">
        <v>55050</v>
      </c>
      <c r="J100" s="434">
        <f t="shared" si="58"/>
        <v>-29271</v>
      </c>
      <c r="K100" s="27">
        <f t="shared" si="59"/>
        <v>1.1458333333284827</v>
      </c>
      <c r="L100" s="27">
        <f>'[222]YM RIGHTNESS'!$F$62</f>
        <v>0.51736111111677019</v>
      </c>
      <c r="M100" s="434">
        <f t="shared" si="48"/>
        <v>22498.036363731604</v>
      </c>
      <c r="N100" s="434">
        <f t="shared" si="57"/>
        <v>49827.865771267047</v>
      </c>
      <c r="O100" s="434">
        <v>30000</v>
      </c>
      <c r="P100" s="69">
        <f>(128794/10000)*8.7</f>
        <v>112.05077999999999</v>
      </c>
      <c r="Q100" s="69">
        <f>(122627/10000)*8.7</f>
        <v>106.68549</v>
      </c>
      <c r="R100" s="455">
        <f t="shared" si="60"/>
        <v>5.3652899999999875</v>
      </c>
      <c r="S100" s="435">
        <f t="shared" si="50"/>
        <v>0.23922572636642173</v>
      </c>
      <c r="T100" s="435">
        <f t="shared" si="55"/>
        <v>0.24485456698680813</v>
      </c>
      <c r="U100" s="435"/>
      <c r="V100" s="444"/>
      <c r="W100" s="32"/>
      <c r="X100" s="436">
        <v>2.64</v>
      </c>
      <c r="Y100" s="33">
        <f t="shared" si="61"/>
        <v>68056.56</v>
      </c>
      <c r="Z100" s="33"/>
      <c r="AA100" s="33"/>
      <c r="AB100" s="605"/>
      <c r="AC100" s="469"/>
    </row>
    <row r="101" spans="1:29" x14ac:dyDescent="0.3">
      <c r="A101" s="682">
        <v>43603.993055555555</v>
      </c>
      <c r="B101" s="682">
        <v>43607.145833333336</v>
      </c>
      <c r="C101" s="23"/>
      <c r="D101" s="25"/>
      <c r="E101" s="35" t="s">
        <v>423</v>
      </c>
      <c r="F101" s="45" t="s">
        <v>91</v>
      </c>
      <c r="G101" s="433">
        <v>78331</v>
      </c>
      <c r="H101" s="433" t="s">
        <v>33</v>
      </c>
      <c r="I101" s="433">
        <v>154000</v>
      </c>
      <c r="J101" s="434">
        <f>G101-I101</f>
        <v>-75669</v>
      </c>
      <c r="K101" s="27">
        <f t="shared" si="59"/>
        <v>3.1527777777810115</v>
      </c>
      <c r="L101" s="27">
        <f>'[222]LOWLAND PHOENIX'!$F$118</f>
        <v>1.7968750000145519</v>
      </c>
      <c r="M101" s="434">
        <f t="shared" si="48"/>
        <v>24845.074889842359</v>
      </c>
      <c r="N101" s="434">
        <f t="shared" si="57"/>
        <v>43592.90434747305</v>
      </c>
      <c r="O101" s="434">
        <v>30000</v>
      </c>
      <c r="P101" s="69">
        <f>(121333/10000)*8.7</f>
        <v>105.55971</v>
      </c>
      <c r="Q101" s="69">
        <f>(105195/10000)*8.7</f>
        <v>91.519649999999999</v>
      </c>
      <c r="R101" s="455">
        <f t="shared" si="60"/>
        <v>14.040059999999997</v>
      </c>
      <c r="S101" s="435">
        <f t="shared" si="50"/>
        <v>0.20602315813662531</v>
      </c>
      <c r="T101" s="435">
        <f t="shared" si="55"/>
        <v>0.21087076185748707</v>
      </c>
      <c r="U101" s="435"/>
      <c r="V101" s="444"/>
      <c r="W101" s="32"/>
      <c r="X101" s="436">
        <v>2.64</v>
      </c>
      <c r="Y101" s="33">
        <f t="shared" si="61"/>
        <v>206793.84</v>
      </c>
      <c r="Z101" s="33"/>
      <c r="AA101" s="33"/>
      <c r="AB101" s="605"/>
      <c r="AC101" s="469"/>
    </row>
    <row r="102" spans="1:29" x14ac:dyDescent="0.3">
      <c r="A102" s="682">
        <v>43607.708333333336</v>
      </c>
      <c r="B102" s="682">
        <v>43609.895833333336</v>
      </c>
      <c r="C102" s="23"/>
      <c r="D102" s="25"/>
      <c r="E102" s="35" t="s">
        <v>331</v>
      </c>
      <c r="F102" s="45" t="s">
        <v>32</v>
      </c>
      <c r="G102" s="433">
        <v>50686</v>
      </c>
      <c r="H102" s="433" t="s">
        <v>33</v>
      </c>
      <c r="I102" s="433">
        <v>71500</v>
      </c>
      <c r="J102" s="434">
        <f>G102-I102</f>
        <v>-20814</v>
      </c>
      <c r="K102" s="27">
        <f>B102-A102</f>
        <v>2.1875</v>
      </c>
      <c r="L102" s="27">
        <f>'[222]NENG YUAN'!$F$87</f>
        <v>1.3229166666715173</v>
      </c>
      <c r="M102" s="434">
        <f t="shared" si="48"/>
        <v>23170.742857142857</v>
      </c>
      <c r="N102" s="434">
        <f t="shared" si="57"/>
        <v>38313.826771513064</v>
      </c>
      <c r="O102" s="434">
        <v>30000</v>
      </c>
      <c r="P102" s="69">
        <f>(103946/10000)*8.7</f>
        <v>90.433019999999999</v>
      </c>
      <c r="Q102" s="69">
        <f>(92853/10000)*8.7</f>
        <v>80.782109999999989</v>
      </c>
      <c r="R102" s="455">
        <f>P102-Q102</f>
        <v>9.6509100000000103</v>
      </c>
      <c r="S102" s="435">
        <f t="shared" si="50"/>
        <v>0.21885727814386641</v>
      </c>
      <c r="T102" s="435">
        <f t="shared" si="55"/>
        <v>0.22400686115901619</v>
      </c>
      <c r="U102" s="435"/>
      <c r="V102" s="444"/>
      <c r="W102" s="32"/>
      <c r="X102" s="436">
        <v>2.64</v>
      </c>
      <c r="Y102" s="33">
        <f t="shared" si="61"/>
        <v>133811.04</v>
      </c>
      <c r="Z102" s="33"/>
      <c r="AA102" s="33"/>
      <c r="AB102" s="605"/>
      <c r="AC102" s="469"/>
    </row>
    <row r="103" spans="1:29" x14ac:dyDescent="0.3">
      <c r="A103" s="682">
        <v>43610.881944444445</v>
      </c>
      <c r="B103" s="682">
        <v>43612.541666666664</v>
      </c>
      <c r="C103" s="23"/>
      <c r="D103" s="25"/>
      <c r="E103" s="35" t="s">
        <v>426</v>
      </c>
      <c r="F103" s="45" t="s">
        <v>91</v>
      </c>
      <c r="G103" s="433">
        <v>45762</v>
      </c>
      <c r="H103" s="433" t="s">
        <v>49</v>
      </c>
      <c r="I103" s="433">
        <v>161847</v>
      </c>
      <c r="J103" s="434">
        <f>G103-I103</f>
        <v>-116085</v>
      </c>
      <c r="K103" s="27">
        <f>B103-A103</f>
        <v>1.6597222222189885</v>
      </c>
      <c r="L103" s="27">
        <f>[222]SUNLIGHT!$F$75</f>
        <v>1.0156249999818101</v>
      </c>
      <c r="M103" s="434">
        <f t="shared" si="48"/>
        <v>27572.08368206209</v>
      </c>
      <c r="N103" s="434">
        <f t="shared" si="57"/>
        <v>45057.969231576222</v>
      </c>
      <c r="O103" s="434">
        <v>30000</v>
      </c>
      <c r="P103" s="69">
        <f>(91437/10000)*8.7</f>
        <v>79.550190000000001</v>
      </c>
      <c r="Q103" s="69">
        <f>(82638/10000)*8.7</f>
        <v>71.895059999999987</v>
      </c>
      <c r="R103" s="455">
        <f>P103-Q103</f>
        <v>7.655130000000014</v>
      </c>
      <c r="S103" s="435">
        <f t="shared" si="50"/>
        <v>0.19227743542677367</v>
      </c>
      <c r="T103" s="435">
        <f t="shared" si="55"/>
        <v>0.19680161037799188</v>
      </c>
      <c r="U103" s="435"/>
      <c r="V103" s="444"/>
      <c r="W103" s="32"/>
      <c r="X103" s="436">
        <v>2.64</v>
      </c>
      <c r="Y103" s="33">
        <f>G103*X103</f>
        <v>120811.68000000001</v>
      </c>
      <c r="Z103" s="33"/>
      <c r="AA103" s="33"/>
      <c r="AB103" s="605"/>
      <c r="AC103" s="469"/>
    </row>
    <row r="104" spans="1:29" x14ac:dyDescent="0.3">
      <c r="A104" s="682">
        <v>43612.743055555555</v>
      </c>
      <c r="B104" s="682">
        <v>43614.6875</v>
      </c>
      <c r="C104" s="23"/>
      <c r="D104" s="25"/>
      <c r="E104" s="35" t="s">
        <v>427</v>
      </c>
      <c r="F104" s="45" t="s">
        <v>39</v>
      </c>
      <c r="G104" s="433">
        <v>55657</v>
      </c>
      <c r="H104" s="433"/>
      <c r="I104" s="433"/>
      <c r="J104" s="434"/>
      <c r="K104" s="27">
        <f>B104-A104</f>
        <v>1.9444444444452529</v>
      </c>
      <c r="L104" s="27">
        <f>'[222]TW JIANGSU'!$F$85</f>
        <v>1.1284722222153505</v>
      </c>
      <c r="M104" s="434">
        <f t="shared" si="48"/>
        <v>28623.599999988099</v>
      </c>
      <c r="N104" s="434">
        <f t="shared" si="57"/>
        <v>49320.664615684953</v>
      </c>
      <c r="O104" s="434">
        <v>30000</v>
      </c>
      <c r="P104" s="69">
        <f>(82164/10000)*8.7</f>
        <v>71.482680000000002</v>
      </c>
      <c r="Q104" s="69">
        <f>(71783/10000)*8.7</f>
        <v>62.451209999999996</v>
      </c>
      <c r="R104" s="455">
        <f>P104-Q104</f>
        <v>9.0314700000000059</v>
      </c>
      <c r="S104" s="435">
        <f t="shared" ref="S104:S105" si="62">R104/8.7*10000/(G104)</f>
        <v>0.18651741919255452</v>
      </c>
      <c r="T104" s="435">
        <f t="shared" si="55"/>
        <v>0.19090606435002636</v>
      </c>
      <c r="U104" s="435"/>
      <c r="V104" s="444"/>
      <c r="W104" s="32"/>
      <c r="X104" s="436">
        <v>2.64</v>
      </c>
      <c r="Y104" s="33">
        <f>G104*X104</f>
        <v>146934.48000000001</v>
      </c>
      <c r="Z104" s="33"/>
      <c r="AA104" s="33"/>
      <c r="AB104" s="605"/>
      <c r="AC104" s="469"/>
    </row>
    <row r="105" spans="1:29" x14ac:dyDescent="0.3">
      <c r="A105" s="682">
        <v>43614.989583333336</v>
      </c>
      <c r="B105" s="682">
        <v>43615.375</v>
      </c>
      <c r="C105" s="23"/>
      <c r="D105" s="25"/>
      <c r="E105" s="35" t="s">
        <v>481</v>
      </c>
      <c r="F105" s="45" t="s">
        <v>91</v>
      </c>
      <c r="G105" s="433">
        <v>14130</v>
      </c>
      <c r="H105" s="433"/>
      <c r="I105" s="433"/>
      <c r="J105" s="434"/>
      <c r="K105" s="27">
        <f>B105-A105</f>
        <v>0.38541666666424135</v>
      </c>
      <c r="L105" s="27">
        <f>'[222]ETERNAL RESOURCE'!$F$31</f>
        <v>0.27777777778101154</v>
      </c>
      <c r="M105" s="434">
        <f t="shared" si="48"/>
        <v>36661.621621852326</v>
      </c>
      <c r="N105" s="434">
        <f t="shared" si="57"/>
        <v>50867.999999407817</v>
      </c>
      <c r="O105" s="434">
        <v>30000</v>
      </c>
      <c r="P105" s="69">
        <f>(71417/10000)*8.7</f>
        <v>62.132789999999993</v>
      </c>
      <c r="Q105" s="69">
        <f>(68697/10000)*8.7</f>
        <v>59.766389999999994</v>
      </c>
      <c r="R105" s="455">
        <f>P105-Q105</f>
        <v>2.3663999999999987</v>
      </c>
      <c r="S105" s="435">
        <f t="shared" si="62"/>
        <v>0.19249823071479114</v>
      </c>
      <c r="T105" s="435">
        <f t="shared" si="55"/>
        <v>0.1970276008492568</v>
      </c>
      <c r="U105" s="435"/>
      <c r="V105" s="444"/>
      <c r="W105" s="32"/>
      <c r="X105" s="436">
        <v>2.64</v>
      </c>
      <c r="Y105" s="33">
        <f>G105*X105</f>
        <v>37303.200000000004</v>
      </c>
      <c r="Z105" s="33"/>
      <c r="AA105" s="33"/>
      <c r="AB105" s="605"/>
      <c r="AC105" s="469"/>
    </row>
    <row r="106" spans="1:29" x14ac:dyDescent="0.3">
      <c r="A106" s="682">
        <v>43615.625</v>
      </c>
      <c r="B106" s="682">
        <v>43617.416666666664</v>
      </c>
      <c r="C106" s="23"/>
      <c r="D106" s="25"/>
      <c r="E106" s="35" t="s">
        <v>124</v>
      </c>
      <c r="F106" s="45" t="s">
        <v>32</v>
      </c>
      <c r="G106" s="433">
        <v>41471</v>
      </c>
      <c r="H106" s="433" t="s">
        <v>33</v>
      </c>
      <c r="I106" s="433">
        <v>70780</v>
      </c>
      <c r="J106" s="542">
        <f>(G106)-I106</f>
        <v>-29309</v>
      </c>
      <c r="K106" s="27">
        <f t="shared" ref="K106:K114" si="63">B106-A106</f>
        <v>1.7916666666642413</v>
      </c>
      <c r="L106" s="27">
        <f>'[223]ZHENG JIE'!$F$77</f>
        <v>1.031249999992724</v>
      </c>
      <c r="M106" s="434">
        <f t="shared" ref="M106:M113" si="64">(G106)/K106</f>
        <v>23146.604651194124</v>
      </c>
      <c r="N106" s="434">
        <f t="shared" ref="N106:N113" si="65">(G106)/L106</f>
        <v>40214.303030586758</v>
      </c>
      <c r="O106" s="434">
        <v>30000</v>
      </c>
      <c r="P106" s="69">
        <f>(68474/10000)*8.7</f>
        <v>59.572379999999995</v>
      </c>
      <c r="Q106" s="69">
        <f>(58902/10000)*8.7</f>
        <v>51.24474</v>
      </c>
      <c r="R106" s="455">
        <f t="shared" ref="R106:R111" si="66">P106-Q106</f>
        <v>8.3276399999999953</v>
      </c>
      <c r="S106" s="435">
        <f t="shared" ref="S106:S111" si="67">R106/8.7*10000/(G106)</f>
        <v>0.2308118926478743</v>
      </c>
      <c r="T106" s="435">
        <f t="shared" ref="T106:T111" si="68">R106/8.5*10000/(G106)</f>
        <v>0.23624276071017722</v>
      </c>
      <c r="U106" s="435"/>
      <c r="V106" s="444"/>
      <c r="W106" s="32"/>
      <c r="X106" s="436">
        <v>2.64</v>
      </c>
      <c r="Y106" s="33">
        <f t="shared" ref="Y106:Y111" si="69">G106*X106</f>
        <v>109483.44</v>
      </c>
      <c r="Z106" s="33"/>
      <c r="AA106" s="33"/>
      <c r="AB106" s="605"/>
      <c r="AC106" s="469"/>
    </row>
    <row r="107" spans="1:29" x14ac:dyDescent="0.3">
      <c r="A107" s="682">
        <v>43617.916666666664</v>
      </c>
      <c r="B107" s="682">
        <v>43619.423611111109</v>
      </c>
      <c r="C107" s="23"/>
      <c r="D107" s="25"/>
      <c r="E107" s="35" t="s">
        <v>429</v>
      </c>
      <c r="F107" s="45" t="s">
        <v>32</v>
      </c>
      <c r="G107" s="433">
        <v>18378</v>
      </c>
      <c r="H107" s="433" t="s">
        <v>33</v>
      </c>
      <c r="I107" s="433">
        <v>69430</v>
      </c>
      <c r="J107" s="542">
        <f>(G107)-I107</f>
        <v>-51052</v>
      </c>
      <c r="K107" s="27">
        <f t="shared" si="63"/>
        <v>1.5069444444452529</v>
      </c>
      <c r="L107" s="27">
        <f>'[223]NS NINGBO'!$F$40</f>
        <v>0.33159722222626442</v>
      </c>
      <c r="M107" s="434">
        <f t="shared" si="64"/>
        <v>12195.539170500369</v>
      </c>
      <c r="N107" s="434">
        <f t="shared" si="65"/>
        <v>55422.659685188264</v>
      </c>
      <c r="O107" s="434">
        <v>30000</v>
      </c>
      <c r="P107" s="69">
        <f>(58473/10000)*8.7</f>
        <v>50.871509999999994</v>
      </c>
      <c r="Q107" s="69">
        <f>(52974/10000)*8.7</f>
        <v>46.087379999999996</v>
      </c>
      <c r="R107" s="455">
        <f t="shared" si="66"/>
        <v>4.7841299999999976</v>
      </c>
      <c r="S107" s="435">
        <f t="shared" si="67"/>
        <v>0.29921645445641515</v>
      </c>
      <c r="T107" s="435">
        <f t="shared" si="68"/>
        <v>0.30625684162009553</v>
      </c>
      <c r="U107" s="435"/>
      <c r="V107" s="444"/>
      <c r="W107" s="32"/>
      <c r="X107" s="436">
        <v>2.64</v>
      </c>
      <c r="Y107" s="33">
        <f t="shared" si="69"/>
        <v>48517.920000000006</v>
      </c>
      <c r="Z107" s="33"/>
      <c r="AA107" s="33"/>
      <c r="AB107" s="605"/>
      <c r="AC107" s="469"/>
    </row>
    <row r="108" spans="1:29" x14ac:dyDescent="0.3">
      <c r="A108" s="682">
        <v>43623.763888888891</v>
      </c>
      <c r="B108" s="682">
        <v>43624.9375</v>
      </c>
      <c r="C108" s="23"/>
      <c r="D108" s="25"/>
      <c r="E108" s="35" t="s">
        <v>429</v>
      </c>
      <c r="F108" s="45" t="s">
        <v>32</v>
      </c>
      <c r="G108" s="433">
        <v>35856</v>
      </c>
      <c r="H108" s="433" t="s">
        <v>33</v>
      </c>
      <c r="I108" s="433"/>
      <c r="J108" s="542"/>
      <c r="K108" s="27">
        <f t="shared" si="63"/>
        <v>1.1736111111094942</v>
      </c>
      <c r="L108" s="27">
        <f>'[223]NS NINGBO 2'!$F$60</f>
        <v>0.70659722221898846</v>
      </c>
      <c r="M108" s="434">
        <f t="shared" si="64"/>
        <v>30551.857988207772</v>
      </c>
      <c r="N108" s="434">
        <f t="shared" si="65"/>
        <v>50744.609336841568</v>
      </c>
      <c r="O108" s="434">
        <v>30000</v>
      </c>
      <c r="P108" s="69">
        <f>(160951/10000)*8.7</f>
        <v>140.02736999999999</v>
      </c>
      <c r="Q108" s="69">
        <f>(153935/10000)*8.7</f>
        <v>133.92344999999997</v>
      </c>
      <c r="R108" s="455">
        <f t="shared" si="66"/>
        <v>6.1039200000000164</v>
      </c>
      <c r="S108" s="435">
        <f t="shared" si="67"/>
        <v>0.19567157518964803</v>
      </c>
      <c r="T108" s="435">
        <f t="shared" si="68"/>
        <v>0.20027561225293386</v>
      </c>
      <c r="U108" s="435"/>
      <c r="V108" s="444"/>
      <c r="W108" s="32"/>
      <c r="X108" s="436">
        <v>2.64</v>
      </c>
      <c r="Y108" s="33">
        <f t="shared" si="69"/>
        <v>94659.840000000011</v>
      </c>
      <c r="Z108" s="33"/>
      <c r="AA108" s="33"/>
      <c r="AB108" s="605"/>
      <c r="AC108" s="469"/>
    </row>
    <row r="109" spans="1:29" x14ac:dyDescent="0.3">
      <c r="A109" s="682">
        <v>43620.138888888891</v>
      </c>
      <c r="B109" s="682">
        <v>43620.840277777781</v>
      </c>
      <c r="C109" s="23"/>
      <c r="D109" s="25"/>
      <c r="E109" s="35" t="s">
        <v>41</v>
      </c>
      <c r="F109" s="45" t="s">
        <v>39</v>
      </c>
      <c r="G109" s="433">
        <v>18747</v>
      </c>
      <c r="H109" s="433" t="s">
        <v>40</v>
      </c>
      <c r="I109" s="433">
        <v>86558</v>
      </c>
      <c r="J109" s="542">
        <f t="shared" ref="J109:J121" si="70">(G109)-I109</f>
        <v>-67811</v>
      </c>
      <c r="K109" s="27">
        <f t="shared" si="63"/>
        <v>0.70138888889050577</v>
      </c>
      <c r="L109" s="27">
        <f>'[223]TAIPOWER PROSPERITY II'!$F$45</f>
        <v>0.36805555556566105</v>
      </c>
      <c r="M109" s="434">
        <f t="shared" si="64"/>
        <v>26728.396039542346</v>
      </c>
      <c r="N109" s="434">
        <f t="shared" si="65"/>
        <v>50935.245281620366</v>
      </c>
      <c r="O109" s="434">
        <v>30000</v>
      </c>
      <c r="P109" s="69">
        <f>(169515/10000)*8.7</f>
        <v>147.47805</v>
      </c>
      <c r="Q109" s="69">
        <f>(165510/10000)*8.7</f>
        <v>143.99369999999996</v>
      </c>
      <c r="R109" s="455">
        <f t="shared" si="66"/>
        <v>3.4843500000000347</v>
      </c>
      <c r="S109" s="435">
        <f t="shared" si="67"/>
        <v>0.21363418146903718</v>
      </c>
      <c r="T109" s="435">
        <f t="shared" si="68"/>
        <v>0.21866086809183805</v>
      </c>
      <c r="U109" s="435"/>
      <c r="V109" s="444"/>
      <c r="W109" s="32"/>
      <c r="X109" s="436">
        <v>2.64</v>
      </c>
      <c r="Y109" s="33">
        <f t="shared" si="69"/>
        <v>49492.08</v>
      </c>
      <c r="Z109" s="33"/>
      <c r="AA109" s="33"/>
      <c r="AB109" s="605"/>
      <c r="AC109" s="469"/>
    </row>
    <row r="110" spans="1:29" x14ac:dyDescent="0.3">
      <c r="A110" s="682">
        <v>43625.145833333336</v>
      </c>
      <c r="B110" s="682">
        <v>43625.958333333336</v>
      </c>
      <c r="C110" s="47"/>
      <c r="D110" s="25"/>
      <c r="E110" s="44" t="s">
        <v>50</v>
      </c>
      <c r="F110" s="36" t="s">
        <v>32</v>
      </c>
      <c r="G110" s="433">
        <v>11792</v>
      </c>
      <c r="H110" s="447"/>
      <c r="I110" s="447">
        <v>75500</v>
      </c>
      <c r="J110" s="542">
        <f t="shared" si="70"/>
        <v>-63708</v>
      </c>
      <c r="K110" s="27">
        <f t="shared" si="63"/>
        <v>0.8125</v>
      </c>
      <c r="L110" s="448">
        <f>'[223]TUO FU 11'!$F$36</f>
        <v>0.22743055555110914</v>
      </c>
      <c r="M110" s="434">
        <f t="shared" si="64"/>
        <v>14513.23076923077</v>
      </c>
      <c r="N110" s="434">
        <f t="shared" si="65"/>
        <v>51848.793894143448</v>
      </c>
      <c r="O110" s="449">
        <v>30000</v>
      </c>
      <c r="P110" s="69">
        <f>(153699/10000)*8.7</f>
        <v>133.71812999999997</v>
      </c>
      <c r="Q110" s="69">
        <f>(149679/10000)*8.7</f>
        <v>130.22073</v>
      </c>
      <c r="R110" s="455">
        <f t="shared" si="66"/>
        <v>3.4973999999999705</v>
      </c>
      <c r="S110" s="435">
        <f t="shared" si="67"/>
        <v>0.34090909090908805</v>
      </c>
      <c r="T110" s="435">
        <f t="shared" si="68"/>
        <v>0.34893048128341958</v>
      </c>
      <c r="U110" s="500"/>
      <c r="X110" s="436">
        <v>2.64</v>
      </c>
      <c r="Y110" s="33">
        <f t="shared" si="69"/>
        <v>31130.880000000001</v>
      </c>
      <c r="Z110" s="33"/>
      <c r="AB110" s="605"/>
      <c r="AC110" s="469"/>
    </row>
    <row r="111" spans="1:29" x14ac:dyDescent="0.3">
      <c r="A111" s="682">
        <v>43626.53125</v>
      </c>
      <c r="B111" s="439">
        <v>43630.8125</v>
      </c>
      <c r="C111" s="47"/>
      <c r="D111" s="25"/>
      <c r="E111" s="44" t="s">
        <v>262</v>
      </c>
      <c r="F111" s="36" t="s">
        <v>32</v>
      </c>
      <c r="G111" s="433">
        <v>64784</v>
      </c>
      <c r="H111" s="447" t="s">
        <v>33</v>
      </c>
      <c r="I111" s="447">
        <v>68000</v>
      </c>
      <c r="J111" s="434">
        <f t="shared" si="70"/>
        <v>-3216</v>
      </c>
      <c r="K111" s="27">
        <f t="shared" si="63"/>
        <v>4.28125</v>
      </c>
      <c r="L111" s="448">
        <f>'[223]XIN DONG GUAN 3'!$F$95</f>
        <v>1.2569444444452529</v>
      </c>
      <c r="M111" s="434">
        <f t="shared" si="64"/>
        <v>15132.029197080292</v>
      </c>
      <c r="N111" s="434">
        <f t="shared" si="65"/>
        <v>51540.861878419892</v>
      </c>
      <c r="O111" s="449">
        <v>30000</v>
      </c>
      <c r="P111" s="69">
        <f>(148952/10000)*8.7</f>
        <v>129.58823999999998</v>
      </c>
      <c r="Q111" s="69">
        <f>(136124/10000)*8.7</f>
        <v>118.42787999999999</v>
      </c>
      <c r="R111" s="455">
        <f t="shared" si="66"/>
        <v>11.160359999999997</v>
      </c>
      <c r="S111" s="435">
        <f t="shared" si="67"/>
        <v>0.19801185477895772</v>
      </c>
      <c r="T111" s="435">
        <f t="shared" si="68"/>
        <v>0.20267095724434495</v>
      </c>
      <c r="U111" s="500"/>
      <c r="X111" s="436">
        <v>2.64</v>
      </c>
      <c r="Y111" s="33">
        <f t="shared" si="69"/>
        <v>171029.76000000001</v>
      </c>
      <c r="Z111" s="33"/>
      <c r="AB111" s="605"/>
      <c r="AC111" s="469"/>
    </row>
    <row r="112" spans="1:29" x14ac:dyDescent="0.3">
      <c r="A112" s="682">
        <v>43637.180555555555</v>
      </c>
      <c r="B112" s="439">
        <v>43639.4375</v>
      </c>
      <c r="C112" s="47"/>
      <c r="D112" s="25"/>
      <c r="E112" s="44" t="s">
        <v>501</v>
      </c>
      <c r="F112" s="36" t="s">
        <v>39</v>
      </c>
      <c r="G112" s="433">
        <v>69600</v>
      </c>
      <c r="H112" s="447"/>
      <c r="I112" s="447">
        <v>69600</v>
      </c>
      <c r="J112" s="434">
        <f t="shared" si="70"/>
        <v>0</v>
      </c>
      <c r="K112" s="27">
        <f t="shared" si="63"/>
        <v>2.2569444444452529</v>
      </c>
      <c r="L112" s="448">
        <f>'[223]XIN TANG SHAN HAI 1'!$F$93</f>
        <v>1.5729166666751553</v>
      </c>
      <c r="M112" s="434">
        <f t="shared" si="64"/>
        <v>30838.153846142799</v>
      </c>
      <c r="N112" s="434">
        <f t="shared" si="65"/>
        <v>44249.006622277753</v>
      </c>
      <c r="O112" s="449">
        <v>30000</v>
      </c>
      <c r="P112" s="69">
        <f>(123107/10000)*8.7</f>
        <v>107.10308999999999</v>
      </c>
      <c r="Q112" s="69">
        <f>(111542/10000)*8.7</f>
        <v>97.041539999999983</v>
      </c>
      <c r="R112" s="455">
        <f t="shared" ref="R112:R175" si="71">P112-Q112</f>
        <v>10.061550000000011</v>
      </c>
      <c r="S112" s="435">
        <f t="shared" ref="S112:S118" si="72">R112/8.7*10000/(G112)</f>
        <v>0.16616379310344848</v>
      </c>
      <c r="T112" s="435">
        <f t="shared" ref="T112:T118" si="73">R112/8.5*10000/(G112)</f>
        <v>0.1700735294117649</v>
      </c>
      <c r="U112" s="500"/>
      <c r="X112" s="436">
        <v>2.64</v>
      </c>
      <c r="Y112" s="33">
        <f>G112*X112</f>
        <v>183744</v>
      </c>
      <c r="Z112" s="33"/>
      <c r="AB112" s="605"/>
      <c r="AC112" s="469"/>
    </row>
    <row r="113" spans="1:29" x14ac:dyDescent="0.3">
      <c r="A113" s="682">
        <v>43640.166666666664</v>
      </c>
      <c r="B113" s="439">
        <v>43644.618055555555</v>
      </c>
      <c r="C113" s="47"/>
      <c r="D113" s="25"/>
      <c r="E113" s="44" t="s">
        <v>120</v>
      </c>
      <c r="F113" s="36" t="s">
        <v>39</v>
      </c>
      <c r="G113" s="433">
        <v>89810</v>
      </c>
      <c r="H113" s="447"/>
      <c r="I113" s="433">
        <v>90000</v>
      </c>
      <c r="J113" s="434">
        <f t="shared" si="70"/>
        <v>-190</v>
      </c>
      <c r="K113" s="27">
        <f t="shared" si="63"/>
        <v>4.4513888888905058</v>
      </c>
      <c r="L113" s="448">
        <f>'[223]TAIPOWER PROSPERITY VI'!$F$124</f>
        <v>1.8541666666448389</v>
      </c>
      <c r="M113" s="434">
        <f t="shared" si="64"/>
        <v>20175.725429009832</v>
      </c>
      <c r="N113" s="434">
        <f t="shared" si="65"/>
        <v>48436.853933154482</v>
      </c>
      <c r="O113" s="449">
        <v>30000</v>
      </c>
      <c r="P113" s="69">
        <f>(109967/10000)*8.7</f>
        <v>95.671289999999999</v>
      </c>
      <c r="Q113" s="69">
        <f>(92689/10000)*8.7</f>
        <v>80.63942999999999</v>
      </c>
      <c r="R113" s="455">
        <f t="shared" si="71"/>
        <v>15.031860000000009</v>
      </c>
      <c r="S113" s="435">
        <f t="shared" si="72"/>
        <v>0.19238392161229273</v>
      </c>
      <c r="T113" s="435">
        <f t="shared" si="73"/>
        <v>0.19691060212081724</v>
      </c>
      <c r="U113" s="500"/>
      <c r="X113" s="436">
        <v>2.64</v>
      </c>
      <c r="Y113" s="33">
        <f>G113*X113</f>
        <v>237098.40000000002</v>
      </c>
      <c r="Z113" s="33"/>
      <c r="AB113" s="605"/>
      <c r="AC113" s="469"/>
    </row>
    <row r="114" spans="1:29" x14ac:dyDescent="0.3">
      <c r="A114" s="682">
        <v>43644.902777777781</v>
      </c>
      <c r="B114" s="439">
        <v>43646.465277777781</v>
      </c>
      <c r="C114" s="47"/>
      <c r="D114" s="25"/>
      <c r="E114" s="44" t="s">
        <v>127</v>
      </c>
      <c r="F114" s="36" t="s">
        <v>39</v>
      </c>
      <c r="G114" s="433">
        <v>32038</v>
      </c>
      <c r="H114" s="447"/>
      <c r="I114" s="433">
        <v>79315</v>
      </c>
      <c r="J114" s="434">
        <f t="shared" si="70"/>
        <v>-47277</v>
      </c>
      <c r="K114" s="27">
        <f t="shared" si="63"/>
        <v>1.5625</v>
      </c>
      <c r="L114" s="448">
        <f>'[223]PEDHOULAS CHERRY'!$F$57</f>
        <v>0.67187500000363798</v>
      </c>
      <c r="M114" s="434">
        <f>(G114)/K114</f>
        <v>20504.32</v>
      </c>
      <c r="N114" s="434">
        <f t="shared" ref="N114:N143" si="74">(G114)/L114</f>
        <v>47684.465116020874</v>
      </c>
      <c r="O114" s="449">
        <v>30000</v>
      </c>
      <c r="P114" s="69">
        <f>(92237/10000)*8.7</f>
        <v>80.246189999999984</v>
      </c>
      <c r="Q114" s="69">
        <f>(85395/10000)*8.7</f>
        <v>74.29365</v>
      </c>
      <c r="R114" s="455">
        <f t="shared" si="71"/>
        <v>5.9525399999999848</v>
      </c>
      <c r="S114" s="435">
        <f t="shared" si="72"/>
        <v>0.21355889880766538</v>
      </c>
      <c r="T114" s="435">
        <f t="shared" si="73"/>
        <v>0.21858381407372807</v>
      </c>
      <c r="U114" s="500"/>
      <c r="X114" s="436">
        <v>2.64</v>
      </c>
      <c r="Y114" s="33">
        <f>G114*X114</f>
        <v>84580.32</v>
      </c>
      <c r="Z114" s="33"/>
      <c r="AB114" s="605"/>
      <c r="AC114" s="469"/>
    </row>
    <row r="115" spans="1:29" x14ac:dyDescent="0.3">
      <c r="A115" s="439">
        <v>43650.166666666664</v>
      </c>
      <c r="B115" s="439">
        <v>43652.895833333336</v>
      </c>
      <c r="C115" s="23"/>
      <c r="D115" s="23"/>
      <c r="E115" s="35" t="s">
        <v>502</v>
      </c>
      <c r="F115" s="36" t="s">
        <v>32</v>
      </c>
      <c r="G115" s="433">
        <v>65000</v>
      </c>
      <c r="H115" s="433"/>
      <c r="I115" s="433">
        <v>65000</v>
      </c>
      <c r="J115" s="542">
        <f t="shared" si="70"/>
        <v>0</v>
      </c>
      <c r="K115" s="27">
        <f t="shared" ref="K115:K146" si="75">B115-A115</f>
        <v>2.7291666666715173</v>
      </c>
      <c r="L115" s="27">
        <f>'[224]THREE STARS'!$F$93</f>
        <v>1.2361111111167702</v>
      </c>
      <c r="M115" s="434">
        <f>(G115)/K115</f>
        <v>23816.793893087441</v>
      </c>
      <c r="N115" s="434">
        <f t="shared" si="74"/>
        <v>52584.269662680614</v>
      </c>
      <c r="O115" s="434">
        <v>30000</v>
      </c>
      <c r="P115" s="69">
        <f>(78698/10000)*8.7</f>
        <v>68.467259999999996</v>
      </c>
      <c r="Q115" s="69">
        <f>(67739/10000)*8.7</f>
        <v>58.932929999999999</v>
      </c>
      <c r="R115" s="455">
        <f t="shared" si="71"/>
        <v>9.5343299999999971</v>
      </c>
      <c r="S115" s="435">
        <f t="shared" si="72"/>
        <v>0.16859999999999994</v>
      </c>
      <c r="T115" s="435">
        <f t="shared" si="73"/>
        <v>0.17256705882352935</v>
      </c>
      <c r="U115" s="436"/>
      <c r="X115" s="436">
        <v>2.64</v>
      </c>
      <c r="Y115" s="33">
        <f t="shared" ref="Y115:Y123" si="76">G115*X115</f>
        <v>171600</v>
      </c>
      <c r="Z115" s="33"/>
      <c r="AB115" s="605"/>
      <c r="AC115" s="469"/>
    </row>
    <row r="116" spans="1:29" x14ac:dyDescent="0.3">
      <c r="A116" s="439">
        <v>43654.875</v>
      </c>
      <c r="B116" s="439">
        <v>43656.451388888891</v>
      </c>
      <c r="C116" s="23"/>
      <c r="D116" s="23"/>
      <c r="E116" s="35" t="s">
        <v>331</v>
      </c>
      <c r="F116" s="36" t="s">
        <v>32</v>
      </c>
      <c r="G116" s="433">
        <v>30198</v>
      </c>
      <c r="H116" s="433"/>
      <c r="I116" s="433">
        <v>75800</v>
      </c>
      <c r="J116" s="542">
        <f t="shared" si="70"/>
        <v>-45602</v>
      </c>
      <c r="K116" s="27">
        <f t="shared" si="75"/>
        <v>1.5763888888905058</v>
      </c>
      <c r="L116" s="27">
        <f>'[224]NENG YUAN'!$F$55</f>
        <v>0.69791666666424135</v>
      </c>
      <c r="M116" s="434">
        <f>(G116)/K116</f>
        <v>19156.440528614712</v>
      </c>
      <c r="N116" s="434">
        <f t="shared" si="74"/>
        <v>43268.776119553346</v>
      </c>
      <c r="O116" s="434">
        <v>30000</v>
      </c>
      <c r="P116" s="69">
        <f>(154225/10000)*8.7</f>
        <v>134.17574999999999</v>
      </c>
      <c r="Q116" s="69">
        <f>(147392/10000)*8.7</f>
        <v>128.23103999999998</v>
      </c>
      <c r="R116" s="455">
        <f t="shared" si="71"/>
        <v>5.9447100000000148</v>
      </c>
      <c r="S116" s="435">
        <f t="shared" si="72"/>
        <v>0.2262732631300092</v>
      </c>
      <c r="T116" s="435">
        <f t="shared" si="73"/>
        <v>0.23159733990953885</v>
      </c>
      <c r="U116" s="436"/>
      <c r="X116" s="436">
        <v>2.64</v>
      </c>
      <c r="Y116" s="33">
        <f t="shared" si="76"/>
        <v>79722.720000000001</v>
      </c>
      <c r="Z116" s="33"/>
      <c r="AB116" s="605"/>
      <c r="AC116" s="469"/>
    </row>
    <row r="117" spans="1:29" x14ac:dyDescent="0.3">
      <c r="A117" s="439">
        <v>43657.916666666664</v>
      </c>
      <c r="B117" s="439">
        <v>43660.760416666664</v>
      </c>
      <c r="C117" s="23"/>
      <c r="D117" s="23"/>
      <c r="E117" s="35" t="s">
        <v>120</v>
      </c>
      <c r="F117" s="36" t="s">
        <v>39</v>
      </c>
      <c r="G117" s="433">
        <v>90000</v>
      </c>
      <c r="H117" s="433"/>
      <c r="I117" s="433">
        <v>90000</v>
      </c>
      <c r="J117" s="542">
        <f t="shared" si="70"/>
        <v>0</v>
      </c>
      <c r="K117" s="27">
        <f t="shared" si="75"/>
        <v>2.84375</v>
      </c>
      <c r="L117" s="27">
        <f>'[224]TAIPOWER PROSPERITY VI'!$F$146</f>
        <v>1.6979166666593908</v>
      </c>
      <c r="M117" s="434">
        <f>(G117)/K117</f>
        <v>31648.351648351647</v>
      </c>
      <c r="N117" s="434">
        <f t="shared" si="74"/>
        <v>53006.134969552295</v>
      </c>
      <c r="O117" s="434">
        <v>30000</v>
      </c>
      <c r="P117" s="69">
        <f>(144971/10000)*8.7</f>
        <v>126.12476999999998</v>
      </c>
      <c r="Q117" s="69">
        <f>(130680/10000)*8.7</f>
        <v>113.69159999999999</v>
      </c>
      <c r="R117" s="455">
        <f t="shared" si="71"/>
        <v>12.43316999999999</v>
      </c>
      <c r="S117" s="435">
        <f t="shared" si="72"/>
        <v>0.15878888888888876</v>
      </c>
      <c r="T117" s="435">
        <f t="shared" si="73"/>
        <v>0.16252509803921555</v>
      </c>
      <c r="U117" s="436"/>
      <c r="X117" s="436">
        <v>2.64</v>
      </c>
      <c r="Y117" s="33">
        <f t="shared" si="76"/>
        <v>237600</v>
      </c>
      <c r="Z117" s="33"/>
      <c r="AB117" s="605"/>
      <c r="AC117" s="469"/>
    </row>
    <row r="118" spans="1:29" x14ac:dyDescent="0.3">
      <c r="A118" s="439">
        <v>43661.614583333336</v>
      </c>
      <c r="B118" s="439">
        <v>43663.003472222219</v>
      </c>
      <c r="C118" s="47"/>
      <c r="D118" s="47"/>
      <c r="E118" s="35" t="s">
        <v>503</v>
      </c>
      <c r="F118" s="36" t="s">
        <v>32</v>
      </c>
      <c r="G118" s="433">
        <v>31126</v>
      </c>
      <c r="H118" s="447"/>
      <c r="I118" s="433">
        <v>71500</v>
      </c>
      <c r="J118" s="542">
        <f t="shared" si="70"/>
        <v>-40374</v>
      </c>
      <c r="K118" s="27">
        <f t="shared" si="75"/>
        <v>1.3888888888832298</v>
      </c>
      <c r="L118" s="448">
        <f>'[224]JIAN QIN'!$F$58</f>
        <v>0.62847222222626442</v>
      </c>
      <c r="M118" s="434">
        <f>(G118)/K118</f>
        <v>22410.720000091314</v>
      </c>
      <c r="N118" s="434">
        <f t="shared" si="74"/>
        <v>49526.453038355488</v>
      </c>
      <c r="O118" s="434">
        <v>30000</v>
      </c>
      <c r="P118" s="69">
        <f>(129082/10000)*8.7</f>
        <v>112.30134</v>
      </c>
      <c r="Q118" s="69">
        <f>(123169/10000)*8.7</f>
        <v>107.15702999999999</v>
      </c>
      <c r="R118" s="455">
        <f t="shared" si="71"/>
        <v>5.1443100000000044</v>
      </c>
      <c r="S118" s="435">
        <f t="shared" si="72"/>
        <v>0.18996980016706311</v>
      </c>
      <c r="T118" s="435">
        <f t="shared" si="73"/>
        <v>0.19443967781805277</v>
      </c>
      <c r="U118" s="500"/>
      <c r="X118" s="436">
        <v>2.64</v>
      </c>
      <c r="Y118" s="33">
        <f t="shared" si="76"/>
        <v>82172.639999999999</v>
      </c>
      <c r="Z118" s="33"/>
      <c r="AB118" s="616"/>
      <c r="AC118" s="469"/>
    </row>
    <row r="119" spans="1:29" x14ac:dyDescent="0.3">
      <c r="A119" s="439">
        <v>43663.600694444445</v>
      </c>
      <c r="B119" s="439">
        <v>43666.298611111109</v>
      </c>
      <c r="C119" s="47"/>
      <c r="D119" s="47"/>
      <c r="E119" s="35" t="s">
        <v>505</v>
      </c>
      <c r="F119" s="36" t="s">
        <v>91</v>
      </c>
      <c r="G119" s="433">
        <v>75146</v>
      </c>
      <c r="H119" s="447"/>
      <c r="I119" s="433">
        <v>90000</v>
      </c>
      <c r="J119" s="434">
        <f t="shared" si="70"/>
        <v>-14854</v>
      </c>
      <c r="K119" s="27">
        <f t="shared" si="75"/>
        <v>2.6979166666642413</v>
      </c>
      <c r="L119" s="448">
        <f>'[224]CHINA ENERGY'!$F$107</f>
        <v>1.4895833333321207</v>
      </c>
      <c r="M119" s="434">
        <f>(G119+G120)/K119</f>
        <v>41775.567567605125</v>
      </c>
      <c r="N119" s="434">
        <f t="shared" si="74"/>
        <v>50447.664335705405</v>
      </c>
      <c r="O119" s="434">
        <v>30000</v>
      </c>
      <c r="P119" s="69">
        <f>(121879/10000)*8.7</f>
        <v>106.03473</v>
      </c>
      <c r="Q119" s="69">
        <f>(108771/10000)*8.7</f>
        <v>94.630769999999998</v>
      </c>
      <c r="R119" s="455">
        <f t="shared" si="71"/>
        <v>11.403959999999998</v>
      </c>
      <c r="S119" s="435">
        <f>R119/8.7*10000/(G119+G120)</f>
        <v>0.11630156068389719</v>
      </c>
      <c r="T119" s="435">
        <f>R119/8.5*10000/(G119+G120)</f>
        <v>0.11903806799410652</v>
      </c>
      <c r="U119" s="500"/>
      <c r="X119" s="436">
        <v>2.64</v>
      </c>
      <c r="Y119" s="33">
        <f t="shared" si="76"/>
        <v>198385.44</v>
      </c>
      <c r="Z119" s="33"/>
      <c r="AB119" s="616"/>
      <c r="AC119" s="469"/>
    </row>
    <row r="120" spans="1:29" x14ac:dyDescent="0.3">
      <c r="A120" s="439">
        <v>43667.052083333336</v>
      </c>
      <c r="B120" s="439">
        <v>43668.291666666664</v>
      </c>
      <c r="C120" s="47"/>
      <c r="D120" s="47"/>
      <c r="E120" s="35" t="s">
        <v>50</v>
      </c>
      <c r="F120" s="36" t="s">
        <v>32</v>
      </c>
      <c r="G120" s="433">
        <v>37561</v>
      </c>
      <c r="H120" s="447"/>
      <c r="I120" s="447">
        <v>75100</v>
      </c>
      <c r="J120" s="434">
        <f t="shared" si="70"/>
        <v>-37539</v>
      </c>
      <c r="K120" s="27">
        <f t="shared" si="75"/>
        <v>1.2395833333284827</v>
      </c>
      <c r="L120" s="448">
        <f>'[224]TUO FU 11'!$F$51</f>
        <v>0.72395833333939663</v>
      </c>
      <c r="M120" s="434">
        <f t="shared" ref="M120:M143" si="77">(G120)/K120</f>
        <v>30301.31092448832</v>
      </c>
      <c r="N120" s="434">
        <f t="shared" si="74"/>
        <v>51882.820143450364</v>
      </c>
      <c r="O120" s="434">
        <v>30000</v>
      </c>
      <c r="P120" s="69">
        <f>(107683/10000)*8.7</f>
        <v>93.684209999999993</v>
      </c>
      <c r="Q120" s="69">
        <f>(101194/10000)*8.7</f>
        <v>88.038780000000003</v>
      </c>
      <c r="R120" s="455">
        <f t="shared" si="71"/>
        <v>5.6454299999999904</v>
      </c>
      <c r="S120" s="435">
        <f t="shared" ref="S120:S143" si="78">R120/8.7*10000/(G120)</f>
        <v>0.17275897872793561</v>
      </c>
      <c r="T120" s="435">
        <f t="shared" ref="T120:T143" si="79">R120/8.5*10000/(G120)</f>
        <v>0.17682389587447525</v>
      </c>
      <c r="U120" s="500"/>
      <c r="X120" s="436">
        <v>2.64</v>
      </c>
      <c r="Y120" s="33">
        <f t="shared" si="76"/>
        <v>99161.040000000008</v>
      </c>
      <c r="Z120" s="33"/>
      <c r="AB120" s="616"/>
      <c r="AC120" s="469"/>
    </row>
    <row r="121" spans="1:29" x14ac:dyDescent="0.3">
      <c r="A121" s="439">
        <v>43669.680555555555</v>
      </c>
      <c r="B121" s="439">
        <v>43671.020833333336</v>
      </c>
      <c r="C121" s="47"/>
      <c r="D121" s="47"/>
      <c r="E121" s="35" t="s">
        <v>225</v>
      </c>
      <c r="F121" s="36" t="s">
        <v>32</v>
      </c>
      <c r="G121" s="433">
        <v>45571</v>
      </c>
      <c r="H121" s="447"/>
      <c r="I121" s="447">
        <v>63700</v>
      </c>
      <c r="J121" s="434">
        <f t="shared" si="70"/>
        <v>-18129</v>
      </c>
      <c r="K121" s="27">
        <f t="shared" si="75"/>
        <v>1.3402777777810115</v>
      </c>
      <c r="L121" s="448">
        <f>'[224]YI HUI'!$F$74</f>
        <v>0.86805555555474712</v>
      </c>
      <c r="M121" s="434">
        <f t="shared" si="77"/>
        <v>34001.160621679621</v>
      </c>
      <c r="N121" s="434">
        <f t="shared" si="74"/>
        <v>52497.792000048896</v>
      </c>
      <c r="O121" s="434">
        <v>30000</v>
      </c>
      <c r="P121" s="69">
        <f>(99086/10000)*8.7</f>
        <v>86.204819999999998</v>
      </c>
      <c r="Q121" s="69">
        <f>(91916/10000)*8.7</f>
        <v>79.966919999999988</v>
      </c>
      <c r="R121" s="455">
        <f t="shared" si="71"/>
        <v>6.2379000000000104</v>
      </c>
      <c r="S121" s="435">
        <f t="shared" si="78"/>
        <v>0.15733690285488605</v>
      </c>
      <c r="T121" s="435">
        <f t="shared" si="79"/>
        <v>0.16103894762794221</v>
      </c>
      <c r="U121" s="500"/>
      <c r="V121" s="444"/>
      <c r="W121" s="32"/>
      <c r="X121" s="436">
        <v>2.64</v>
      </c>
      <c r="Y121" s="33">
        <f t="shared" si="76"/>
        <v>120307.44</v>
      </c>
      <c r="Z121" s="33"/>
      <c r="AA121" s="33"/>
      <c r="AB121" s="616"/>
      <c r="AC121" s="469"/>
    </row>
    <row r="122" spans="1:29" x14ac:dyDescent="0.3">
      <c r="A122" s="439">
        <v>43671.638888888891</v>
      </c>
      <c r="B122" s="439">
        <v>43673.236111111109</v>
      </c>
      <c r="C122" s="47"/>
      <c r="D122" s="47"/>
      <c r="E122" s="35" t="s">
        <v>506</v>
      </c>
      <c r="F122" s="36" t="s">
        <v>32</v>
      </c>
      <c r="G122" s="24">
        <v>52961</v>
      </c>
      <c r="H122" s="447"/>
      <c r="I122" s="433">
        <v>73500</v>
      </c>
      <c r="J122" s="434">
        <f>(G126)-I122</f>
        <v>-24696</v>
      </c>
      <c r="K122" s="27">
        <f t="shared" si="75"/>
        <v>1.5972222222189885</v>
      </c>
      <c r="L122" s="448">
        <f>'[224]CHANG SHENG'!$F$82</f>
        <v>1.0208333333248447</v>
      </c>
      <c r="M122" s="434">
        <f t="shared" si="77"/>
        <v>33158.191304414955</v>
      </c>
      <c r="N122" s="434">
        <f t="shared" si="74"/>
        <v>51880.163265737523</v>
      </c>
      <c r="O122" s="434">
        <v>30000</v>
      </c>
      <c r="P122" s="69">
        <f>(91081/10000)*8.7</f>
        <v>79.240470000000002</v>
      </c>
      <c r="Q122" s="69">
        <f>(82580/10000)*8.7</f>
        <v>71.844599999999986</v>
      </c>
      <c r="R122" s="455">
        <f t="shared" si="71"/>
        <v>7.3958700000000164</v>
      </c>
      <c r="S122" s="435">
        <f t="shared" si="78"/>
        <v>0.16051434074130058</v>
      </c>
      <c r="T122" s="435">
        <f t="shared" si="79"/>
        <v>0.16429114875874293</v>
      </c>
      <c r="U122" s="500"/>
      <c r="V122" s="444"/>
      <c r="W122" s="32"/>
      <c r="X122" s="436">
        <v>2.64</v>
      </c>
      <c r="Y122" s="33">
        <f t="shared" si="76"/>
        <v>139817.04</v>
      </c>
      <c r="Z122" s="33"/>
      <c r="AA122" s="33"/>
      <c r="AB122" s="616"/>
      <c r="AC122" s="469"/>
    </row>
    <row r="123" spans="1:29" x14ac:dyDescent="0.3">
      <c r="A123" s="439">
        <v>43673.666666666664</v>
      </c>
      <c r="B123" s="439">
        <v>43677.020833333336</v>
      </c>
      <c r="C123" s="47"/>
      <c r="D123" s="47"/>
      <c r="E123" s="35" t="s">
        <v>44</v>
      </c>
      <c r="F123" s="36" t="s">
        <v>39</v>
      </c>
      <c r="G123" s="433">
        <v>89560</v>
      </c>
      <c r="H123" s="447"/>
      <c r="I123" s="433">
        <v>89550</v>
      </c>
      <c r="J123" s="434">
        <f t="shared" ref="J123:J132" si="80">(G123)-I123</f>
        <v>10</v>
      </c>
      <c r="K123" s="27">
        <f t="shared" si="75"/>
        <v>3.3541666666715173</v>
      </c>
      <c r="L123" s="448">
        <f>'[224]TAIPOWER PROSPERITY VIII'!$F$126</f>
        <v>1.7673611111240461</v>
      </c>
      <c r="M123" s="434">
        <f t="shared" si="77"/>
        <v>26701.118012383748</v>
      </c>
      <c r="N123" s="434">
        <f t="shared" si="74"/>
        <v>50674.420431849161</v>
      </c>
      <c r="O123" s="434">
        <v>30000</v>
      </c>
      <c r="P123" s="69">
        <f>(81784/10000)*8.7</f>
        <v>71.152079999999998</v>
      </c>
      <c r="Q123" s="69">
        <f>(66720/10000)*8.7</f>
        <v>58.046399999999991</v>
      </c>
      <c r="R123" s="455">
        <f t="shared" si="71"/>
        <v>13.105680000000007</v>
      </c>
      <c r="S123" s="435">
        <f t="shared" si="78"/>
        <v>0.16820008932559188</v>
      </c>
      <c r="T123" s="435">
        <f t="shared" si="79"/>
        <v>0.17215773848619401</v>
      </c>
      <c r="U123" s="500"/>
      <c r="V123" s="444"/>
      <c r="W123" s="32"/>
      <c r="X123" s="436">
        <v>2.64</v>
      </c>
      <c r="Y123" s="33">
        <f t="shared" si="76"/>
        <v>236438.40000000002</v>
      </c>
      <c r="Z123" s="33"/>
      <c r="AA123" s="33"/>
      <c r="AB123" s="616"/>
      <c r="AC123" s="469"/>
    </row>
    <row r="124" spans="1:29" x14ac:dyDescent="0.3">
      <c r="A124" s="439">
        <v>43684.847222222219</v>
      </c>
      <c r="B124" s="439">
        <v>43687.472222222219</v>
      </c>
      <c r="C124" s="23"/>
      <c r="D124" s="23"/>
      <c r="E124" s="35" t="s">
        <v>507</v>
      </c>
      <c r="F124" s="36" t="s">
        <v>39</v>
      </c>
      <c r="G124" s="433">
        <v>83450</v>
      </c>
      <c r="H124" s="433"/>
      <c r="I124" s="433">
        <v>83450</v>
      </c>
      <c r="J124" s="434">
        <f t="shared" si="80"/>
        <v>0</v>
      </c>
      <c r="K124" s="27">
        <f t="shared" si="75"/>
        <v>2.625</v>
      </c>
      <c r="L124" s="27">
        <f>'[225]CEMTEX HUNTER'!$F$114</f>
        <v>1.7795138888977817</v>
      </c>
      <c r="M124" s="434">
        <f t="shared" si="77"/>
        <v>31790.476190476191</v>
      </c>
      <c r="N124" s="434">
        <f t="shared" si="74"/>
        <v>46894.829268058333</v>
      </c>
      <c r="O124" s="434">
        <v>30000</v>
      </c>
      <c r="P124" s="69">
        <f>(152919/10000)*8.7</f>
        <v>133.03952999999998</v>
      </c>
      <c r="Q124" s="69">
        <f>(139933/10000)*8.7</f>
        <v>121.74170999999998</v>
      </c>
      <c r="R124" s="455">
        <f t="shared" si="71"/>
        <v>11.297820000000002</v>
      </c>
      <c r="S124" s="435">
        <f t="shared" si="78"/>
        <v>0.15561414020371483</v>
      </c>
      <c r="T124" s="435">
        <f t="shared" si="79"/>
        <v>0.15927564938497871</v>
      </c>
      <c r="U124" s="436"/>
      <c r="V124" s="444"/>
      <c r="W124" s="32"/>
      <c r="X124" s="436">
        <v>2.64</v>
      </c>
      <c r="Y124" s="33">
        <f>G124*X124</f>
        <v>220308</v>
      </c>
      <c r="Z124" s="33"/>
      <c r="AA124" s="33"/>
      <c r="AB124" s="605"/>
      <c r="AC124" s="469"/>
    </row>
    <row r="125" spans="1:29" x14ac:dyDescent="0.3">
      <c r="A125" s="439">
        <v>43690.708333333336</v>
      </c>
      <c r="B125" s="439">
        <v>43695.513888888891</v>
      </c>
      <c r="C125" s="23"/>
      <c r="D125" s="23"/>
      <c r="E125" s="35" t="s">
        <v>44</v>
      </c>
      <c r="F125" s="36" t="s">
        <v>39</v>
      </c>
      <c r="G125" s="433">
        <v>90002</v>
      </c>
      <c r="H125" s="433"/>
      <c r="I125" s="433">
        <v>89850</v>
      </c>
      <c r="J125" s="434">
        <f t="shared" si="80"/>
        <v>152</v>
      </c>
      <c r="K125" s="27">
        <f t="shared" si="75"/>
        <v>4.8055555555547471</v>
      </c>
      <c r="L125" s="27">
        <f>'[225]TAIPOWER PROSPERITY VII'!$F$155</f>
        <v>1.8090277777616091</v>
      </c>
      <c r="M125" s="434">
        <f t="shared" si="77"/>
        <v>18728.739884396215</v>
      </c>
      <c r="N125" s="434">
        <f t="shared" si="74"/>
        <v>49751.585413112618</v>
      </c>
      <c r="O125" s="434">
        <v>30000</v>
      </c>
      <c r="P125" s="69">
        <f>(134492/10000)*8.7</f>
        <v>117.00803999999998</v>
      </c>
      <c r="Q125" s="69">
        <f>(116300/10000)*8.7</f>
        <v>101.181</v>
      </c>
      <c r="R125" s="455">
        <f t="shared" si="71"/>
        <v>15.827039999999982</v>
      </c>
      <c r="S125" s="435">
        <f t="shared" si="78"/>
        <v>0.20212884158129799</v>
      </c>
      <c r="T125" s="435">
        <f t="shared" si="79"/>
        <v>0.20688481432438732</v>
      </c>
      <c r="U125" s="436"/>
      <c r="V125" s="444"/>
      <c r="W125" s="32"/>
      <c r="X125" s="436">
        <v>2.64</v>
      </c>
      <c r="Y125" s="33">
        <f>G125*X125</f>
        <v>237605.28</v>
      </c>
      <c r="Z125" s="33"/>
      <c r="AA125" s="33"/>
      <c r="AB125" s="605"/>
      <c r="AC125" s="469"/>
    </row>
    <row r="126" spans="1:29" x14ac:dyDescent="0.3">
      <c r="A126" s="439">
        <v>43697.868055555555</v>
      </c>
      <c r="B126" s="439">
        <v>43699.961805555555</v>
      </c>
      <c r="C126" s="23"/>
      <c r="D126" s="23"/>
      <c r="E126" s="35" t="s">
        <v>165</v>
      </c>
      <c r="F126" s="36" t="s">
        <v>32</v>
      </c>
      <c r="G126" s="433">
        <v>48804</v>
      </c>
      <c r="H126" s="433"/>
      <c r="I126" s="433">
        <v>67400</v>
      </c>
      <c r="J126" s="434">
        <f t="shared" si="80"/>
        <v>-18596</v>
      </c>
      <c r="K126" s="27">
        <f t="shared" si="75"/>
        <v>2.09375</v>
      </c>
      <c r="L126" s="27">
        <f>'[225]CHANG SHENG'!$F$75</f>
        <v>1.0381944444440403</v>
      </c>
      <c r="M126" s="434">
        <f t="shared" si="77"/>
        <v>23309.373134328358</v>
      </c>
      <c r="N126" s="434">
        <f t="shared" si="74"/>
        <v>47008.535117075153</v>
      </c>
      <c r="O126" s="434">
        <v>30000</v>
      </c>
      <c r="P126" s="69">
        <f>(112190/10000)*8.7</f>
        <v>97.605299999999986</v>
      </c>
      <c r="Q126" s="69">
        <f>(103280/10000)*8.7</f>
        <v>89.853599999999986</v>
      </c>
      <c r="R126" s="455">
        <f t="shared" si="71"/>
        <v>7.7516999999999996</v>
      </c>
      <c r="S126" s="435">
        <f t="shared" si="78"/>
        <v>0.18256700270469634</v>
      </c>
      <c r="T126" s="435">
        <f t="shared" si="79"/>
        <v>0.18686269688598331</v>
      </c>
      <c r="U126" s="436"/>
      <c r="X126" s="436">
        <v>2.64</v>
      </c>
      <c r="Y126" s="33">
        <f>G126*X126</f>
        <v>128842.56000000001</v>
      </c>
      <c r="Z126" s="33"/>
      <c r="AB126" s="605"/>
      <c r="AC126" s="469"/>
    </row>
    <row r="127" spans="1:29" x14ac:dyDescent="0.3">
      <c r="A127" s="439">
        <v>43703.958333333336</v>
      </c>
      <c r="B127" s="439">
        <v>43707.236111111109</v>
      </c>
      <c r="C127" s="23"/>
      <c r="D127" s="23"/>
      <c r="E127" s="44" t="s">
        <v>305</v>
      </c>
      <c r="F127" s="36" t="s">
        <v>91</v>
      </c>
      <c r="G127" s="433">
        <v>82447</v>
      </c>
      <c r="H127" s="433"/>
      <c r="I127" s="433">
        <v>162090</v>
      </c>
      <c r="J127" s="26">
        <f t="shared" si="80"/>
        <v>-79643</v>
      </c>
      <c r="K127" s="27">
        <f t="shared" si="75"/>
        <v>3.2777777777737356</v>
      </c>
      <c r="L127" s="27">
        <f>'[225]MINERAL DRAGON'!$F$114</f>
        <v>1.7690972222044365</v>
      </c>
      <c r="M127" s="434">
        <f t="shared" si="77"/>
        <v>25153.322033929326</v>
      </c>
      <c r="N127" s="434">
        <f t="shared" si="74"/>
        <v>46603.996075051458</v>
      </c>
      <c r="O127" s="434">
        <v>30000</v>
      </c>
      <c r="P127" s="69">
        <f>(96500/10000)*8.7</f>
        <v>83.954999999999998</v>
      </c>
      <c r="Q127" s="69">
        <f>(80360/10000)*8.7</f>
        <v>69.913199999999989</v>
      </c>
      <c r="R127" s="455">
        <f t="shared" si="71"/>
        <v>14.041800000000009</v>
      </c>
      <c r="S127" s="435">
        <f t="shared" si="78"/>
        <v>0.19576212597183662</v>
      </c>
      <c r="T127" s="435">
        <f t="shared" si="79"/>
        <v>0.20036829364176215</v>
      </c>
      <c r="U127" s="436"/>
      <c r="V127" s="444"/>
      <c r="W127" s="32"/>
      <c r="X127" s="436">
        <v>2.64</v>
      </c>
      <c r="Y127" s="33">
        <f>G127*X127</f>
        <v>217660.08000000002</v>
      </c>
      <c r="Z127" s="33"/>
      <c r="AA127" s="33"/>
      <c r="AB127" s="605"/>
      <c r="AC127" s="469"/>
    </row>
    <row r="128" spans="1:29" x14ac:dyDescent="0.3">
      <c r="A128" s="682">
        <v>43717.888888888891</v>
      </c>
      <c r="B128" s="682">
        <v>43718.78125</v>
      </c>
      <c r="C128" s="23"/>
      <c r="D128" s="23"/>
      <c r="E128" s="35" t="s">
        <v>41</v>
      </c>
      <c r="F128" s="36" t="s">
        <v>39</v>
      </c>
      <c r="G128" s="433">
        <v>34916</v>
      </c>
      <c r="H128" s="433"/>
      <c r="I128" s="433">
        <v>86500</v>
      </c>
      <c r="J128" s="26">
        <f t="shared" si="80"/>
        <v>-51584</v>
      </c>
      <c r="K128" s="27">
        <f t="shared" si="75"/>
        <v>0.89236111110949423</v>
      </c>
      <c r="L128" s="27">
        <f>'[226]TAIPOWER PROSPERITY II'!$F$49</f>
        <v>0.64409722221898846</v>
      </c>
      <c r="M128" s="434">
        <f t="shared" si="77"/>
        <v>39127.657587619535</v>
      </c>
      <c r="N128" s="434">
        <f t="shared" si="74"/>
        <v>54209.207547441976</v>
      </c>
      <c r="O128" s="434">
        <v>30000</v>
      </c>
      <c r="P128" s="69">
        <f>(159230/10000)*8.7</f>
        <v>138.53009999999998</v>
      </c>
      <c r="Q128" s="69">
        <f>(154620/10000)*8.7</f>
        <v>134.51939999999999</v>
      </c>
      <c r="R128" s="455">
        <f t="shared" si="71"/>
        <v>4.0106999999999857</v>
      </c>
      <c r="S128" s="435">
        <f t="shared" si="78"/>
        <v>0.13203116049948405</v>
      </c>
      <c r="T128" s="435">
        <f t="shared" si="79"/>
        <v>0.13513777604064833</v>
      </c>
      <c r="U128" s="436"/>
      <c r="V128" s="444"/>
      <c r="W128" s="32"/>
      <c r="X128" s="436">
        <v>2.64</v>
      </c>
      <c r="Y128" s="33">
        <f t="shared" ref="Y128:Y149" si="81">G128*X128</f>
        <v>92178.240000000005</v>
      </c>
      <c r="Z128" s="33"/>
      <c r="AA128" s="33"/>
      <c r="AB128" s="605"/>
      <c r="AC128" s="469"/>
    </row>
    <row r="129" spans="1:29" x14ac:dyDescent="0.3">
      <c r="A129" s="682">
        <v>43718.965277777781</v>
      </c>
      <c r="B129" s="682">
        <v>43724.736111111109</v>
      </c>
      <c r="C129" s="23"/>
      <c r="D129" s="23"/>
      <c r="E129" s="35" t="s">
        <v>508</v>
      </c>
      <c r="F129" s="36" t="s">
        <v>39</v>
      </c>
      <c r="G129" s="433">
        <v>86762</v>
      </c>
      <c r="H129" s="433"/>
      <c r="I129" s="433">
        <v>86760</v>
      </c>
      <c r="J129" s="26">
        <f t="shared" si="80"/>
        <v>2</v>
      </c>
      <c r="K129" s="27">
        <f t="shared" si="75"/>
        <v>5.7708333333284827</v>
      </c>
      <c r="L129" s="27">
        <f>'[226]OCEAN APHRODITE'!$F$137</f>
        <v>1.5746527777737356</v>
      </c>
      <c r="M129" s="434">
        <f t="shared" si="77"/>
        <v>15034.570397124551</v>
      </c>
      <c r="N129" s="434">
        <f t="shared" si="74"/>
        <v>55099.131201905497</v>
      </c>
      <c r="O129" s="434">
        <v>30000</v>
      </c>
      <c r="P129" s="69">
        <f>(154270/10000)*8.7</f>
        <v>134.21489999999997</v>
      </c>
      <c r="Q129" s="69">
        <f>(134610/10000)*8.7</f>
        <v>117.11069999999999</v>
      </c>
      <c r="R129" s="455">
        <f t="shared" si="71"/>
        <v>17.104199999999977</v>
      </c>
      <c r="S129" s="435">
        <f t="shared" si="78"/>
        <v>0.22659689725916846</v>
      </c>
      <c r="T129" s="435">
        <f t="shared" si="79"/>
        <v>0.23192858895938423</v>
      </c>
      <c r="U129" s="436"/>
      <c r="V129" s="444"/>
      <c r="W129" s="32"/>
      <c r="X129" s="436">
        <v>2.64</v>
      </c>
      <c r="Y129" s="33">
        <f t="shared" si="81"/>
        <v>229051.68000000002</v>
      </c>
      <c r="Z129" s="33"/>
      <c r="AA129" s="33"/>
      <c r="AB129" s="605"/>
      <c r="AC129" s="527"/>
    </row>
    <row r="130" spans="1:29" x14ac:dyDescent="0.3">
      <c r="A130" s="682">
        <v>43727.965277777781</v>
      </c>
      <c r="B130" s="682">
        <v>43730.180555555555</v>
      </c>
      <c r="C130" s="23"/>
      <c r="D130" s="23"/>
      <c r="E130" s="35" t="s">
        <v>206</v>
      </c>
      <c r="F130" s="45" t="s">
        <v>328</v>
      </c>
      <c r="G130" s="433">
        <v>57054</v>
      </c>
      <c r="H130" s="433"/>
      <c r="I130" s="433">
        <v>64999</v>
      </c>
      <c r="J130" s="26">
        <f t="shared" si="80"/>
        <v>-7945</v>
      </c>
      <c r="K130" s="27">
        <f t="shared" si="75"/>
        <v>2.2152777777737356</v>
      </c>
      <c r="L130" s="27">
        <f>'[226]BEST TRADER'!$F$83</f>
        <v>1.1197916666678793</v>
      </c>
      <c r="M130" s="434">
        <f t="shared" si="77"/>
        <v>25754.783699106556</v>
      </c>
      <c r="N130" s="434">
        <f t="shared" si="74"/>
        <v>50950.548837154129</v>
      </c>
      <c r="O130" s="434">
        <v>30000</v>
      </c>
      <c r="P130" s="69">
        <f>(129000/10000)*8.7</f>
        <v>112.22999999999999</v>
      </c>
      <c r="Q130" s="69">
        <f>(118880/10000)*8.7</f>
        <v>103.42559999999999</v>
      </c>
      <c r="R130" s="455">
        <f t="shared" si="71"/>
        <v>8.8044000000000011</v>
      </c>
      <c r="S130" s="435">
        <f t="shared" si="78"/>
        <v>0.17737581939916575</v>
      </c>
      <c r="T130" s="435">
        <f t="shared" si="79"/>
        <v>0.18154936809091077</v>
      </c>
      <c r="U130" s="436"/>
      <c r="V130" s="444"/>
      <c r="W130" s="32"/>
      <c r="X130" s="436">
        <v>2.64</v>
      </c>
      <c r="Y130" s="33">
        <f t="shared" si="81"/>
        <v>150622.56</v>
      </c>
      <c r="Z130" s="33"/>
      <c r="AA130" s="33"/>
      <c r="AB130" s="605"/>
      <c r="AC130" s="527"/>
    </row>
    <row r="131" spans="1:29" x14ac:dyDescent="0.3">
      <c r="A131" s="682">
        <v>43730.892361111109</v>
      </c>
      <c r="B131" s="682">
        <v>43733.034722222219</v>
      </c>
      <c r="C131" s="23"/>
      <c r="D131" s="23"/>
      <c r="E131" s="35" t="s">
        <v>460</v>
      </c>
      <c r="F131" s="45" t="s">
        <v>328</v>
      </c>
      <c r="G131" s="433">
        <v>46376</v>
      </c>
      <c r="H131" s="433"/>
      <c r="I131" s="433">
        <v>70576</v>
      </c>
      <c r="J131" s="26">
        <f t="shared" si="80"/>
        <v>-24200</v>
      </c>
      <c r="K131" s="27">
        <f t="shared" si="75"/>
        <v>2.1423611111094942</v>
      </c>
      <c r="L131" s="27">
        <f>'[226]GOOD LUCK'!$F$78</f>
        <v>0.92013888888322981</v>
      </c>
      <c r="M131" s="434">
        <f t="shared" si="77"/>
        <v>21647.144246369659</v>
      </c>
      <c r="N131" s="434">
        <f t="shared" si="74"/>
        <v>50401.086792762806</v>
      </c>
      <c r="O131" s="434">
        <v>30000</v>
      </c>
      <c r="P131" s="69">
        <f>(117740/10000)*8.7</f>
        <v>102.43379999999999</v>
      </c>
      <c r="Q131" s="69">
        <f>(109010/10000)*8.7</f>
        <v>94.838699999999989</v>
      </c>
      <c r="R131" s="455">
        <f t="shared" si="71"/>
        <v>7.5951000000000022</v>
      </c>
      <c r="S131" s="435">
        <f t="shared" si="78"/>
        <v>0.18824391926858727</v>
      </c>
      <c r="T131" s="435">
        <f t="shared" si="79"/>
        <v>0.19267318795725988</v>
      </c>
      <c r="U131" s="436"/>
      <c r="V131" s="444"/>
      <c r="W131" s="32"/>
      <c r="X131" s="436">
        <v>2.64</v>
      </c>
      <c r="Y131" s="33">
        <f t="shared" si="81"/>
        <v>122432.64</v>
      </c>
      <c r="Z131" s="33"/>
      <c r="AA131" s="33"/>
      <c r="AB131" s="605"/>
      <c r="AC131" s="527"/>
    </row>
    <row r="132" spans="1:29" x14ac:dyDescent="0.3">
      <c r="A132" s="682">
        <v>43733.930555555555</v>
      </c>
      <c r="B132" s="682">
        <v>43736.260416666664</v>
      </c>
      <c r="C132" s="23"/>
      <c r="D132" s="23"/>
      <c r="E132" s="35" t="s">
        <v>165</v>
      </c>
      <c r="F132" s="45" t="s">
        <v>328</v>
      </c>
      <c r="G132" s="433">
        <v>67300</v>
      </c>
      <c r="H132" s="433"/>
      <c r="I132" s="433">
        <v>67300</v>
      </c>
      <c r="J132" s="26">
        <f t="shared" si="80"/>
        <v>0</v>
      </c>
      <c r="K132" s="27">
        <f t="shared" si="75"/>
        <v>2.3298611111094942</v>
      </c>
      <c r="L132" s="27">
        <f>'[227]CHANG SHENG'!$F$94</f>
        <v>1.3420138888905058</v>
      </c>
      <c r="M132" s="434">
        <f t="shared" si="77"/>
        <v>28885.842026845679</v>
      </c>
      <c r="N132" s="434">
        <f t="shared" si="74"/>
        <v>50148.512289719656</v>
      </c>
      <c r="O132" s="434">
        <v>30000</v>
      </c>
      <c r="P132" s="69">
        <f>(107470/10000)*8.7</f>
        <v>93.498899999999992</v>
      </c>
      <c r="Q132" s="69">
        <f>(95670/10000)*8.7</f>
        <v>83.232900000000001</v>
      </c>
      <c r="R132" s="455">
        <f t="shared" si="71"/>
        <v>10.265999999999991</v>
      </c>
      <c r="S132" s="435">
        <f t="shared" si="78"/>
        <v>0.1753343239227339</v>
      </c>
      <c r="T132" s="435">
        <f t="shared" si="79"/>
        <v>0.17945983742679819</v>
      </c>
      <c r="U132" s="455"/>
      <c r="V132" s="444"/>
      <c r="W132" s="32"/>
      <c r="X132" s="436">
        <v>2.64</v>
      </c>
      <c r="Y132" s="33">
        <f t="shared" si="81"/>
        <v>177672</v>
      </c>
      <c r="Z132" s="33"/>
      <c r="AA132" s="33"/>
      <c r="AB132" s="605"/>
      <c r="AC132" s="527"/>
    </row>
    <row r="133" spans="1:29" x14ac:dyDescent="0.3">
      <c r="A133" s="682">
        <v>43738.652777777781</v>
      </c>
      <c r="B133" s="682">
        <v>43740.534722222219</v>
      </c>
      <c r="C133" s="23"/>
      <c r="D133" s="23"/>
      <c r="E133" s="35" t="s">
        <v>348</v>
      </c>
      <c r="F133" s="36" t="s">
        <v>328</v>
      </c>
      <c r="G133" s="433">
        <v>44147</v>
      </c>
      <c r="H133" s="433"/>
      <c r="I133" s="433">
        <v>74050</v>
      </c>
      <c r="J133" s="26">
        <f>G133-I133</f>
        <v>-29903</v>
      </c>
      <c r="K133" s="27">
        <f t="shared" si="75"/>
        <v>1.8819444444379769</v>
      </c>
      <c r="L133" s="27">
        <f>'[228]GUANG XIN'!$F$61</f>
        <v>0.86979166667515528</v>
      </c>
      <c r="M133" s="434">
        <f t="shared" si="77"/>
        <v>23458.184501925636</v>
      </c>
      <c r="N133" s="434">
        <f t="shared" si="74"/>
        <v>50755.832334833998</v>
      </c>
      <c r="O133" s="434">
        <v>30000</v>
      </c>
      <c r="P133" s="69">
        <f>(91890/10000)*8.7</f>
        <v>79.944299999999998</v>
      </c>
      <c r="Q133" s="69">
        <f>(82760/10000)*8.7</f>
        <v>72.001199999999997</v>
      </c>
      <c r="R133" s="455">
        <f t="shared" si="71"/>
        <v>7.9431000000000012</v>
      </c>
      <c r="S133" s="435">
        <f t="shared" si="78"/>
        <v>0.20680906969896035</v>
      </c>
      <c r="T133" s="435">
        <f t="shared" si="79"/>
        <v>0.21167516545658291</v>
      </c>
      <c r="U133" s="455"/>
      <c r="V133" s="444"/>
      <c r="W133" s="32"/>
      <c r="X133" s="436">
        <v>2.64</v>
      </c>
      <c r="Y133" s="33">
        <f t="shared" si="81"/>
        <v>116548.08</v>
      </c>
      <c r="Z133" s="33"/>
      <c r="AA133" s="33"/>
      <c r="AB133" s="605"/>
      <c r="AC133" s="527"/>
    </row>
    <row r="134" spans="1:29" x14ac:dyDescent="0.3">
      <c r="A134" s="682">
        <v>43741.996527777781</v>
      </c>
      <c r="B134" s="682">
        <v>43744.972222222219</v>
      </c>
      <c r="C134" s="23"/>
      <c r="D134" s="23"/>
      <c r="E134" s="35" t="s">
        <v>509</v>
      </c>
      <c r="F134" s="45" t="s">
        <v>328</v>
      </c>
      <c r="G134" s="433">
        <v>79150</v>
      </c>
      <c r="H134" s="433"/>
      <c r="I134" s="433">
        <v>79100</v>
      </c>
      <c r="J134" s="26">
        <f>G134-I134</f>
        <v>50</v>
      </c>
      <c r="K134" s="27">
        <f t="shared" si="75"/>
        <v>2.9756944444379769</v>
      </c>
      <c r="L134" s="27">
        <f>'[228]SINOCHART BEIJING'!$F$112</f>
        <v>1.4965277777628216</v>
      </c>
      <c r="M134" s="434">
        <f t="shared" si="77"/>
        <v>26598.833138914288</v>
      </c>
      <c r="N134" s="434">
        <f t="shared" si="74"/>
        <v>52889.095128138775</v>
      </c>
      <c r="O134" s="434">
        <v>30000</v>
      </c>
      <c r="P134" s="69">
        <f>(80090/10000)*8.7</f>
        <v>69.678299999999993</v>
      </c>
      <c r="Q134" s="69">
        <f>(67000/10000)*8.7</f>
        <v>58.29</v>
      </c>
      <c r="R134" s="455">
        <f t="shared" si="71"/>
        <v>11.388299999999994</v>
      </c>
      <c r="S134" s="435">
        <f t="shared" si="78"/>
        <v>0.16538218572331009</v>
      </c>
      <c r="T134" s="435">
        <f t="shared" si="79"/>
        <v>0.1692735312697409</v>
      </c>
      <c r="U134" s="436"/>
      <c r="V134" s="444"/>
      <c r="W134" s="32"/>
      <c r="X134" s="436">
        <v>2.64</v>
      </c>
      <c r="Y134" s="33">
        <f t="shared" si="81"/>
        <v>208956</v>
      </c>
      <c r="Z134" s="33"/>
      <c r="AA134" s="33"/>
      <c r="AB134" s="605"/>
      <c r="AC134" s="527"/>
    </row>
    <row r="135" spans="1:29" x14ac:dyDescent="0.3">
      <c r="A135" s="682">
        <v>43745.868055555555</v>
      </c>
      <c r="B135" s="682">
        <v>43748.972222222219</v>
      </c>
      <c r="C135" s="23"/>
      <c r="D135" s="23"/>
      <c r="E135" s="35" t="s">
        <v>337</v>
      </c>
      <c r="F135" s="45" t="s">
        <v>333</v>
      </c>
      <c r="G135" s="433">
        <v>82000</v>
      </c>
      <c r="H135" s="433"/>
      <c r="I135" s="433">
        <v>82000</v>
      </c>
      <c r="J135" s="26">
        <f>(G135)-I135</f>
        <v>0</v>
      </c>
      <c r="K135" s="27">
        <f t="shared" si="75"/>
        <v>3.1041666666642413</v>
      </c>
      <c r="L135" s="27">
        <f>'[228]TEN SPRING'!$F$113</f>
        <v>1.5920138889086957</v>
      </c>
      <c r="M135" s="434">
        <f t="shared" si="77"/>
        <v>26416.107382570975</v>
      </c>
      <c r="N135" s="434">
        <f t="shared" si="74"/>
        <v>51507.088330874998</v>
      </c>
      <c r="O135" s="434">
        <v>30000</v>
      </c>
      <c r="P135" s="69">
        <f>(182903/10000)*8.7</f>
        <v>159.12560999999997</v>
      </c>
      <c r="Q135" s="69">
        <f>(169375/10000)*8.7</f>
        <v>147.35624999999999</v>
      </c>
      <c r="R135" s="455">
        <f t="shared" si="71"/>
        <v>11.769359999999978</v>
      </c>
      <c r="S135" s="435">
        <f t="shared" si="78"/>
        <v>0.16497560975609726</v>
      </c>
      <c r="T135" s="435">
        <f t="shared" si="79"/>
        <v>0.16885738880918189</v>
      </c>
      <c r="U135" s="436"/>
      <c r="V135" s="444"/>
      <c r="W135" s="32"/>
      <c r="X135" s="436">
        <v>2.64</v>
      </c>
      <c r="Y135" s="33">
        <f t="shared" si="81"/>
        <v>216480</v>
      </c>
      <c r="Z135" s="33"/>
      <c r="AA135" s="33"/>
      <c r="AB135" s="605"/>
      <c r="AC135" s="527"/>
    </row>
    <row r="136" spans="1:29" x14ac:dyDescent="0.3">
      <c r="A136" s="682">
        <v>43750.902777777781</v>
      </c>
      <c r="B136" s="682">
        <v>43753.826388888891</v>
      </c>
      <c r="C136" s="23"/>
      <c r="D136" s="23"/>
      <c r="E136" s="417" t="s">
        <v>133</v>
      </c>
      <c r="F136" s="45" t="s">
        <v>328</v>
      </c>
      <c r="G136" s="433">
        <v>64200</v>
      </c>
      <c r="H136" s="433"/>
      <c r="I136" s="433">
        <v>64200</v>
      </c>
      <c r="J136" s="26">
        <f t="shared" ref="J136:J143" si="82">G136-I136</f>
        <v>0</v>
      </c>
      <c r="K136" s="27">
        <f t="shared" si="75"/>
        <v>2.9236111111094942</v>
      </c>
      <c r="L136" s="27">
        <f>'[228]YUE DIAN 82'!$F$114</f>
        <v>1.1614583333393966</v>
      </c>
      <c r="M136" s="434">
        <f t="shared" si="77"/>
        <v>21959.144893123783</v>
      </c>
      <c r="N136" s="434">
        <f t="shared" si="74"/>
        <v>55275.336322581396</v>
      </c>
      <c r="O136" s="434">
        <v>30000</v>
      </c>
      <c r="P136" s="69">
        <f>(166350/10000)*8.7</f>
        <v>144.72450000000001</v>
      </c>
      <c r="Q136" s="69">
        <f>(154610/10000)*8.7</f>
        <v>134.51069999999999</v>
      </c>
      <c r="R136" s="455">
        <f t="shared" si="71"/>
        <v>10.21380000000002</v>
      </c>
      <c r="S136" s="435">
        <f t="shared" si="78"/>
        <v>0.18286604361370754</v>
      </c>
      <c r="T136" s="435">
        <f t="shared" si="79"/>
        <v>0.18716877405167714</v>
      </c>
      <c r="U136" s="436"/>
      <c r="V136" s="444"/>
      <c r="W136" s="32"/>
      <c r="X136" s="436">
        <v>2.64</v>
      </c>
      <c r="Y136" s="33">
        <f t="shared" si="81"/>
        <v>169488</v>
      </c>
      <c r="Z136" s="33"/>
      <c r="AA136" s="33"/>
      <c r="AB136" s="605"/>
      <c r="AC136" s="527"/>
    </row>
    <row r="137" spans="1:29" x14ac:dyDescent="0.3">
      <c r="A137" s="682">
        <v>43755.447916666664</v>
      </c>
      <c r="B137" s="682">
        <v>43757.333333333336</v>
      </c>
      <c r="C137" s="23"/>
      <c r="D137" s="23"/>
      <c r="E137" s="35" t="s">
        <v>510</v>
      </c>
      <c r="F137" s="45" t="s">
        <v>91</v>
      </c>
      <c r="G137" s="433">
        <v>43052</v>
      </c>
      <c r="H137" s="433"/>
      <c r="I137" s="433">
        <v>114576</v>
      </c>
      <c r="J137" s="26">
        <f t="shared" si="82"/>
        <v>-71524</v>
      </c>
      <c r="K137" s="27">
        <f t="shared" si="75"/>
        <v>1.8854166666715173</v>
      </c>
      <c r="L137" s="27">
        <f>'[228]TTM HOPE'!$F$72</f>
        <v>0.82465277777373558</v>
      </c>
      <c r="M137" s="434">
        <f t="shared" si="77"/>
        <v>22834.209944692637</v>
      </c>
      <c r="N137" s="434">
        <f t="shared" si="74"/>
        <v>52206.214737098002</v>
      </c>
      <c r="O137" s="434">
        <v>30000</v>
      </c>
      <c r="P137" s="69">
        <f>(151980/10000)*8.7</f>
        <v>132.2226</v>
      </c>
      <c r="Q137" s="69">
        <f>(143750/10000)*8.7</f>
        <v>125.06249999999999</v>
      </c>
      <c r="R137" s="455">
        <f t="shared" si="71"/>
        <v>7.1601000000000141</v>
      </c>
      <c r="S137" s="435">
        <f t="shared" si="78"/>
        <v>0.19116417355755871</v>
      </c>
      <c r="T137" s="435">
        <f t="shared" si="79"/>
        <v>0.19566215411185417</v>
      </c>
      <c r="U137" s="436"/>
      <c r="V137" s="444"/>
      <c r="W137" s="32"/>
      <c r="X137" s="436">
        <v>2.64</v>
      </c>
      <c r="Y137" s="33">
        <f t="shared" si="81"/>
        <v>113657.28</v>
      </c>
      <c r="Z137" s="33"/>
      <c r="AA137" s="33"/>
      <c r="AB137" s="605"/>
      <c r="AC137" s="527"/>
    </row>
    <row r="138" spans="1:29" x14ac:dyDescent="0.3">
      <c r="A138" s="682">
        <v>43766.243055555555</v>
      </c>
      <c r="B138" s="682">
        <v>43767.538194444445</v>
      </c>
      <c r="C138" s="23"/>
      <c r="D138" s="23"/>
      <c r="E138" s="35" t="s">
        <v>511</v>
      </c>
      <c r="F138" s="45" t="s">
        <v>328</v>
      </c>
      <c r="G138" s="433">
        <v>39808</v>
      </c>
      <c r="H138" s="433"/>
      <c r="I138" s="433">
        <v>73000</v>
      </c>
      <c r="J138" s="26">
        <f t="shared" si="82"/>
        <v>-33192</v>
      </c>
      <c r="K138" s="27">
        <f t="shared" si="75"/>
        <v>1.2951388888905058</v>
      </c>
      <c r="L138" s="27">
        <f>[228]MILAGRO!$F$68</f>
        <v>0.77118055557366461</v>
      </c>
      <c r="M138" s="434">
        <f t="shared" si="77"/>
        <v>30736.47184982758</v>
      </c>
      <c r="N138" s="434">
        <f t="shared" si="74"/>
        <v>51619.558756104379</v>
      </c>
      <c r="O138" s="434">
        <v>30000</v>
      </c>
      <c r="P138" s="69">
        <f>(129770/10000)*8.7</f>
        <v>112.89989999999999</v>
      </c>
      <c r="Q138" s="69">
        <f>(123120/10000)*8.7</f>
        <v>107.11439999999999</v>
      </c>
      <c r="R138" s="455">
        <f t="shared" si="71"/>
        <v>5.785499999999999</v>
      </c>
      <c r="S138" s="435">
        <f t="shared" si="78"/>
        <v>0.16705184887459804</v>
      </c>
      <c r="T138" s="435">
        <f t="shared" si="79"/>
        <v>0.17098248061282387</v>
      </c>
      <c r="U138" s="436"/>
      <c r="V138" s="444"/>
      <c r="W138" s="32"/>
      <c r="X138" s="436">
        <v>2.64</v>
      </c>
      <c r="Y138" s="33">
        <f t="shared" si="81"/>
        <v>105093.12000000001</v>
      </c>
      <c r="Z138" s="33"/>
      <c r="AA138" s="33"/>
      <c r="AB138" s="605"/>
      <c r="AC138" s="527"/>
    </row>
    <row r="139" spans="1:29" x14ac:dyDescent="0.3">
      <c r="A139" s="682">
        <v>43771.645833333336</v>
      </c>
      <c r="B139" s="682">
        <v>43772.909722222219</v>
      </c>
      <c r="C139" s="23"/>
      <c r="D139" s="23"/>
      <c r="E139" s="35" t="s">
        <v>276</v>
      </c>
      <c r="F139" s="36" t="s">
        <v>328</v>
      </c>
      <c r="G139" s="433">
        <f>37036</f>
        <v>37036</v>
      </c>
      <c r="H139" s="433"/>
      <c r="I139" s="433">
        <v>65600</v>
      </c>
      <c r="J139" s="26">
        <f t="shared" si="82"/>
        <v>-28564</v>
      </c>
      <c r="K139" s="27">
        <f t="shared" si="75"/>
        <v>1.2638888888832298</v>
      </c>
      <c r="L139" s="27">
        <f>'[229]BEST UNITY'!$F$68</f>
        <v>0.7204861110985803</v>
      </c>
      <c r="M139" s="434">
        <f t="shared" si="77"/>
        <v>29303.208791339996</v>
      </c>
      <c r="N139" s="434">
        <f t="shared" si="74"/>
        <v>51404.183133424151</v>
      </c>
      <c r="O139" s="434">
        <v>30000</v>
      </c>
      <c r="P139" s="69">
        <f>(116240/10000)*8.7</f>
        <v>101.1288</v>
      </c>
      <c r="Q139" s="69">
        <f>(109620/10000)*8.7</f>
        <v>95.369399999999985</v>
      </c>
      <c r="R139" s="455">
        <f t="shared" si="71"/>
        <v>5.7594000000000136</v>
      </c>
      <c r="S139" s="435">
        <f t="shared" si="78"/>
        <v>0.1787450048601365</v>
      </c>
      <c r="T139" s="435">
        <f t="shared" si="79"/>
        <v>0.18295076968037499</v>
      </c>
      <c r="U139" s="436"/>
      <c r="V139" s="444"/>
      <c r="W139" s="32"/>
      <c r="X139" s="436">
        <v>2.64</v>
      </c>
      <c r="Y139" s="33">
        <f t="shared" si="81"/>
        <v>97775.040000000008</v>
      </c>
      <c r="Z139" s="33"/>
      <c r="AA139" s="33"/>
      <c r="AB139" s="605"/>
      <c r="AC139" s="527"/>
    </row>
    <row r="140" spans="1:29" x14ac:dyDescent="0.3">
      <c r="A140" s="682">
        <v>43777.666666666664</v>
      </c>
      <c r="B140" s="682">
        <v>43780.319444444445</v>
      </c>
      <c r="C140" s="23"/>
      <c r="D140" s="23"/>
      <c r="E140" s="35" t="s">
        <v>132</v>
      </c>
      <c r="F140" s="36" t="s">
        <v>333</v>
      </c>
      <c r="G140" s="433">
        <v>75584</v>
      </c>
      <c r="H140" s="433"/>
      <c r="I140" s="433">
        <v>81079</v>
      </c>
      <c r="J140" s="26">
        <f t="shared" si="82"/>
        <v>-5495</v>
      </c>
      <c r="K140" s="27">
        <f t="shared" si="75"/>
        <v>2.6527777777810115</v>
      </c>
      <c r="L140" s="27">
        <f>'[229]WOOYANG FRIEND'!$F$108</f>
        <v>1.435763888914759</v>
      </c>
      <c r="M140" s="434">
        <f t="shared" si="77"/>
        <v>28492.397905724429</v>
      </c>
      <c r="N140" s="434">
        <f t="shared" si="74"/>
        <v>52643.753324323516</v>
      </c>
      <c r="O140" s="434">
        <v>30000</v>
      </c>
      <c r="P140" s="69">
        <f>(101872/10000)*8.7</f>
        <v>88.628640000000004</v>
      </c>
      <c r="Q140" s="69">
        <f>(88010/10000)*8.7</f>
        <v>76.568699999999993</v>
      </c>
      <c r="R140" s="455">
        <f t="shared" si="71"/>
        <v>12.059940000000012</v>
      </c>
      <c r="S140" s="435">
        <f t="shared" si="78"/>
        <v>0.18339860287891638</v>
      </c>
      <c r="T140" s="435">
        <f t="shared" si="79"/>
        <v>0.18771386412312616</v>
      </c>
      <c r="U140" s="436"/>
      <c r="V140" s="444"/>
      <c r="W140" s="32"/>
      <c r="X140" s="436">
        <v>2.64</v>
      </c>
      <c r="Y140" s="33">
        <f t="shared" si="81"/>
        <v>199541.76000000001</v>
      </c>
      <c r="Z140" s="33"/>
      <c r="AA140" s="33"/>
      <c r="AB140" s="605"/>
      <c r="AC140" s="527"/>
    </row>
    <row r="141" spans="1:29" x14ac:dyDescent="0.3">
      <c r="A141" s="682">
        <v>43783.618055555555</v>
      </c>
      <c r="B141" s="682">
        <v>43787.25</v>
      </c>
      <c r="C141" s="23"/>
      <c r="D141" s="23"/>
      <c r="E141" s="617" t="s">
        <v>456</v>
      </c>
      <c r="F141" s="36" t="s">
        <v>333</v>
      </c>
      <c r="G141" s="433">
        <v>67470</v>
      </c>
      <c r="H141" s="433"/>
      <c r="I141" s="433">
        <v>86470</v>
      </c>
      <c r="J141" s="26">
        <f t="shared" si="82"/>
        <v>-19000</v>
      </c>
      <c r="K141" s="27">
        <f t="shared" si="75"/>
        <v>3.6319444444452529</v>
      </c>
      <c r="L141" s="27">
        <f>'[229]TAI HANG 8'!$F$102</f>
        <v>1.1961805555571725</v>
      </c>
      <c r="M141" s="434">
        <f t="shared" si="77"/>
        <v>18576.826003819955</v>
      </c>
      <c r="N141" s="434">
        <f t="shared" si="74"/>
        <v>56404.528301810547</v>
      </c>
      <c r="O141" s="434">
        <v>30000</v>
      </c>
      <c r="P141" s="69">
        <f>(82681/10000)*8.7</f>
        <v>71.932469999999995</v>
      </c>
      <c r="Q141" s="69">
        <f>(67520/10000)*8.7</f>
        <v>58.742399999999996</v>
      </c>
      <c r="R141" s="455">
        <f t="shared" si="71"/>
        <v>13.190069999999999</v>
      </c>
      <c r="S141" s="435">
        <f t="shared" si="78"/>
        <v>0.22470727730843337</v>
      </c>
      <c r="T141" s="435">
        <f t="shared" si="79"/>
        <v>0.22999450736274946</v>
      </c>
      <c r="U141" s="436"/>
      <c r="V141" s="444"/>
      <c r="W141" s="32"/>
      <c r="X141" s="436">
        <v>2.64</v>
      </c>
      <c r="Y141" s="33">
        <f t="shared" si="81"/>
        <v>178120.80000000002</v>
      </c>
      <c r="Z141" s="33"/>
      <c r="AA141" s="33"/>
      <c r="AB141" s="605"/>
      <c r="AC141" s="527"/>
    </row>
    <row r="142" spans="1:29" x14ac:dyDescent="0.3">
      <c r="A142" s="682">
        <v>43788.798611111109</v>
      </c>
      <c r="B142" s="682">
        <v>43791.572916666664</v>
      </c>
      <c r="C142" s="23"/>
      <c r="D142" s="23"/>
      <c r="E142" s="617" t="s">
        <v>512</v>
      </c>
      <c r="F142" s="36" t="s">
        <v>328</v>
      </c>
      <c r="G142" s="433">
        <f>69876</f>
        <v>69876</v>
      </c>
      <c r="H142" s="433"/>
      <c r="I142" s="433">
        <v>69300</v>
      </c>
      <c r="J142" s="26">
        <f t="shared" si="82"/>
        <v>576</v>
      </c>
      <c r="K142" s="27">
        <f t="shared" si="75"/>
        <v>2.7743055555547471</v>
      </c>
      <c r="L142" s="27">
        <f>'[229]XING BAO'!$F$109</f>
        <v>1.3072916666884946</v>
      </c>
      <c r="M142" s="434">
        <f t="shared" si="77"/>
        <v>25186.843554450392</v>
      </c>
      <c r="N142" s="434">
        <f t="shared" si="74"/>
        <v>53450.96414253382</v>
      </c>
      <c r="O142" s="434">
        <v>30000</v>
      </c>
      <c r="P142" s="69">
        <f>(65398/10000)*8.7</f>
        <v>56.896259999999991</v>
      </c>
      <c r="Q142" s="69">
        <f>(52860/10000)*8.7</f>
        <v>45.988199999999992</v>
      </c>
      <c r="R142" s="455">
        <f t="shared" si="71"/>
        <v>10.908059999999999</v>
      </c>
      <c r="S142" s="435">
        <f t="shared" si="78"/>
        <v>0.17943213692827295</v>
      </c>
      <c r="T142" s="435">
        <f t="shared" si="79"/>
        <v>0.18365406956187935</v>
      </c>
      <c r="U142" s="436"/>
      <c r="V142" s="444"/>
      <c r="W142" s="32"/>
      <c r="X142" s="436">
        <v>2.64</v>
      </c>
      <c r="Y142" s="33">
        <f t="shared" si="81"/>
        <v>184472.64</v>
      </c>
      <c r="Z142" s="33"/>
      <c r="AA142" s="33"/>
      <c r="AB142" s="605"/>
      <c r="AC142" s="527"/>
    </row>
    <row r="143" spans="1:29" x14ac:dyDescent="0.3">
      <c r="A143" s="682">
        <v>43798.885416666664</v>
      </c>
      <c r="B143" s="682">
        <v>43799.645833333336</v>
      </c>
      <c r="C143" s="47"/>
      <c r="D143" s="47"/>
      <c r="E143" s="44" t="s">
        <v>310</v>
      </c>
      <c r="F143" s="45" t="s">
        <v>328</v>
      </c>
      <c r="G143" s="447">
        <f>28202</f>
        <v>28202</v>
      </c>
      <c r="H143" s="447"/>
      <c r="I143" s="447">
        <v>70900</v>
      </c>
      <c r="J143" s="26">
        <f t="shared" si="82"/>
        <v>-42698</v>
      </c>
      <c r="K143" s="27">
        <f t="shared" si="75"/>
        <v>0.76041666667151731</v>
      </c>
      <c r="L143" s="448">
        <f>'[229]OCEAN PRIDE'!$F$44</f>
        <v>0.55555555555838509</v>
      </c>
      <c r="M143" s="434">
        <f t="shared" si="77"/>
        <v>37087.561643599038</v>
      </c>
      <c r="N143" s="434">
        <f t="shared" si="74"/>
        <v>50763.599999741455</v>
      </c>
      <c r="O143" s="434">
        <v>30000</v>
      </c>
      <c r="P143" s="69">
        <f>(153715/10000)*8.7</f>
        <v>133.73204999999999</v>
      </c>
      <c r="Q143" s="69">
        <f>(149520/10000)*8.7</f>
        <v>130.08239999999998</v>
      </c>
      <c r="R143" s="455">
        <f t="shared" si="71"/>
        <v>3.6496500000000083</v>
      </c>
      <c r="S143" s="435">
        <f t="shared" si="78"/>
        <v>0.14874831572228955</v>
      </c>
      <c r="T143" s="435">
        <f t="shared" si="79"/>
        <v>0.15224827609222577</v>
      </c>
      <c r="U143" s="500"/>
      <c r="V143" s="444"/>
      <c r="W143" s="32"/>
      <c r="X143" s="436">
        <v>2.64</v>
      </c>
      <c r="Y143" s="33">
        <f t="shared" si="81"/>
        <v>74453.279999999999</v>
      </c>
      <c r="Z143" s="33"/>
      <c r="AA143" s="33"/>
      <c r="AB143" s="618"/>
      <c r="AC143" s="527"/>
    </row>
    <row r="144" spans="1:29" x14ac:dyDescent="0.3">
      <c r="A144" s="682">
        <v>43801.243055555555</v>
      </c>
      <c r="B144" s="682">
        <v>43801.892361111109</v>
      </c>
      <c r="C144" s="23"/>
      <c r="D144" s="23"/>
      <c r="E144" s="35" t="s">
        <v>326</v>
      </c>
      <c r="F144" s="36" t="s">
        <v>328</v>
      </c>
      <c r="G144" s="447">
        <f>25920</f>
        <v>25920</v>
      </c>
      <c r="H144" s="433"/>
      <c r="I144" s="433">
        <v>68100</v>
      </c>
      <c r="J144" s="26">
        <f t="shared" ref="J144:J149" si="83">G144-I144</f>
        <v>-42180</v>
      </c>
      <c r="K144" s="27">
        <f t="shared" si="75"/>
        <v>0.64930555555474712</v>
      </c>
      <c r="L144" s="27">
        <f>'[230]RUI NING 22'!$F$43</f>
        <v>0.46180555556202307</v>
      </c>
      <c r="M144" s="434">
        <f t="shared" ref="M144:M149" si="84">(G144)/K144</f>
        <v>39919.572192563071</v>
      </c>
      <c r="N144" s="434">
        <f t="shared" ref="N144:N149" si="85">(G144)/L144</f>
        <v>56127.518796206423</v>
      </c>
      <c r="O144" s="434">
        <v>30000</v>
      </c>
      <c r="P144" s="69">
        <f>(146985/10000)*8.7</f>
        <v>127.87694999999998</v>
      </c>
      <c r="Q144" s="69">
        <f>(143170/10000)*8.7</f>
        <v>124.55789999999999</v>
      </c>
      <c r="R144" s="455">
        <f t="shared" si="71"/>
        <v>3.3190499999999901</v>
      </c>
      <c r="S144" s="435">
        <f t="shared" ref="S144:S149" si="86">R144/8.7*10000/(G144)</f>
        <v>0.14718364197530823</v>
      </c>
      <c r="T144" s="435">
        <f t="shared" ref="T144:T149" si="87">R144/8.5*10000/(G144)</f>
        <v>0.15064678649237428</v>
      </c>
      <c r="U144" s="436"/>
      <c r="V144" s="444"/>
      <c r="W144" s="32"/>
      <c r="X144" s="436">
        <v>2.64</v>
      </c>
      <c r="Y144" s="33">
        <f t="shared" si="81"/>
        <v>68428.800000000003</v>
      </c>
      <c r="Z144" s="33"/>
      <c r="AA144" s="33"/>
      <c r="AB144" s="605"/>
      <c r="AC144" s="469"/>
    </row>
    <row r="145" spans="1:29" x14ac:dyDescent="0.3">
      <c r="A145" s="682">
        <v>43803.041666666664</v>
      </c>
      <c r="B145" s="682">
        <v>43804.131944444445</v>
      </c>
      <c r="C145" s="23"/>
      <c r="D145" s="23"/>
      <c r="E145" s="35" t="s">
        <v>480</v>
      </c>
      <c r="F145" s="36" t="s">
        <v>328</v>
      </c>
      <c r="G145" s="447">
        <v>34132</v>
      </c>
      <c r="H145" s="433"/>
      <c r="I145" s="433">
        <v>68400</v>
      </c>
      <c r="J145" s="26">
        <f t="shared" si="83"/>
        <v>-34268</v>
      </c>
      <c r="K145" s="27">
        <f t="shared" si="75"/>
        <v>1.0902777777810115</v>
      </c>
      <c r="L145" s="27">
        <f>'[230]TWIN DRAGON'!$F$54</f>
        <v>0.64756944444525288</v>
      </c>
      <c r="M145" s="434">
        <f t="shared" si="84"/>
        <v>31305.783439397594</v>
      </c>
      <c r="N145" s="434">
        <f t="shared" si="85"/>
        <v>52707.860589746531</v>
      </c>
      <c r="O145" s="434">
        <v>30000</v>
      </c>
      <c r="P145" s="69">
        <f>(141458/10000)*8.7</f>
        <v>123.06845999999999</v>
      </c>
      <c r="Q145" s="69">
        <f>(135580/10000)*8.7</f>
        <v>117.95459999999999</v>
      </c>
      <c r="R145" s="455">
        <f t="shared" si="71"/>
        <v>5.1138600000000025</v>
      </c>
      <c r="S145" s="435">
        <f t="shared" si="86"/>
        <v>0.17221375834993566</v>
      </c>
      <c r="T145" s="435">
        <f t="shared" si="87"/>
        <v>0.17626584678169879</v>
      </c>
      <c r="U145" s="436"/>
      <c r="V145" s="444"/>
      <c r="W145" s="32"/>
      <c r="X145" s="436">
        <v>2.64</v>
      </c>
      <c r="Y145" s="33">
        <f t="shared" si="81"/>
        <v>90108.48000000001</v>
      </c>
      <c r="Z145" s="33"/>
      <c r="AA145" s="33"/>
      <c r="AB145" s="605"/>
      <c r="AC145" s="469"/>
    </row>
    <row r="146" spans="1:29" x14ac:dyDescent="0.3">
      <c r="A146" s="682">
        <v>43807.819444444445</v>
      </c>
      <c r="B146" s="682">
        <v>43811.739583333336</v>
      </c>
      <c r="C146" s="23"/>
      <c r="D146" s="23"/>
      <c r="E146" s="35" t="s">
        <v>120</v>
      </c>
      <c r="F146" s="36" t="s">
        <v>39</v>
      </c>
      <c r="G146" s="447">
        <f>90321</f>
        <v>90321</v>
      </c>
      <c r="H146" s="433"/>
      <c r="I146" s="433">
        <v>88000</v>
      </c>
      <c r="J146" s="26">
        <f t="shared" si="83"/>
        <v>2321</v>
      </c>
      <c r="K146" s="27">
        <f t="shared" si="75"/>
        <v>3.9201388888905058</v>
      </c>
      <c r="L146" s="27">
        <f>'[231]TAIPOWER PROSPERITY VI'!$F$151</f>
        <v>1.5937500000133393</v>
      </c>
      <c r="M146" s="434">
        <f t="shared" si="84"/>
        <v>23040.255092993153</v>
      </c>
      <c r="N146" s="434">
        <f t="shared" si="85"/>
        <v>56671.999999525666</v>
      </c>
      <c r="O146" s="434">
        <v>30000</v>
      </c>
      <c r="P146" s="69">
        <f>(130077/10000)*8.7</f>
        <v>113.16698999999998</v>
      </c>
      <c r="Q146" s="69">
        <f>(112726/10000)*8.7</f>
        <v>98.071619999999996</v>
      </c>
      <c r="R146" s="455">
        <f t="shared" si="71"/>
        <v>15.095369999999988</v>
      </c>
      <c r="S146" s="435">
        <f t="shared" si="86"/>
        <v>0.19210371895793879</v>
      </c>
      <c r="T146" s="435">
        <f t="shared" si="87"/>
        <v>0.19662380646283145</v>
      </c>
      <c r="U146" s="436"/>
      <c r="V146" s="444"/>
      <c r="W146" s="32"/>
      <c r="X146" s="436">
        <v>2.64</v>
      </c>
      <c r="Y146" s="33">
        <f t="shared" si="81"/>
        <v>238447.44</v>
      </c>
      <c r="Z146" s="33"/>
      <c r="AA146" s="33"/>
      <c r="AB146" s="605"/>
      <c r="AC146" s="469"/>
    </row>
    <row r="147" spans="1:29" x14ac:dyDescent="0.3">
      <c r="A147" s="682">
        <v>43815.996527777781</v>
      </c>
      <c r="B147" s="682">
        <v>43817.0625</v>
      </c>
      <c r="C147" s="23"/>
      <c r="D147" s="23"/>
      <c r="E147" s="35" t="s">
        <v>277</v>
      </c>
      <c r="F147" s="36" t="s">
        <v>32</v>
      </c>
      <c r="G147" s="447">
        <f>37186</f>
        <v>37186</v>
      </c>
      <c r="H147" s="433"/>
      <c r="I147" s="433">
        <v>78000</v>
      </c>
      <c r="J147" s="26">
        <f t="shared" si="83"/>
        <v>-40814</v>
      </c>
      <c r="K147" s="27">
        <f t="shared" ref="K147:K168" si="88">B147-A147</f>
        <v>1.0659722222189885</v>
      </c>
      <c r="L147" s="27">
        <f>'[231]SEA EMPIRE'!$F$55</f>
        <v>0.80729166666424135</v>
      </c>
      <c r="M147" s="434">
        <f t="shared" si="84"/>
        <v>34884.586319324066</v>
      </c>
      <c r="N147" s="434">
        <f t="shared" si="85"/>
        <v>46062.658064654512</v>
      </c>
      <c r="O147" s="434">
        <v>30000</v>
      </c>
      <c r="P147" s="69">
        <f>(106340/10000)*8.7</f>
        <v>92.515799999999999</v>
      </c>
      <c r="Q147" s="69">
        <f>(99660/10000)*8.7</f>
        <v>86.704199999999986</v>
      </c>
      <c r="R147" s="455">
        <f t="shared" si="71"/>
        <v>5.8116000000000128</v>
      </c>
      <c r="S147" s="435">
        <f t="shared" si="86"/>
        <v>0.17963749798311232</v>
      </c>
      <c r="T147" s="435">
        <f t="shared" si="87"/>
        <v>0.18386426264153846</v>
      </c>
      <c r="U147" s="436"/>
      <c r="V147" s="444"/>
      <c r="W147" s="32"/>
      <c r="X147" s="436">
        <v>2.64</v>
      </c>
      <c r="Y147" s="33">
        <f t="shared" si="81"/>
        <v>98171.040000000008</v>
      </c>
      <c r="Z147" s="33"/>
      <c r="AA147" s="33"/>
      <c r="AB147" s="605"/>
      <c r="AC147" s="469"/>
    </row>
    <row r="148" spans="1:29" x14ac:dyDescent="0.3">
      <c r="A148" s="682">
        <v>43819.076388888891</v>
      </c>
      <c r="B148" s="682">
        <v>43823.333333333336</v>
      </c>
      <c r="C148" s="23"/>
      <c r="D148" s="23"/>
      <c r="E148" s="35" t="s">
        <v>119</v>
      </c>
      <c r="F148" s="36" t="s">
        <v>32</v>
      </c>
      <c r="G148" s="447">
        <v>67050</v>
      </c>
      <c r="H148" s="433"/>
      <c r="I148" s="433">
        <v>66950</v>
      </c>
      <c r="J148" s="26">
        <f t="shared" si="83"/>
        <v>100</v>
      </c>
      <c r="K148" s="27">
        <f t="shared" si="88"/>
        <v>4.2569444444452529</v>
      </c>
      <c r="L148" s="27">
        <f>[231]GLORIEVER!$F$116</f>
        <v>1.6684027777519077</v>
      </c>
      <c r="M148" s="434">
        <f t="shared" si="84"/>
        <v>15750.734094613648</v>
      </c>
      <c r="N148" s="434">
        <f t="shared" si="85"/>
        <v>40188.137357543026</v>
      </c>
      <c r="O148" s="434">
        <v>30000</v>
      </c>
      <c r="P148" s="69">
        <f>(96882/10000)*8.7</f>
        <v>84.28734</v>
      </c>
      <c r="Q148" s="69">
        <f>(79292/10000)*8.7</f>
        <v>68.984039999999993</v>
      </c>
      <c r="R148" s="455">
        <f t="shared" si="71"/>
        <v>15.303300000000007</v>
      </c>
      <c r="S148" s="435">
        <f t="shared" si="86"/>
        <v>0.2623415361670397</v>
      </c>
      <c r="T148" s="435">
        <f t="shared" si="87"/>
        <v>0.26851427819449941</v>
      </c>
      <c r="U148" s="436"/>
      <c r="V148" s="444"/>
      <c r="W148" s="32"/>
      <c r="X148" s="436">
        <v>2.64</v>
      </c>
      <c r="Y148" s="33">
        <f t="shared" si="81"/>
        <v>177012</v>
      </c>
      <c r="Z148" s="33"/>
      <c r="AA148" s="33"/>
      <c r="AB148" s="605"/>
      <c r="AC148" s="469"/>
    </row>
    <row r="149" spans="1:29" x14ac:dyDescent="0.3">
      <c r="A149" s="682">
        <v>43825.5</v>
      </c>
      <c r="B149" s="682">
        <v>43827.166666666664</v>
      </c>
      <c r="C149" s="471"/>
      <c r="D149" s="471"/>
      <c r="E149" s="35" t="s">
        <v>513</v>
      </c>
      <c r="F149" s="36" t="s">
        <v>32</v>
      </c>
      <c r="G149" s="447">
        <f>50199</f>
        <v>50199</v>
      </c>
      <c r="H149" s="535"/>
      <c r="I149" s="433">
        <v>71900</v>
      </c>
      <c r="J149" s="26">
        <f t="shared" si="83"/>
        <v>-21701</v>
      </c>
      <c r="K149" s="27">
        <f t="shared" si="88"/>
        <v>1.6666666666642413</v>
      </c>
      <c r="L149" s="27">
        <f>'[231]NAN XIN 27'!$F$85</f>
        <v>0.99305555557172431</v>
      </c>
      <c r="M149" s="434">
        <f t="shared" si="84"/>
        <v>30119.400000043828</v>
      </c>
      <c r="N149" s="434">
        <f t="shared" si="85"/>
        <v>50550.041957218913</v>
      </c>
      <c r="O149" s="434">
        <v>30000</v>
      </c>
      <c r="P149" s="69">
        <f>(76080/10000)*8.7</f>
        <v>66.189599999999999</v>
      </c>
      <c r="Q149" s="69">
        <f>(67150/10000)*8.7</f>
        <v>58.420499999999997</v>
      </c>
      <c r="R149" s="455">
        <f t="shared" si="71"/>
        <v>7.7691000000000017</v>
      </c>
      <c r="S149" s="435">
        <f t="shared" si="86"/>
        <v>0.17789198988027655</v>
      </c>
      <c r="T149" s="435">
        <f t="shared" si="87"/>
        <v>0.18207768375981245</v>
      </c>
      <c r="U149" s="621"/>
      <c r="V149" s="622"/>
      <c r="W149" s="623"/>
      <c r="X149" s="436">
        <v>2.64</v>
      </c>
      <c r="Y149" s="33">
        <f t="shared" si="81"/>
        <v>132525.36000000002</v>
      </c>
      <c r="Z149" s="538"/>
      <c r="AA149" s="538"/>
      <c r="AB149" s="624"/>
      <c r="AC149" s="540"/>
    </row>
    <row r="150" spans="1:29" x14ac:dyDescent="0.3">
      <c r="A150" s="682">
        <v>43832.9375</v>
      </c>
      <c r="B150" s="682">
        <v>43836.708333333336</v>
      </c>
      <c r="C150" s="23"/>
      <c r="D150" s="14"/>
      <c r="E150" s="35" t="s">
        <v>120</v>
      </c>
      <c r="F150" s="36" t="s">
        <v>39</v>
      </c>
      <c r="G150" s="433">
        <v>90153</v>
      </c>
      <c r="H150" s="433"/>
      <c r="I150" s="433">
        <v>89100</v>
      </c>
      <c r="J150" s="26">
        <f>G150-I150</f>
        <v>1053</v>
      </c>
      <c r="K150" s="636">
        <f t="shared" si="88"/>
        <v>3.7708333333357587</v>
      </c>
      <c r="L150" s="27">
        <f>'[232]TAIPOWER PROSPERITY VI'!$F$123</f>
        <v>1.7430555555571725</v>
      </c>
      <c r="M150" s="434">
        <f>(G150)/K150</f>
        <v>23907.977900537109</v>
      </c>
      <c r="N150" s="434">
        <f t="shared" ref="N150:N210" si="89">(G150)/L150</f>
        <v>51721.243027840464</v>
      </c>
      <c r="O150" s="434">
        <v>30000</v>
      </c>
      <c r="P150" s="69">
        <f>(176273/10000)*8.7</f>
        <v>153.35750999999999</v>
      </c>
      <c r="Q150" s="69">
        <f>(157588/10000)*8.7</f>
        <v>137.10156000000001</v>
      </c>
      <c r="R150" s="69">
        <f t="shared" si="71"/>
        <v>16.255949999999984</v>
      </c>
      <c r="S150" s="435">
        <f>R150/8.7*10000/(G150)</f>
        <v>0.2072587712000708</v>
      </c>
      <c r="T150" s="435">
        <f>R150/8.5*10000/(G150)</f>
        <v>0.21213544816948424</v>
      </c>
      <c r="U150" s="435" t="e">
        <f>S150/8.5*10000/(H150)</f>
        <v>#DIV/0!</v>
      </c>
      <c r="V150" s="436"/>
      <c r="W150" s="32"/>
      <c r="X150" s="33">
        <v>2.64</v>
      </c>
      <c r="Y150" s="33">
        <f t="shared" ref="Y150:Y153" si="90">G150*X150</f>
        <v>238003.92</v>
      </c>
      <c r="Z150" s="33"/>
      <c r="AA150" s="33"/>
      <c r="AB150" s="438"/>
      <c r="AC150" s="33"/>
    </row>
    <row r="151" spans="1:29" x14ac:dyDescent="0.3">
      <c r="A151" s="682">
        <v>43838.763888888891</v>
      </c>
      <c r="B151" s="682">
        <v>43842.916666666664</v>
      </c>
      <c r="C151" s="23"/>
      <c r="D151" s="14"/>
      <c r="E151" s="35" t="s">
        <v>162</v>
      </c>
      <c r="F151" s="36" t="s">
        <v>32</v>
      </c>
      <c r="G151" s="433">
        <f>66418</f>
        <v>66418</v>
      </c>
      <c r="H151" s="433"/>
      <c r="I151" s="433">
        <v>66400</v>
      </c>
      <c r="J151" s="26">
        <f t="shared" ref="J151:J190" si="91">G151-I151</f>
        <v>18</v>
      </c>
      <c r="K151" s="636">
        <f t="shared" si="88"/>
        <v>4.1527777777737356</v>
      </c>
      <c r="L151" s="27">
        <f>'[232]YUE DIAN 6'!$F$114</f>
        <v>1.3628472222359658</v>
      </c>
      <c r="M151" s="434">
        <f t="shared" ref="M151:M210" si="92">(G151)/K151</f>
        <v>15993.632107038979</v>
      </c>
      <c r="N151" s="434">
        <f t="shared" si="89"/>
        <v>48734.736305241022</v>
      </c>
      <c r="O151" s="434">
        <v>30000</v>
      </c>
      <c r="P151" s="69">
        <f>(154533/10000)*8.7</f>
        <v>134.44370999999998</v>
      </c>
      <c r="Q151" s="69">
        <f>(137988/10000)*8.7</f>
        <v>120.04955999999999</v>
      </c>
      <c r="R151" s="69">
        <f t="shared" si="71"/>
        <v>14.394149999999996</v>
      </c>
      <c r="S151" s="435">
        <f t="shared" ref="S151:S210" si="93">R151/8.7*10000/(G151)</f>
        <v>0.2491041585112469</v>
      </c>
      <c r="T151" s="435">
        <f t="shared" ref="T151:T210" si="94">R151/8.5*10000/(G151)</f>
        <v>0.25496543282915862</v>
      </c>
      <c r="U151" s="435"/>
      <c r="V151" s="31"/>
      <c r="W151" s="32"/>
      <c r="X151" s="33">
        <v>2.64</v>
      </c>
      <c r="Y151" s="33">
        <f t="shared" si="90"/>
        <v>175343.52000000002</v>
      </c>
      <c r="Z151" s="33"/>
      <c r="AA151" s="33"/>
      <c r="AB151" s="438"/>
      <c r="AC151" s="33"/>
    </row>
    <row r="152" spans="1:29" x14ac:dyDescent="0.3">
      <c r="A152" s="439">
        <v>43845.166666666664</v>
      </c>
      <c r="B152" s="439">
        <v>43850.541666666664</v>
      </c>
      <c r="C152" s="23"/>
      <c r="D152" s="23"/>
      <c r="E152" s="35" t="s">
        <v>133</v>
      </c>
      <c r="F152" s="25" t="s">
        <v>32</v>
      </c>
      <c r="G152" s="433">
        <f>71500</f>
        <v>71500</v>
      </c>
      <c r="H152" s="433"/>
      <c r="I152" s="433">
        <v>70100</v>
      </c>
      <c r="J152" s="26">
        <f t="shared" si="91"/>
        <v>1400</v>
      </c>
      <c r="K152" s="636">
        <f t="shared" si="88"/>
        <v>5.375</v>
      </c>
      <c r="L152" s="27">
        <f>'[232]YUE DIAN 82'!$F$106</f>
        <v>1.3177083333309081</v>
      </c>
      <c r="M152" s="434">
        <f t="shared" si="92"/>
        <v>13302.325581395349</v>
      </c>
      <c r="N152" s="434">
        <f t="shared" si="89"/>
        <v>54260.869565317262</v>
      </c>
      <c r="O152" s="434">
        <v>30000</v>
      </c>
      <c r="P152" s="69">
        <f>(134610/10000)*8.7</f>
        <v>117.11069999999999</v>
      </c>
      <c r="Q152" s="69">
        <f>(117770/10000)*8.7</f>
        <v>102.45989999999999</v>
      </c>
      <c r="R152" s="69">
        <f t="shared" si="71"/>
        <v>14.650800000000004</v>
      </c>
      <c r="S152" s="435">
        <f t="shared" si="93"/>
        <v>0.23552447552447561</v>
      </c>
      <c r="T152" s="435">
        <f t="shared" si="94"/>
        <v>0.24106622788975735</v>
      </c>
      <c r="U152" s="435"/>
      <c r="V152" s="436"/>
      <c r="W152" s="437"/>
      <c r="X152" s="33">
        <v>2.64</v>
      </c>
      <c r="Y152" s="33">
        <f t="shared" si="90"/>
        <v>188760</v>
      </c>
      <c r="Z152" s="33"/>
      <c r="AA152" s="33"/>
      <c r="AB152" s="438"/>
      <c r="AC152" s="33"/>
    </row>
    <row r="153" spans="1:29" x14ac:dyDescent="0.3">
      <c r="A153" s="439">
        <v>43853.5625</v>
      </c>
      <c r="B153" s="439">
        <v>43858.065972222219</v>
      </c>
      <c r="C153" s="23"/>
      <c r="D153" s="23"/>
      <c r="E153" s="35" t="s">
        <v>709</v>
      </c>
      <c r="F153" s="25" t="s">
        <v>32</v>
      </c>
      <c r="G153" s="433">
        <v>79305</v>
      </c>
      <c r="H153" s="433"/>
      <c r="I153" s="433">
        <v>79300</v>
      </c>
      <c r="J153" s="26">
        <f t="shared" si="91"/>
        <v>5</v>
      </c>
      <c r="K153" s="27">
        <f t="shared" si="88"/>
        <v>4.5034722222189885</v>
      </c>
      <c r="L153" s="27">
        <f>'[232]KM SYDNEY'!$F$117</f>
        <v>1.4531250000242533</v>
      </c>
      <c r="M153" s="434">
        <f t="shared" si="92"/>
        <v>17609.745566705013</v>
      </c>
      <c r="N153" s="434">
        <f t="shared" si="89"/>
        <v>54575.483870056851</v>
      </c>
      <c r="O153" s="434">
        <v>30000</v>
      </c>
      <c r="P153" s="69">
        <f>(113100/10000)*8.7</f>
        <v>98.396999999999991</v>
      </c>
      <c r="Q153" s="69">
        <f>(96390/10000)*8.7</f>
        <v>83.85929999999999</v>
      </c>
      <c r="R153" s="69">
        <f t="shared" si="71"/>
        <v>14.537700000000001</v>
      </c>
      <c r="S153" s="435">
        <f t="shared" si="93"/>
        <v>0.21070550406657845</v>
      </c>
      <c r="T153" s="435">
        <f t="shared" si="94"/>
        <v>0.21566328063285087</v>
      </c>
      <c r="U153" s="435"/>
      <c r="V153" s="436"/>
      <c r="W153" s="437"/>
      <c r="X153" s="33">
        <v>2.64</v>
      </c>
      <c r="Y153" s="33">
        <f t="shared" si="90"/>
        <v>209365.2</v>
      </c>
      <c r="Z153" s="33"/>
      <c r="AA153" s="33"/>
      <c r="AB153" s="438"/>
      <c r="AC153" s="33"/>
    </row>
    <row r="154" spans="1:29" x14ac:dyDescent="0.3">
      <c r="A154" s="439">
        <v>43859.701388888891</v>
      </c>
      <c r="B154" s="439">
        <v>43863.847222222219</v>
      </c>
      <c r="C154" s="23"/>
      <c r="D154" s="23"/>
      <c r="E154" s="35" t="s">
        <v>710</v>
      </c>
      <c r="F154" s="25" t="s">
        <v>32</v>
      </c>
      <c r="G154" s="433">
        <v>71500</v>
      </c>
      <c r="H154" s="433"/>
      <c r="I154" s="433">
        <v>71500</v>
      </c>
      <c r="J154" s="26">
        <f t="shared" si="91"/>
        <v>0</v>
      </c>
      <c r="K154" s="27">
        <f t="shared" si="88"/>
        <v>4.1458333333284827</v>
      </c>
      <c r="L154" s="27">
        <f>'[233]CHANG MING'!$F$103</f>
        <v>1.4010416666412009</v>
      </c>
      <c r="M154" s="434">
        <f t="shared" si="92"/>
        <v>17246.231155799072</v>
      </c>
      <c r="N154" s="434">
        <f t="shared" si="89"/>
        <v>51033.457249998231</v>
      </c>
      <c r="O154" s="434">
        <v>30000</v>
      </c>
      <c r="P154" s="69">
        <f>(90920/10000)*8.7</f>
        <v>79.100399999999993</v>
      </c>
      <c r="Q154" s="69">
        <f>(76280/10000)*8.7</f>
        <v>66.363599999999991</v>
      </c>
      <c r="R154" s="69">
        <f t="shared" si="71"/>
        <v>12.736800000000002</v>
      </c>
      <c r="S154" s="435">
        <f t="shared" si="93"/>
        <v>0.20475524475524481</v>
      </c>
      <c r="T154" s="435">
        <f t="shared" si="94"/>
        <v>0.2095730152200741</v>
      </c>
      <c r="U154" s="435" t="e">
        <f>#REF!/8.5*10000/(#REF!)</f>
        <v>#REF!</v>
      </c>
      <c r="V154" s="436"/>
      <c r="W154" s="32"/>
      <c r="X154" s="33">
        <v>2.64</v>
      </c>
      <c r="Y154" s="33">
        <f t="shared" ref="Y154:Y157" si="95">G154*X154</f>
        <v>188760</v>
      </c>
      <c r="Z154" s="33"/>
      <c r="AA154" s="33"/>
      <c r="AB154" s="438"/>
      <c r="AC154" s="33"/>
    </row>
    <row r="155" spans="1:29" x14ac:dyDescent="0.3">
      <c r="A155" s="682">
        <v>43867.652777777781</v>
      </c>
      <c r="B155" s="682">
        <v>43873.993055555555</v>
      </c>
      <c r="C155" s="23"/>
      <c r="D155" s="14"/>
      <c r="E155" s="35" t="s">
        <v>711</v>
      </c>
      <c r="F155" s="36" t="s">
        <v>32</v>
      </c>
      <c r="G155" s="433">
        <f>71500</f>
        <v>71500</v>
      </c>
      <c r="H155" s="433"/>
      <c r="I155" s="433">
        <v>71500</v>
      </c>
      <c r="J155" s="26">
        <f t="shared" si="91"/>
        <v>0</v>
      </c>
      <c r="K155" s="27">
        <f t="shared" si="88"/>
        <v>6.3402777777737356</v>
      </c>
      <c r="L155" s="27">
        <f>[233]SANTARLI!$F$122</f>
        <v>1.3861111111060989</v>
      </c>
      <c r="M155" s="434">
        <f t="shared" si="92"/>
        <v>11277.108433742129</v>
      </c>
      <c r="N155" s="434">
        <f t="shared" si="89"/>
        <v>51583.166332851855</v>
      </c>
      <c r="O155" s="434">
        <v>30000</v>
      </c>
      <c r="P155" s="69">
        <f>(175980/10000)*8.7</f>
        <v>153.10259999999997</v>
      </c>
      <c r="Q155" s="69">
        <f>(155600/10000)*8.7</f>
        <v>135.37199999999999</v>
      </c>
      <c r="R155" s="69">
        <f t="shared" si="71"/>
        <v>17.730599999999981</v>
      </c>
      <c r="S155" s="435">
        <f t="shared" si="93"/>
        <v>0.28503496503496478</v>
      </c>
      <c r="T155" s="435">
        <f t="shared" si="94"/>
        <v>0.29174167009461099</v>
      </c>
      <c r="U155" s="435"/>
      <c r="V155" s="31"/>
      <c r="W155" s="32"/>
      <c r="X155" s="33">
        <v>2.64</v>
      </c>
      <c r="Y155" s="33">
        <f t="shared" si="95"/>
        <v>188760</v>
      </c>
      <c r="Z155" s="33"/>
      <c r="AA155" s="33"/>
      <c r="AB155" s="438"/>
      <c r="AC155" s="33"/>
    </row>
    <row r="156" spans="1:29" x14ac:dyDescent="0.3">
      <c r="A156" s="682">
        <v>43874.826388888891</v>
      </c>
      <c r="B156" s="682">
        <v>43878.666666666664</v>
      </c>
      <c r="C156" s="23"/>
      <c r="D156" s="23"/>
      <c r="E156" s="35" t="s">
        <v>712</v>
      </c>
      <c r="F156" s="25" t="s">
        <v>32</v>
      </c>
      <c r="G156" s="433">
        <f>72236</f>
        <v>72236</v>
      </c>
      <c r="H156" s="433"/>
      <c r="I156" s="433">
        <v>72236</v>
      </c>
      <c r="J156" s="26">
        <f t="shared" si="91"/>
        <v>0</v>
      </c>
      <c r="K156" s="27">
        <f t="shared" si="88"/>
        <v>3.8402777777737356</v>
      </c>
      <c r="L156" s="27">
        <f>'[233]LUCKY JASON'!$F$109</f>
        <v>1.473958333352736</v>
      </c>
      <c r="M156" s="434">
        <f t="shared" si="92"/>
        <v>18810.097649206054</v>
      </c>
      <c r="N156" s="434">
        <f t="shared" si="89"/>
        <v>49008.169610662299</v>
      </c>
      <c r="O156" s="434">
        <v>30000</v>
      </c>
      <c r="P156" s="69">
        <f>(154560/10000)*8.7</f>
        <v>134.46719999999999</v>
      </c>
      <c r="Q156" s="69">
        <f>(138500/10000)*8.7</f>
        <v>120.49499999999999</v>
      </c>
      <c r="R156" s="69">
        <f t="shared" si="71"/>
        <v>13.972200000000001</v>
      </c>
      <c r="S156" s="435">
        <f t="shared" si="93"/>
        <v>0.22232681765324774</v>
      </c>
      <c r="T156" s="435">
        <f t="shared" si="94"/>
        <v>0.22755803689214765</v>
      </c>
      <c r="U156" s="435"/>
      <c r="V156" s="436"/>
      <c r="W156" s="437"/>
      <c r="X156" s="33">
        <v>2.64</v>
      </c>
      <c r="Y156" s="33">
        <f t="shared" si="95"/>
        <v>190703.04</v>
      </c>
      <c r="Z156" s="33"/>
      <c r="AA156" s="33"/>
      <c r="AB156" s="438"/>
      <c r="AC156" s="33"/>
    </row>
    <row r="157" spans="1:29" x14ac:dyDescent="0.3">
      <c r="A157" s="682">
        <v>43881.90625</v>
      </c>
      <c r="B157" s="682">
        <v>43886.416666666664</v>
      </c>
      <c r="C157" s="23"/>
      <c r="D157" s="23"/>
      <c r="E157" s="35" t="s">
        <v>77</v>
      </c>
      <c r="F157" s="25" t="s">
        <v>32</v>
      </c>
      <c r="G157" s="433">
        <v>74800</v>
      </c>
      <c r="H157" s="433"/>
      <c r="I157" s="433">
        <v>74800</v>
      </c>
      <c r="J157" s="26">
        <f t="shared" si="91"/>
        <v>0</v>
      </c>
      <c r="K157" s="27">
        <f t="shared" si="88"/>
        <v>4.5104166666642413</v>
      </c>
      <c r="L157" s="27">
        <f>'[233]HUAYANG PIONEER'!$F$99</f>
        <v>1.355902777776161</v>
      </c>
      <c r="M157" s="434">
        <f t="shared" si="92"/>
        <v>16583.833718253722</v>
      </c>
      <c r="N157" s="434">
        <f t="shared" si="89"/>
        <v>55166.197183164375</v>
      </c>
      <c r="O157" s="434">
        <v>30000</v>
      </c>
      <c r="P157" s="69">
        <f>(133710/10000)*8.7</f>
        <v>116.32769999999999</v>
      </c>
      <c r="Q157" s="69">
        <f>(117920/10000)*8.7</f>
        <v>102.59039999999999</v>
      </c>
      <c r="R157" s="69">
        <f t="shared" si="71"/>
        <v>13.737300000000005</v>
      </c>
      <c r="S157" s="435">
        <f t="shared" si="93"/>
        <v>0.21109625668449206</v>
      </c>
      <c r="T157" s="435">
        <f t="shared" si="94"/>
        <v>0.21606322743000952</v>
      </c>
      <c r="U157" s="435"/>
      <c r="V157" s="436"/>
      <c r="W157" s="437"/>
      <c r="X157" s="33">
        <v>2.64</v>
      </c>
      <c r="Y157" s="33">
        <f t="shared" si="95"/>
        <v>197472</v>
      </c>
      <c r="Z157" s="33"/>
      <c r="AA157" s="33"/>
      <c r="AB157" s="438"/>
      <c r="AC157" s="33"/>
    </row>
    <row r="158" spans="1:29" x14ac:dyDescent="0.3">
      <c r="A158" s="682">
        <v>43898.819444444445</v>
      </c>
      <c r="B158" s="682">
        <v>43903.048611111109</v>
      </c>
      <c r="C158" s="23"/>
      <c r="D158" s="14"/>
      <c r="E158" s="35" t="s">
        <v>713</v>
      </c>
      <c r="F158" s="36" t="s">
        <v>328</v>
      </c>
      <c r="G158" s="433">
        <v>80450</v>
      </c>
      <c r="H158" s="433"/>
      <c r="I158" s="433">
        <v>80400</v>
      </c>
      <c r="J158" s="26">
        <f t="shared" si="91"/>
        <v>50</v>
      </c>
      <c r="K158" s="27">
        <f t="shared" si="88"/>
        <v>4.2291666666642413</v>
      </c>
      <c r="L158" s="27">
        <f>'[234]JK HONGKONG '!$F$162</f>
        <v>1.395833333352736</v>
      </c>
      <c r="M158" s="434">
        <f t="shared" si="92"/>
        <v>19022.660098533077</v>
      </c>
      <c r="N158" s="434">
        <f t="shared" si="89"/>
        <v>57635.820894721226</v>
      </c>
      <c r="O158" s="434">
        <v>30000</v>
      </c>
      <c r="P158" s="69">
        <f>(98930/10000)*8.7</f>
        <v>86.069100000000006</v>
      </c>
      <c r="Q158" s="69">
        <f>(82670/10000)*8.7</f>
        <v>71.922899999999984</v>
      </c>
      <c r="R158" s="69">
        <f t="shared" si="71"/>
        <v>14.146200000000022</v>
      </c>
      <c r="S158" s="435">
        <f t="shared" si="93"/>
        <v>0.2021131137352396</v>
      </c>
      <c r="T158" s="435">
        <f t="shared" si="94"/>
        <v>0.20686871641136284</v>
      </c>
      <c r="U158" s="435" t="e">
        <f>S158/8.5*10000/(H158)</f>
        <v>#DIV/0!</v>
      </c>
      <c r="V158" s="436"/>
      <c r="W158" s="32"/>
      <c r="X158" s="33">
        <v>2.64</v>
      </c>
      <c r="Y158" s="33">
        <f t="shared" ref="Y158:Y161" si="96">G158*X158</f>
        <v>212388</v>
      </c>
      <c r="Z158" s="33"/>
      <c r="AA158" s="33"/>
      <c r="AB158" s="438"/>
      <c r="AC158" s="33"/>
    </row>
    <row r="159" spans="1:29" x14ac:dyDescent="0.3">
      <c r="A159" s="682">
        <v>43907.152777777781</v>
      </c>
      <c r="B159" s="682">
        <v>43908.979166666664</v>
      </c>
      <c r="C159" s="23"/>
      <c r="D159" s="14"/>
      <c r="E159" s="35" t="s">
        <v>190</v>
      </c>
      <c r="F159" s="36" t="s">
        <v>328</v>
      </c>
      <c r="G159" s="433">
        <v>50918</v>
      </c>
      <c r="H159" s="433"/>
      <c r="I159" s="433">
        <v>71500</v>
      </c>
      <c r="J159" s="26">
        <f>G159-I159</f>
        <v>-20582</v>
      </c>
      <c r="K159" s="27">
        <f t="shared" si="88"/>
        <v>1.8263888888832298</v>
      </c>
      <c r="L159" s="27">
        <f>'[234]WEI QIN'!$F$96</f>
        <v>0.95833333331635606</v>
      </c>
      <c r="M159" s="434">
        <f t="shared" si="92"/>
        <v>27879.057034306916</v>
      </c>
      <c r="N159" s="434">
        <f t="shared" si="89"/>
        <v>53131.826087897774</v>
      </c>
      <c r="O159" s="434">
        <v>30000</v>
      </c>
      <c r="P159" s="69">
        <f>(76220/10000)*8.7</f>
        <v>66.311399999999992</v>
      </c>
      <c r="Q159" s="69">
        <f>(67480/10000)*8.7</f>
        <v>58.707599999999999</v>
      </c>
      <c r="R159" s="69">
        <f t="shared" si="71"/>
        <v>7.6037999999999926</v>
      </c>
      <c r="S159" s="435">
        <f t="shared" si="93"/>
        <v>0.1716485329353076</v>
      </c>
      <c r="T159" s="435">
        <f t="shared" si="94"/>
        <v>0.17568732194555012</v>
      </c>
      <c r="U159" s="435"/>
      <c r="V159" s="31"/>
      <c r="W159" s="32"/>
      <c r="X159" s="33">
        <v>2.64</v>
      </c>
      <c r="Y159" s="33">
        <f t="shared" si="96"/>
        <v>134423.52000000002</v>
      </c>
      <c r="Z159" s="33"/>
      <c r="AA159" s="33"/>
      <c r="AB159" s="438"/>
      <c r="AC159" s="33"/>
    </row>
    <row r="160" spans="1:29" x14ac:dyDescent="0.3">
      <c r="A160" s="682">
        <v>43910.322916666664</v>
      </c>
      <c r="B160" s="682">
        <v>43911.204861111109</v>
      </c>
      <c r="C160" s="23"/>
      <c r="D160" s="23"/>
      <c r="E160" s="35" t="s">
        <v>600</v>
      </c>
      <c r="F160" s="25" t="s">
        <v>328</v>
      </c>
      <c r="G160" s="433">
        <v>31154</v>
      </c>
      <c r="H160" s="433"/>
      <c r="I160" s="433">
        <v>72300</v>
      </c>
      <c r="J160" s="26">
        <f t="shared" si="91"/>
        <v>-41146</v>
      </c>
      <c r="K160" s="27">
        <f t="shared" si="88"/>
        <v>0.88194444444525288</v>
      </c>
      <c r="L160" s="27">
        <f>'[234]YU LIN HAI'!$F$53</f>
        <v>0.56250000001091394</v>
      </c>
      <c r="M160" s="434">
        <f t="shared" si="92"/>
        <v>35324.220472408568</v>
      </c>
      <c r="N160" s="434">
        <f t="shared" si="89"/>
        <v>55384.888887814282</v>
      </c>
      <c r="O160" s="434">
        <v>30000</v>
      </c>
      <c r="P160" s="69">
        <f>(183580/10000)*8.7</f>
        <v>159.71459999999999</v>
      </c>
      <c r="Q160" s="69">
        <f>(178700/10000)*8.7</f>
        <v>155.46899999999999</v>
      </c>
      <c r="R160" s="69">
        <f t="shared" si="71"/>
        <v>4.245599999999996</v>
      </c>
      <c r="S160" s="435">
        <f t="shared" si="93"/>
        <v>0.15664120177184299</v>
      </c>
      <c r="T160" s="435">
        <f t="shared" si="94"/>
        <v>0.16032687710765103</v>
      </c>
      <c r="U160" s="69">
        <f>S160-T160</f>
        <v>-3.6856753358080474E-3</v>
      </c>
      <c r="V160" s="436"/>
      <c r="W160" s="437"/>
      <c r="X160" s="33">
        <v>2.64</v>
      </c>
      <c r="Y160" s="33">
        <f t="shared" si="96"/>
        <v>82246.559999999998</v>
      </c>
      <c r="Z160" s="33"/>
      <c r="AA160" s="33"/>
      <c r="AB160" s="438"/>
      <c r="AC160" s="33"/>
    </row>
    <row r="161" spans="1:29" x14ac:dyDescent="0.3">
      <c r="A161" s="439">
        <v>43911.989583333336</v>
      </c>
      <c r="B161" s="439">
        <v>43914.388888888891</v>
      </c>
      <c r="C161" s="23"/>
      <c r="D161" s="23"/>
      <c r="E161" s="35" t="s">
        <v>709</v>
      </c>
      <c r="F161" s="25" t="s">
        <v>328</v>
      </c>
      <c r="G161" s="433">
        <v>57744</v>
      </c>
      <c r="H161" s="433"/>
      <c r="I161" s="433">
        <v>79200</v>
      </c>
      <c r="J161" s="26">
        <f t="shared" si="91"/>
        <v>-21456</v>
      </c>
      <c r="K161" s="27">
        <f t="shared" si="88"/>
        <v>2.3993055555547471</v>
      </c>
      <c r="L161" s="27">
        <f>'[234]KM SYDNEY'!$F$81</f>
        <v>1.0434027777773736</v>
      </c>
      <c r="M161" s="434">
        <f t="shared" si="92"/>
        <v>24066.963820558038</v>
      </c>
      <c r="N161" s="434">
        <f t="shared" si="89"/>
        <v>55342.003327808459</v>
      </c>
      <c r="O161" s="434">
        <v>30000</v>
      </c>
      <c r="P161" s="69">
        <f>(177610/10000)*8.7</f>
        <v>154.52069999999998</v>
      </c>
      <c r="Q161" s="69">
        <f>(167350/10000)*8.7</f>
        <v>145.59449999999998</v>
      </c>
      <c r="R161" s="69">
        <f t="shared" si="71"/>
        <v>8.9261999999999944</v>
      </c>
      <c r="S161" s="435">
        <f t="shared" si="93"/>
        <v>0.1776807980049874</v>
      </c>
      <c r="T161" s="435">
        <f t="shared" si="94"/>
        <v>0.18186152266392827</v>
      </c>
      <c r="U161" s="435"/>
      <c r="V161" s="436"/>
      <c r="W161" s="437"/>
      <c r="X161" s="33">
        <v>2.64</v>
      </c>
      <c r="Y161" s="33">
        <f t="shared" si="96"/>
        <v>152444.16</v>
      </c>
      <c r="Z161" s="33"/>
      <c r="AA161" s="33"/>
      <c r="AB161" s="438"/>
      <c r="AC161" s="33"/>
    </row>
    <row r="162" spans="1:29" x14ac:dyDescent="0.3">
      <c r="A162" s="439">
        <v>43920.104166666664</v>
      </c>
      <c r="B162" s="439">
        <v>43922.125</v>
      </c>
      <c r="C162" s="23"/>
      <c r="D162" s="23"/>
      <c r="E162" s="35" t="s">
        <v>714</v>
      </c>
      <c r="F162" s="25" t="s">
        <v>328</v>
      </c>
      <c r="G162" s="433">
        <v>58084</v>
      </c>
      <c r="H162" s="433"/>
      <c r="I162" s="433">
        <v>88000</v>
      </c>
      <c r="J162" s="26">
        <f t="shared" si="91"/>
        <v>-29916</v>
      </c>
      <c r="K162" s="27">
        <f t="shared" si="88"/>
        <v>2.0208333333357587</v>
      </c>
      <c r="L162" s="27">
        <f>'[235]OCEAN TREASURE'!$F$114</f>
        <v>1.1909722222359658</v>
      </c>
      <c r="M162" s="434">
        <f t="shared" si="92"/>
        <v>28742.597938109833</v>
      </c>
      <c r="N162" s="434">
        <f t="shared" si="89"/>
        <v>48770.239066492599</v>
      </c>
      <c r="O162" s="434">
        <v>30000</v>
      </c>
      <c r="P162" s="69">
        <f>(158720/10000)*8.7</f>
        <v>138.0864</v>
      </c>
      <c r="Q162" s="69">
        <f>(148360/10000)*8.7</f>
        <v>129.07319999999999</v>
      </c>
      <c r="R162" s="69">
        <f t="shared" si="71"/>
        <v>9.0132000000000119</v>
      </c>
      <c r="S162" s="435">
        <f t="shared" si="93"/>
        <v>0.1783623717374839</v>
      </c>
      <c r="T162" s="435">
        <f t="shared" si="94"/>
        <v>0.18255913342542465</v>
      </c>
      <c r="U162" s="435"/>
      <c r="V162" s="436"/>
      <c r="W162" s="437"/>
      <c r="X162" s="33">
        <v>2.64</v>
      </c>
      <c r="Y162" s="33">
        <f t="shared" ref="Y162:Y167" si="97">G162*X162</f>
        <v>153341.76000000001</v>
      </c>
      <c r="Z162" s="33"/>
      <c r="AA162" s="33"/>
      <c r="AB162" s="438"/>
      <c r="AC162" s="33"/>
    </row>
    <row r="163" spans="1:29" x14ac:dyDescent="0.3">
      <c r="A163" s="439">
        <v>43923.972222222219</v>
      </c>
      <c r="B163" s="439">
        <v>43927.6875</v>
      </c>
      <c r="C163" s="23"/>
      <c r="D163" s="14"/>
      <c r="E163" s="35" t="s">
        <v>715</v>
      </c>
      <c r="F163" s="36" t="s">
        <v>328</v>
      </c>
      <c r="G163" s="433">
        <v>71500</v>
      </c>
      <c r="H163" s="433"/>
      <c r="I163" s="433">
        <v>71500</v>
      </c>
      <c r="J163" s="26">
        <f t="shared" si="91"/>
        <v>0</v>
      </c>
      <c r="K163" s="27">
        <f t="shared" si="88"/>
        <v>3.7152777777810115</v>
      </c>
      <c r="L163" s="27">
        <f>'[235]XIE HAI FA ZHAN'!$F$140</f>
        <v>1.809027777776161</v>
      </c>
      <c r="M163" s="434">
        <f t="shared" si="92"/>
        <v>19244.85981306736</v>
      </c>
      <c r="N163" s="434">
        <f t="shared" si="89"/>
        <v>39523.992322492137</v>
      </c>
      <c r="O163" s="434">
        <v>30000</v>
      </c>
      <c r="P163" s="69">
        <f>(145570/10000)*8.7</f>
        <v>126.6459</v>
      </c>
      <c r="Q163" s="69">
        <f>(129030/10000)*8.7</f>
        <v>112.25609999999999</v>
      </c>
      <c r="R163" s="69">
        <f t="shared" si="71"/>
        <v>14.389800000000008</v>
      </c>
      <c r="S163" s="435">
        <f t="shared" si="93"/>
        <v>0.23132867132867149</v>
      </c>
      <c r="T163" s="435">
        <f t="shared" si="94"/>
        <v>0.2367716988893461</v>
      </c>
      <c r="U163" s="435"/>
      <c r="V163" s="31"/>
      <c r="W163" s="32"/>
      <c r="X163" s="33">
        <v>2.64</v>
      </c>
      <c r="Y163" s="33">
        <f t="shared" si="97"/>
        <v>188760</v>
      </c>
      <c r="Z163" s="33"/>
      <c r="AA163" s="33"/>
      <c r="AB163" s="438"/>
      <c r="AC163" s="33"/>
    </row>
    <row r="164" spans="1:29" x14ac:dyDescent="0.3">
      <c r="A164" s="439">
        <v>43927.916666666664</v>
      </c>
      <c r="B164" s="439">
        <v>43929.791666666664</v>
      </c>
      <c r="C164" s="23"/>
      <c r="D164" s="23"/>
      <c r="E164" s="35" t="s">
        <v>716</v>
      </c>
      <c r="F164" s="25" t="s">
        <v>32</v>
      </c>
      <c r="G164" s="433">
        <f>57320</f>
        <v>57320</v>
      </c>
      <c r="H164" s="433"/>
      <c r="I164" s="433">
        <v>71500</v>
      </c>
      <c r="J164" s="26">
        <f t="shared" si="91"/>
        <v>-14180</v>
      </c>
      <c r="K164" s="27">
        <f t="shared" si="88"/>
        <v>1.875</v>
      </c>
      <c r="L164" s="27">
        <f>'[235]YUE DIAN 82'!$F$96</f>
        <v>1.0416666666666667</v>
      </c>
      <c r="M164" s="434">
        <f t="shared" si="92"/>
        <v>30570.666666666668</v>
      </c>
      <c r="N164" s="434">
        <f t="shared" si="89"/>
        <v>55027.199999999997</v>
      </c>
      <c r="O164" s="434">
        <v>30000</v>
      </c>
      <c r="P164" s="69">
        <f>(128770/10000)*8.7</f>
        <v>112.0299</v>
      </c>
      <c r="Q164" s="69">
        <f>(118860/10000)*8.7</f>
        <v>103.40819999999998</v>
      </c>
      <c r="R164" s="69">
        <f t="shared" si="71"/>
        <v>8.6217000000000183</v>
      </c>
      <c r="S164" s="435">
        <f t="shared" si="93"/>
        <v>0.17288904396371288</v>
      </c>
      <c r="T164" s="435">
        <f>R164/8.5*10000/(G164)</f>
        <v>0.17695702146874143</v>
      </c>
      <c r="U164" s="69">
        <f>S164-T164</f>
        <v>-4.0679775050285472E-3</v>
      </c>
      <c r="V164" s="436"/>
      <c r="W164" s="437"/>
      <c r="X164" s="33">
        <v>2.64</v>
      </c>
      <c r="Y164" s="33">
        <f t="shared" si="97"/>
        <v>151324.80000000002</v>
      </c>
      <c r="Z164" s="33"/>
      <c r="AA164" s="33"/>
      <c r="AB164" s="438"/>
      <c r="AC164" s="33"/>
    </row>
    <row r="165" spans="1:29" x14ac:dyDescent="0.3">
      <c r="A165" s="439">
        <v>43933.798611111109</v>
      </c>
      <c r="B165" s="439">
        <v>43935.243055555555</v>
      </c>
      <c r="C165" s="23"/>
      <c r="D165" s="23"/>
      <c r="E165" s="35" t="s">
        <v>41</v>
      </c>
      <c r="F165" s="36" t="s">
        <v>32</v>
      </c>
      <c r="G165" s="433">
        <f>51605</f>
        <v>51605</v>
      </c>
      <c r="H165" s="433"/>
      <c r="I165" s="433">
        <v>86650</v>
      </c>
      <c r="J165" s="26">
        <f t="shared" si="91"/>
        <v>-35045</v>
      </c>
      <c r="K165" s="27">
        <f t="shared" si="88"/>
        <v>1.4444444444452529</v>
      </c>
      <c r="L165" s="27">
        <f>'[235]TAIPOWER PROSPERITY II'!$F$79</f>
        <v>0.94791666667030461</v>
      </c>
      <c r="M165" s="434">
        <f t="shared" si="92"/>
        <v>35726.538461518467</v>
      </c>
      <c r="N165" s="434">
        <f t="shared" si="89"/>
        <v>54440.439560230625</v>
      </c>
      <c r="O165" s="434">
        <v>30000</v>
      </c>
      <c r="P165" s="69">
        <f>(112820/10000)*8.7</f>
        <v>98.153399999999991</v>
      </c>
      <c r="Q165" s="69">
        <f>(105050/10000)*8.7</f>
        <v>91.393500000000003</v>
      </c>
      <c r="R165" s="69">
        <f t="shared" si="71"/>
        <v>6.7598999999999876</v>
      </c>
      <c r="S165" s="435">
        <f t="shared" si="93"/>
        <v>0.15056680554209839</v>
      </c>
      <c r="T165" s="435">
        <f t="shared" si="94"/>
        <v>0.15410955390779479</v>
      </c>
      <c r="U165" s="435"/>
      <c r="V165" s="436"/>
      <c r="W165" s="437"/>
      <c r="X165" s="33">
        <v>2.64</v>
      </c>
      <c r="Y165" s="33">
        <f t="shared" si="97"/>
        <v>136237.20000000001</v>
      </c>
      <c r="Z165" s="33"/>
      <c r="AA165" s="33"/>
      <c r="AB165" s="438"/>
      <c r="AC165" s="33"/>
    </row>
    <row r="166" spans="1:29" x14ac:dyDescent="0.3">
      <c r="A166" s="439">
        <v>43939.194444444445</v>
      </c>
      <c r="B166" s="439">
        <v>43942.194444444445</v>
      </c>
      <c r="C166" s="23"/>
      <c r="D166" s="23"/>
      <c r="E166" s="35" t="s">
        <v>158</v>
      </c>
      <c r="F166" s="25" t="s">
        <v>328</v>
      </c>
      <c r="G166" s="433">
        <v>73502</v>
      </c>
      <c r="H166" s="433"/>
      <c r="I166" s="433">
        <v>73500</v>
      </c>
      <c r="J166" s="26">
        <f t="shared" si="91"/>
        <v>2</v>
      </c>
      <c r="K166" s="27">
        <f t="shared" si="88"/>
        <v>3</v>
      </c>
      <c r="L166" s="27">
        <f>'[235]WU ZHOU 8'!$F$115</f>
        <v>1.2968749999878735</v>
      </c>
      <c r="M166" s="434">
        <f t="shared" si="92"/>
        <v>24500.666666666668</v>
      </c>
      <c r="N166" s="434">
        <f t="shared" si="89"/>
        <v>56676.240964385375</v>
      </c>
      <c r="O166" s="434">
        <v>30000</v>
      </c>
      <c r="P166" s="69">
        <f>(99030/10000)*8.7</f>
        <v>86.156099999999995</v>
      </c>
      <c r="Q166" s="69">
        <f>(85200/10000)*8.7</f>
        <v>74.123999999999995</v>
      </c>
      <c r="R166" s="69">
        <f t="shared" si="71"/>
        <v>12.0321</v>
      </c>
      <c r="S166" s="435">
        <f t="shared" si="93"/>
        <v>0.18815814535658892</v>
      </c>
      <c r="T166" s="435">
        <f t="shared" si="94"/>
        <v>0.1925853958355675</v>
      </c>
      <c r="U166" s="435"/>
      <c r="V166" s="436"/>
      <c r="W166" s="437"/>
      <c r="X166" s="33">
        <v>2.64</v>
      </c>
      <c r="Y166" s="33">
        <f t="shared" si="97"/>
        <v>194045.28</v>
      </c>
      <c r="Z166" s="33"/>
      <c r="AA166" s="33"/>
      <c r="AB166" s="438"/>
      <c r="AC166" s="33"/>
    </row>
    <row r="167" spans="1:29" x14ac:dyDescent="0.3">
      <c r="A167" s="439">
        <v>43943.885416666664</v>
      </c>
      <c r="B167" s="439">
        <v>43948.666666666664</v>
      </c>
      <c r="C167" s="23"/>
      <c r="D167" s="23"/>
      <c r="E167" s="35" t="s">
        <v>717</v>
      </c>
      <c r="F167" s="25" t="s">
        <v>328</v>
      </c>
      <c r="G167" s="433">
        <f>78900</f>
        <v>78900</v>
      </c>
      <c r="H167" s="433"/>
      <c r="I167" s="433">
        <v>78500</v>
      </c>
      <c r="J167" s="26">
        <f>G167-I167</f>
        <v>400</v>
      </c>
      <c r="K167" s="27">
        <f t="shared" si="88"/>
        <v>4.78125</v>
      </c>
      <c r="L167" s="27">
        <f>'[235]SWEET LYDIA'!$F$137</f>
        <v>1.3940972222214139</v>
      </c>
      <c r="M167" s="434">
        <f t="shared" si="92"/>
        <v>16501.960784313724</v>
      </c>
      <c r="N167" s="434">
        <f t="shared" si="89"/>
        <v>56595.765877990474</v>
      </c>
      <c r="O167" s="434">
        <v>30000</v>
      </c>
      <c r="P167" s="69">
        <f>(82600/10000)*8.7</f>
        <v>71.861999999999995</v>
      </c>
      <c r="Q167" s="69">
        <f>(65440/10000)*8.7</f>
        <v>56.932799999999993</v>
      </c>
      <c r="R167" s="69">
        <f t="shared" si="71"/>
        <v>14.929200000000002</v>
      </c>
      <c r="S167" s="435">
        <f>R167/8.7*10000/(G167)</f>
        <v>0.21749049429657799</v>
      </c>
      <c r="T167" s="435">
        <f>R167/8.5*10000/(G167)</f>
        <v>0.22260791769179156</v>
      </c>
      <c r="U167" s="435"/>
      <c r="V167" s="436"/>
      <c r="W167" s="437"/>
      <c r="X167" s="33">
        <v>2.64</v>
      </c>
      <c r="Y167" s="33">
        <f t="shared" si="97"/>
        <v>208296</v>
      </c>
      <c r="Z167" s="33"/>
      <c r="AA167" s="33"/>
      <c r="AB167" s="438"/>
      <c r="AC167" s="33"/>
    </row>
    <row r="168" spans="1:29" x14ac:dyDescent="0.3">
      <c r="A168" s="682">
        <v>43970.902777777781</v>
      </c>
      <c r="B168" s="682">
        <v>43972.430555555555</v>
      </c>
      <c r="C168" s="23"/>
      <c r="D168" s="14"/>
      <c r="E168" s="35" t="s">
        <v>133</v>
      </c>
      <c r="F168" s="25" t="s">
        <v>328</v>
      </c>
      <c r="G168" s="433">
        <f>44992</f>
        <v>44992</v>
      </c>
      <c r="H168" s="433"/>
      <c r="I168" s="26">
        <v>71500</v>
      </c>
      <c r="J168" s="26">
        <f t="shared" si="91"/>
        <v>-26508</v>
      </c>
      <c r="K168" s="27">
        <f t="shared" si="88"/>
        <v>1.5277777777737356</v>
      </c>
      <c r="L168" s="27">
        <f>'[236]YUE DIAN 82'!$F$88</f>
        <v>0.86979166666666663</v>
      </c>
      <c r="M168" s="434">
        <f t="shared" si="92"/>
        <v>29449.309090987008</v>
      </c>
      <c r="N168" s="434">
        <f t="shared" si="89"/>
        <v>51727.329341317367</v>
      </c>
      <c r="O168" s="434">
        <v>30000</v>
      </c>
      <c r="P168" s="69">
        <f>(227780/10000)*8.7</f>
        <v>198.16859999999997</v>
      </c>
      <c r="Q168" s="69">
        <f>(219780/10000)*8.7</f>
        <v>191.20859999999999</v>
      </c>
      <c r="R168" s="69">
        <f t="shared" si="71"/>
        <v>6.9599999999999795</v>
      </c>
      <c r="S168" s="435">
        <f t="shared" si="93"/>
        <v>0.17780938833570362</v>
      </c>
      <c r="T168" s="435">
        <f t="shared" si="94"/>
        <v>0.18199313864948488</v>
      </c>
      <c r="U168" s="435" t="e">
        <f>S168/8.5*10000/(H165)</f>
        <v>#DIV/0!</v>
      </c>
      <c r="V168" s="436"/>
      <c r="W168" s="32"/>
      <c r="X168" s="33">
        <v>2.64</v>
      </c>
      <c r="Y168" s="33">
        <f t="shared" ref="Y168:Y171" si="98">G168*X168</f>
        <v>118778.88</v>
      </c>
      <c r="Z168" s="33"/>
      <c r="AA168" s="33"/>
      <c r="AB168" s="438"/>
      <c r="AC168" s="33"/>
    </row>
    <row r="169" spans="1:29" x14ac:dyDescent="0.3">
      <c r="A169" s="682">
        <v>43973.111111111109</v>
      </c>
      <c r="B169" s="439">
        <v>43977.770833333336</v>
      </c>
      <c r="C169" s="23"/>
      <c r="D169" s="23"/>
      <c r="E169" s="35" t="s">
        <v>621</v>
      </c>
      <c r="F169" s="25" t="s">
        <v>328</v>
      </c>
      <c r="G169" s="433">
        <f>74100</f>
        <v>74100</v>
      </c>
      <c r="H169" s="433"/>
      <c r="I169" s="433">
        <v>88000</v>
      </c>
      <c r="J169" s="26">
        <f t="shared" si="91"/>
        <v>-13900</v>
      </c>
      <c r="K169" s="27">
        <f>B169-A169-'[236]FLAG TOM'!$F$71</f>
        <v>2.4756944444452529</v>
      </c>
      <c r="L169" s="27">
        <f>'[236]FLAG TOM'!$F$116</f>
        <v>1.3819444444440403</v>
      </c>
      <c r="M169" s="434">
        <f t="shared" si="92"/>
        <v>29930.995792416594</v>
      </c>
      <c r="N169" s="434">
        <f t="shared" si="89"/>
        <v>53620.100502528243</v>
      </c>
      <c r="O169" s="434">
        <v>30000</v>
      </c>
      <c r="P169" s="69">
        <f>(218820/10000)*8.7</f>
        <v>190.3734</v>
      </c>
      <c r="Q169" s="69">
        <f>(202610/10000)*8.7</f>
        <v>176.27069999999998</v>
      </c>
      <c r="R169" s="69">
        <f t="shared" si="71"/>
        <v>14.102700000000027</v>
      </c>
      <c r="S169" s="435">
        <f t="shared" si="93"/>
        <v>0.21875843454790866</v>
      </c>
      <c r="T169" s="435">
        <f t="shared" si="94"/>
        <v>0.22390569183138884</v>
      </c>
      <c r="U169" s="69">
        <f>S169-T169</f>
        <v>-5.1472572834801722E-3</v>
      </c>
      <c r="V169" s="436"/>
      <c r="W169" s="437"/>
      <c r="X169" s="33">
        <v>2.64</v>
      </c>
      <c r="Y169" s="33">
        <f t="shared" si="98"/>
        <v>195624</v>
      </c>
      <c r="Z169" s="33"/>
      <c r="AA169" s="33"/>
      <c r="AB169" s="438"/>
      <c r="AC169" s="33"/>
    </row>
    <row r="170" spans="1:29" x14ac:dyDescent="0.3">
      <c r="A170" s="439">
        <v>43978.041666666664</v>
      </c>
      <c r="B170" s="439">
        <v>43980.479166666664</v>
      </c>
      <c r="C170" s="23"/>
      <c r="D170" s="23"/>
      <c r="E170" s="35" t="s">
        <v>623</v>
      </c>
      <c r="F170" s="25" t="s">
        <v>328</v>
      </c>
      <c r="G170" s="433">
        <f>62882</f>
        <v>62882</v>
      </c>
      <c r="H170" s="433"/>
      <c r="I170" s="433">
        <v>83500</v>
      </c>
      <c r="J170" s="26">
        <f t="shared" si="91"/>
        <v>-20618</v>
      </c>
      <c r="K170" s="27">
        <f t="shared" ref="K170:K201" si="99">B170-A170</f>
        <v>2.4375</v>
      </c>
      <c r="L170" s="27">
        <f>'[236]CEMTEX LEADER'!$F$97</f>
        <v>1.168402777765247</v>
      </c>
      <c r="M170" s="434">
        <f t="shared" si="92"/>
        <v>25797.74358974359</v>
      </c>
      <c r="N170" s="434">
        <f t="shared" si="89"/>
        <v>53818.769688541528</v>
      </c>
      <c r="O170" s="434">
        <v>30000</v>
      </c>
      <c r="P170" s="69">
        <f>(202360/10000)*8.7</f>
        <v>176.0532</v>
      </c>
      <c r="Q170" s="69">
        <f>(191330/10000)*8.7</f>
        <v>166.45709999999997</v>
      </c>
      <c r="R170" s="69">
        <f t="shared" si="71"/>
        <v>9.5961000000000354</v>
      </c>
      <c r="S170" s="435">
        <f t="shared" si="93"/>
        <v>0.17540790687319172</v>
      </c>
      <c r="T170" s="435">
        <f t="shared" si="94"/>
        <v>0.17953515174079621</v>
      </c>
      <c r="U170" s="435"/>
      <c r="V170" s="436"/>
      <c r="W170" s="437"/>
      <c r="X170" s="33">
        <v>2.64</v>
      </c>
      <c r="Y170" s="33">
        <f t="shared" si="98"/>
        <v>166008.48000000001</v>
      </c>
      <c r="Z170" s="33"/>
      <c r="AA170" s="33"/>
      <c r="AB170" s="438"/>
      <c r="AC170" s="33"/>
    </row>
    <row r="171" spans="1:29" x14ac:dyDescent="0.3">
      <c r="A171" s="682">
        <v>43980.777777777781</v>
      </c>
      <c r="B171" s="682">
        <v>43982.409722222219</v>
      </c>
      <c r="C171" s="23"/>
      <c r="D171" s="14"/>
      <c r="E171" s="35" t="s">
        <v>718</v>
      </c>
      <c r="F171" s="36" t="s">
        <v>328</v>
      </c>
      <c r="G171" s="433">
        <f>42292</f>
        <v>42292</v>
      </c>
      <c r="H171" s="433"/>
      <c r="I171" s="433">
        <v>88000</v>
      </c>
      <c r="J171" s="26">
        <f t="shared" si="91"/>
        <v>-45708</v>
      </c>
      <c r="K171" s="27">
        <f t="shared" si="99"/>
        <v>1.6319444444379769</v>
      </c>
      <c r="L171" s="27">
        <f>'[236]OCEAN RHEA'!$F$65</f>
        <v>0.78819444443797693</v>
      </c>
      <c r="M171" s="434">
        <f t="shared" si="92"/>
        <v>25915.09787244313</v>
      </c>
      <c r="N171" s="434">
        <f t="shared" si="89"/>
        <v>53656.810573127506</v>
      </c>
      <c r="O171" s="434">
        <v>30000</v>
      </c>
      <c r="P171" s="69">
        <f>(191020/10000)*8.7</f>
        <v>166.1874</v>
      </c>
      <c r="Q171" s="69">
        <f>(183810/10000)*8.7</f>
        <v>159.91469999999998</v>
      </c>
      <c r="R171" s="69">
        <f t="shared" si="71"/>
        <v>6.2727000000000146</v>
      </c>
      <c r="S171" s="435">
        <f t="shared" si="93"/>
        <v>0.17048141492480889</v>
      </c>
      <c r="T171" s="435">
        <f t="shared" si="94"/>
        <v>0.17449274233480436</v>
      </c>
      <c r="U171" s="435" t="e">
        <f>S171/8.5*10000/(H171)</f>
        <v>#DIV/0!</v>
      </c>
      <c r="V171" s="436"/>
      <c r="W171" s="32"/>
      <c r="X171" s="33">
        <v>2.64</v>
      </c>
      <c r="Y171" s="33">
        <f t="shared" si="98"/>
        <v>111650.88</v>
      </c>
      <c r="Z171" s="33"/>
      <c r="AA171" s="33"/>
      <c r="AB171" s="438"/>
      <c r="AC171" s="33"/>
    </row>
    <row r="172" spans="1:29" x14ac:dyDescent="0.3">
      <c r="A172" s="682">
        <v>43983.680555555555</v>
      </c>
      <c r="B172" s="682">
        <v>43986.201388888891</v>
      </c>
      <c r="E172" s="35" t="s">
        <v>719</v>
      </c>
      <c r="F172" s="36" t="s">
        <v>328</v>
      </c>
      <c r="G172" s="433">
        <f>77000</f>
        <v>77000</v>
      </c>
      <c r="H172" s="433"/>
      <c r="I172" s="433">
        <v>77000</v>
      </c>
      <c r="J172" s="26">
        <f t="shared" si="91"/>
        <v>0</v>
      </c>
      <c r="K172" s="27">
        <f t="shared" si="99"/>
        <v>2.5208333333357587</v>
      </c>
      <c r="L172" s="27">
        <f>'[237]DUTA AZZAM '!$F$120</f>
        <v>1.4756944444695062</v>
      </c>
      <c r="M172" s="434">
        <f t="shared" si="92"/>
        <v>30545.454545425157</v>
      </c>
      <c r="N172" s="434">
        <f t="shared" si="89"/>
        <v>52178.823528525609</v>
      </c>
      <c r="O172" s="434">
        <v>30000</v>
      </c>
      <c r="P172" s="69">
        <f>(182010/10000)*8.7</f>
        <v>158.34869999999998</v>
      </c>
      <c r="Q172" s="69">
        <f>(168900/10000)*8.7</f>
        <v>146.94299999999998</v>
      </c>
      <c r="R172" s="69">
        <f t="shared" si="71"/>
        <v>11.405699999999996</v>
      </c>
      <c r="S172" s="435">
        <f t="shared" si="93"/>
        <v>0.17025974025974022</v>
      </c>
      <c r="T172" s="435">
        <f t="shared" si="94"/>
        <v>0.17426585179526349</v>
      </c>
      <c r="X172" s="33">
        <v>2.64</v>
      </c>
      <c r="Y172" s="33">
        <f t="shared" ref="Y172:Y178" si="100">G172*X172</f>
        <v>203280</v>
      </c>
      <c r="AC172" s="3"/>
    </row>
    <row r="173" spans="1:29" x14ac:dyDescent="0.3">
      <c r="A173" s="682">
        <v>43986.604166666664</v>
      </c>
      <c r="B173" s="682">
        <v>43990.375</v>
      </c>
      <c r="E173" s="35" t="s">
        <v>720</v>
      </c>
      <c r="F173" s="36" t="s">
        <v>328</v>
      </c>
      <c r="G173" s="433">
        <f>71500</f>
        <v>71500</v>
      </c>
      <c r="H173" s="433"/>
      <c r="I173" s="433">
        <v>71500</v>
      </c>
      <c r="J173" s="26">
        <f t="shared" si="91"/>
        <v>0</v>
      </c>
      <c r="K173" s="27">
        <f t="shared" si="99"/>
        <v>3.7708333333357587</v>
      </c>
      <c r="L173" s="27">
        <f>[237]AQUAKATANA!$F$104</f>
        <v>1.2656250000133393</v>
      </c>
      <c r="M173" s="434">
        <f t="shared" si="92"/>
        <v>18961.325966838634</v>
      </c>
      <c r="N173" s="434">
        <f t="shared" si="89"/>
        <v>56493.827159898399</v>
      </c>
      <c r="O173" s="434">
        <v>30000</v>
      </c>
      <c r="P173" s="69">
        <f>(168470/10000)*8.7</f>
        <v>146.56890000000001</v>
      </c>
      <c r="Q173" s="69">
        <f>(154720/10000)*8.7</f>
        <v>134.60639999999998</v>
      </c>
      <c r="R173" s="69">
        <f t="shared" si="71"/>
        <v>11.962500000000034</v>
      </c>
      <c r="S173" s="435">
        <f t="shared" si="93"/>
        <v>0.19230769230769287</v>
      </c>
      <c r="T173" s="435">
        <f t="shared" si="94"/>
        <v>0.19683257918552094</v>
      </c>
      <c r="X173" s="33">
        <v>2.64</v>
      </c>
      <c r="Y173" s="33">
        <f t="shared" si="100"/>
        <v>188760</v>
      </c>
      <c r="AC173" s="3"/>
    </row>
    <row r="174" spans="1:29" x14ac:dyDescent="0.3">
      <c r="A174" s="682">
        <v>43991.979166666664</v>
      </c>
      <c r="B174" s="682">
        <v>43993.138888888891</v>
      </c>
      <c r="C174" s="23"/>
      <c r="D174" s="14"/>
      <c r="E174" s="35" t="s">
        <v>109</v>
      </c>
      <c r="F174" s="36" t="s">
        <v>328</v>
      </c>
      <c r="G174" s="433">
        <f>38643</f>
        <v>38643</v>
      </c>
      <c r="H174" s="433"/>
      <c r="I174" s="433">
        <v>67000</v>
      </c>
      <c r="J174" s="26">
        <f t="shared" si="91"/>
        <v>-28357</v>
      </c>
      <c r="K174" s="27">
        <f t="shared" si="99"/>
        <v>1.1597222222262644</v>
      </c>
      <c r="L174" s="27">
        <f>'[237]YUE DIAN 81'!$F$74</f>
        <v>0.7656249999987873</v>
      </c>
      <c r="M174" s="434">
        <f t="shared" si="92"/>
        <v>33320.910179524581</v>
      </c>
      <c r="N174" s="434">
        <f t="shared" si="89"/>
        <v>50472.489795998314</v>
      </c>
      <c r="O174" s="434">
        <v>30000</v>
      </c>
      <c r="P174" s="69">
        <f>(152490/10000)*8.7</f>
        <v>132.66630000000001</v>
      </c>
      <c r="Q174" s="69">
        <f>(146250/10000)*8.7</f>
        <v>127.23749999999998</v>
      </c>
      <c r="R174" s="69">
        <f t="shared" si="71"/>
        <v>5.4288000000000238</v>
      </c>
      <c r="S174" s="435">
        <f t="shared" si="93"/>
        <v>0.16147814610666947</v>
      </c>
      <c r="T174" s="435">
        <f t="shared" si="94"/>
        <v>0.1652776318974146</v>
      </c>
      <c r="U174" s="435"/>
      <c r="V174" s="31"/>
      <c r="W174" s="32"/>
      <c r="X174" s="33">
        <v>2.64</v>
      </c>
      <c r="Y174" s="33">
        <f t="shared" si="100"/>
        <v>102017.52</v>
      </c>
      <c r="Z174" s="33"/>
      <c r="AA174" s="33"/>
      <c r="AB174" s="438"/>
      <c r="AC174" s="33"/>
    </row>
    <row r="175" spans="1:29" x14ac:dyDescent="0.3">
      <c r="A175" s="682">
        <v>43997.0625</v>
      </c>
      <c r="B175" s="682">
        <v>43998.388888888891</v>
      </c>
      <c r="C175" s="23"/>
      <c r="D175" s="14"/>
      <c r="E175" s="35" t="s">
        <v>597</v>
      </c>
      <c r="F175" s="36" t="s">
        <v>328</v>
      </c>
      <c r="G175" s="433">
        <f>39229</f>
        <v>39229</v>
      </c>
      <c r="H175" s="433"/>
      <c r="I175" s="433">
        <v>68000</v>
      </c>
      <c r="J175" s="26">
        <f t="shared" si="91"/>
        <v>-28771</v>
      </c>
      <c r="K175" s="27">
        <f t="shared" si="99"/>
        <v>1.3263888888905058</v>
      </c>
      <c r="L175" s="27">
        <f>'[237]HONG MERIT'!$F$75</f>
        <v>0.76562500000242528</v>
      </c>
      <c r="M175" s="434">
        <f t="shared" si="92"/>
        <v>29575.790575880179</v>
      </c>
      <c r="N175" s="434">
        <f t="shared" si="89"/>
        <v>51237.877550858102</v>
      </c>
      <c r="O175" s="434">
        <v>30000</v>
      </c>
      <c r="P175" s="69">
        <f>(140510/10000)*8.7</f>
        <v>122.24369999999999</v>
      </c>
      <c r="Q175" s="69">
        <f>(133430/10000)*8.7</f>
        <v>116.08409999999999</v>
      </c>
      <c r="R175" s="69">
        <f t="shared" si="71"/>
        <v>6.1595999999999975</v>
      </c>
      <c r="S175" s="435">
        <f t="shared" si="93"/>
        <v>0.18047872747202318</v>
      </c>
      <c r="T175" s="435">
        <f t="shared" si="94"/>
        <v>0.18472528576548253</v>
      </c>
      <c r="U175" s="435"/>
      <c r="V175" s="31"/>
      <c r="W175" s="32"/>
      <c r="X175" s="33">
        <v>2.64</v>
      </c>
      <c r="Y175" s="33">
        <f t="shared" si="100"/>
        <v>103564.56</v>
      </c>
      <c r="Z175" s="33"/>
      <c r="AA175" s="33"/>
      <c r="AB175" s="438"/>
      <c r="AC175" s="33"/>
    </row>
    <row r="176" spans="1:29" x14ac:dyDescent="0.3">
      <c r="A176" s="682">
        <v>43999.975694444445</v>
      </c>
      <c r="B176" s="682">
        <v>44002.208333333336</v>
      </c>
      <c r="C176" s="23"/>
      <c r="D176" s="23"/>
      <c r="E176" s="35" t="s">
        <v>636</v>
      </c>
      <c r="F176" s="36" t="s">
        <v>328</v>
      </c>
      <c r="G176" s="433">
        <f>40158</f>
        <v>40158</v>
      </c>
      <c r="H176" s="433"/>
      <c r="I176" s="433">
        <v>63000</v>
      </c>
      <c r="J176" s="26">
        <f>G176-I176</f>
        <v>-22842</v>
      </c>
      <c r="K176" s="27">
        <f t="shared" si="99"/>
        <v>2.2326388888905058</v>
      </c>
      <c r="L176" s="27">
        <f>'[237]W RAPTOR'!$F$70</f>
        <v>0.78993055558263825</v>
      </c>
      <c r="M176" s="434">
        <f t="shared" si="92"/>
        <v>17986.786936223365</v>
      </c>
      <c r="N176" s="434">
        <f t="shared" si="89"/>
        <v>50837.380218037266</v>
      </c>
      <c r="O176" s="434">
        <v>30000</v>
      </c>
      <c r="P176" s="69">
        <f>(131190/10000)*8.7</f>
        <v>114.13529999999999</v>
      </c>
      <c r="Q176" s="69">
        <f>(122730/10000)*8.7</f>
        <v>106.77509999999999</v>
      </c>
      <c r="R176" s="69">
        <f t="shared" ref="R176:R239" si="101">P176-Q176</f>
        <v>7.3601999999999919</v>
      </c>
      <c r="S176" s="435">
        <f t="shared" si="93"/>
        <v>0.21066786194531578</v>
      </c>
      <c r="T176" s="435">
        <f t="shared" si="94"/>
        <v>0.21562475281461729</v>
      </c>
      <c r="U176" s="69"/>
      <c r="V176" s="436"/>
      <c r="W176" s="437"/>
      <c r="X176" s="33">
        <v>2.64</v>
      </c>
      <c r="Y176" s="33">
        <f t="shared" si="100"/>
        <v>106017.12000000001</v>
      </c>
      <c r="Z176" s="33"/>
      <c r="AA176" s="33"/>
      <c r="AB176" s="438"/>
      <c r="AC176" s="33"/>
    </row>
    <row r="177" spans="1:29" x14ac:dyDescent="0.3">
      <c r="A177" s="682">
        <v>44003.118055555555</v>
      </c>
      <c r="B177" s="682">
        <v>44005.701388888891</v>
      </c>
      <c r="C177" s="23"/>
      <c r="D177" s="23"/>
      <c r="E177" s="35" t="s">
        <v>722</v>
      </c>
      <c r="F177" s="36" t="s">
        <v>328</v>
      </c>
      <c r="G177" s="433">
        <f>79722</f>
        <v>79722</v>
      </c>
      <c r="H177" s="433"/>
      <c r="I177" s="433">
        <v>75810</v>
      </c>
      <c r="J177" s="26">
        <f t="shared" si="91"/>
        <v>3912</v>
      </c>
      <c r="K177" s="27">
        <f t="shared" si="99"/>
        <v>2.5833333333357587</v>
      </c>
      <c r="L177" s="27">
        <f>'[237]BK ALICE'!$F$126</f>
        <v>1.5104166666775807</v>
      </c>
      <c r="M177" s="434">
        <f t="shared" si="92"/>
        <v>30860.129032229092</v>
      </c>
      <c r="N177" s="434">
        <f t="shared" si="89"/>
        <v>52781.462068584129</v>
      </c>
      <c r="O177" s="434">
        <v>30000</v>
      </c>
      <c r="P177" s="69">
        <f>(121490/10000)*8.7</f>
        <v>105.69629999999998</v>
      </c>
      <c r="Q177" s="69">
        <f>(108140/10000)*8.7</f>
        <v>94.081799999999987</v>
      </c>
      <c r="R177" s="69">
        <f t="shared" si="101"/>
        <v>11.614499999999992</v>
      </c>
      <c r="S177" s="435">
        <f t="shared" si="93"/>
        <v>0.16745691277188221</v>
      </c>
      <c r="T177" s="435">
        <f t="shared" si="94"/>
        <v>0.17139707542533825</v>
      </c>
      <c r="U177" s="69"/>
      <c r="V177" s="436"/>
      <c r="W177" s="437"/>
      <c r="X177" s="33">
        <v>2.64</v>
      </c>
      <c r="Y177" s="33">
        <f t="shared" si="100"/>
        <v>210466.08000000002</v>
      </c>
      <c r="Z177" s="33"/>
      <c r="AA177" s="33"/>
      <c r="AB177" s="438"/>
      <c r="AC177" s="33"/>
    </row>
    <row r="178" spans="1:29" x14ac:dyDescent="0.3">
      <c r="A178" s="682">
        <v>44009.746527777781</v>
      </c>
      <c r="B178" s="682">
        <v>44012.979166666664</v>
      </c>
      <c r="C178" s="23"/>
      <c r="D178" s="23"/>
      <c r="E178" s="35" t="s">
        <v>723</v>
      </c>
      <c r="F178" s="36" t="s">
        <v>328</v>
      </c>
      <c r="G178" s="433">
        <f>94550</f>
        <v>94550</v>
      </c>
      <c r="H178" s="433"/>
      <c r="I178" s="433">
        <v>94550</v>
      </c>
      <c r="J178" s="26">
        <f t="shared" si="91"/>
        <v>0</v>
      </c>
      <c r="K178" s="27">
        <f t="shared" si="99"/>
        <v>3.2326388888832298</v>
      </c>
      <c r="L178" s="27">
        <f>'[237]CEMTEX RENAISSANCE'!$F$139</f>
        <v>1.8125000000133393</v>
      </c>
      <c r="M178" s="434">
        <f t="shared" si="92"/>
        <v>29248.549946345509</v>
      </c>
      <c r="N178" s="434">
        <f t="shared" si="89"/>
        <v>52165.517240995388</v>
      </c>
      <c r="O178" s="434">
        <v>30000</v>
      </c>
      <c r="P178" s="69">
        <f>(102180/10000)*8.7</f>
        <v>88.896599999999992</v>
      </c>
      <c r="Q178" s="69">
        <f>(86370/10000)*8.7</f>
        <v>75.141899999999993</v>
      </c>
      <c r="R178" s="69">
        <f t="shared" si="101"/>
        <v>13.7547</v>
      </c>
      <c r="S178" s="435">
        <f t="shared" si="93"/>
        <v>0.16721311475409839</v>
      </c>
      <c r="T178" s="435">
        <f t="shared" si="94"/>
        <v>0.17114754098360654</v>
      </c>
      <c r="U178" s="435"/>
      <c r="V178" s="436"/>
      <c r="W178" s="437"/>
      <c r="X178" s="33">
        <v>2.64</v>
      </c>
      <c r="Y178" s="33">
        <f t="shared" si="100"/>
        <v>249612</v>
      </c>
      <c r="Z178" s="33"/>
      <c r="AA178" s="33"/>
      <c r="AB178" s="438"/>
      <c r="AC178" s="33"/>
    </row>
    <row r="179" spans="1:29" x14ac:dyDescent="0.3">
      <c r="A179" s="682">
        <v>44013.881944444445</v>
      </c>
      <c r="B179" s="682">
        <v>44016.270833333336</v>
      </c>
      <c r="C179" s="23"/>
      <c r="D179" s="14"/>
      <c r="E179" s="35" t="s">
        <v>724</v>
      </c>
      <c r="F179" s="36" t="s">
        <v>32</v>
      </c>
      <c r="G179" s="433">
        <f>63042</f>
        <v>63042</v>
      </c>
      <c r="H179" s="433"/>
      <c r="I179" s="433">
        <v>79650</v>
      </c>
      <c r="J179" s="26">
        <f t="shared" si="91"/>
        <v>-16608</v>
      </c>
      <c r="K179" s="27">
        <f t="shared" si="99"/>
        <v>2.3888888888905058</v>
      </c>
      <c r="L179" s="27">
        <f>'[238]KONSTANTINOUS II'!$F$104</f>
        <v>1.2569444444513163</v>
      </c>
      <c r="M179" s="434">
        <f t="shared" si="92"/>
        <v>26389.67441858679</v>
      </c>
      <c r="N179" s="434">
        <f t="shared" si="89"/>
        <v>50154.961325692653</v>
      </c>
      <c r="O179" s="434">
        <v>30000</v>
      </c>
      <c r="P179" s="69">
        <f>(85080/10000)*8.7</f>
        <v>74.019599999999983</v>
      </c>
      <c r="Q179" s="69">
        <f>(73490/10000)*8.7</f>
        <v>63.936299999999996</v>
      </c>
      <c r="R179" s="69">
        <f t="shared" si="101"/>
        <v>10.083299999999987</v>
      </c>
      <c r="S179" s="435">
        <f t="shared" si="93"/>
        <v>0.1838456901748039</v>
      </c>
      <c r="T179" s="435">
        <f t="shared" si="94"/>
        <v>0.18817147112009336</v>
      </c>
      <c r="U179" s="435" t="e">
        <f>S179/8.5*10000/(H179)</f>
        <v>#DIV/0!</v>
      </c>
      <c r="V179" s="436"/>
      <c r="W179" s="32"/>
      <c r="X179" s="33">
        <v>2.64</v>
      </c>
      <c r="Y179" s="33">
        <f t="shared" ref="Y179:Y184" si="102">G179*X179</f>
        <v>166430.88</v>
      </c>
      <c r="Z179" s="33"/>
      <c r="AA179" s="33"/>
      <c r="AB179" s="438"/>
      <c r="AC179" s="33"/>
    </row>
    <row r="180" spans="1:29" x14ac:dyDescent="0.3">
      <c r="A180" s="682">
        <v>44020.826388888891</v>
      </c>
      <c r="B180" s="682">
        <v>44023.479166666664</v>
      </c>
      <c r="C180" s="23"/>
      <c r="D180" s="23"/>
      <c r="E180" s="35" t="s">
        <v>725</v>
      </c>
      <c r="F180" s="25" t="s">
        <v>91</v>
      </c>
      <c r="G180" s="433">
        <f>84704</f>
        <v>84704</v>
      </c>
      <c r="H180" s="433"/>
      <c r="I180" s="433">
        <v>152600</v>
      </c>
      <c r="J180" s="26">
        <f t="shared" si="91"/>
        <v>-67896</v>
      </c>
      <c r="K180" s="27">
        <f t="shared" si="99"/>
        <v>2.6527777777737356</v>
      </c>
      <c r="L180" s="27">
        <f>[238]ADONIS!$F$116</f>
        <v>1.7187499999915115</v>
      </c>
      <c r="M180" s="434">
        <f t="shared" si="92"/>
        <v>31930.303664970121</v>
      </c>
      <c r="N180" s="434">
        <f t="shared" si="89"/>
        <v>49282.327272970666</v>
      </c>
      <c r="O180" s="434">
        <v>30000</v>
      </c>
      <c r="P180" s="69">
        <f>(246630/10000)*8.7</f>
        <v>214.56809999999999</v>
      </c>
      <c r="Q180" s="69">
        <f>(232980/10000)*8.7</f>
        <v>202.69259999999997</v>
      </c>
      <c r="R180" s="69">
        <f t="shared" si="101"/>
        <v>11.875500000000017</v>
      </c>
      <c r="S180" s="435">
        <f t="shared" si="93"/>
        <v>0.16114941443143205</v>
      </c>
      <c r="T180" s="435">
        <f t="shared" si="94"/>
        <v>0.16494116535923045</v>
      </c>
      <c r="U180" s="435"/>
      <c r="V180" s="436"/>
      <c r="W180" s="437"/>
      <c r="X180" s="33">
        <v>2.64</v>
      </c>
      <c r="Y180" s="33">
        <f t="shared" si="102"/>
        <v>223618.56</v>
      </c>
      <c r="Z180" s="33"/>
      <c r="AA180" s="33"/>
      <c r="AB180" s="438"/>
      <c r="AC180" s="33"/>
    </row>
    <row r="181" spans="1:29" x14ac:dyDescent="0.3">
      <c r="A181" s="682">
        <v>44027.9375</v>
      </c>
      <c r="B181" s="682">
        <v>44029.347222222219</v>
      </c>
      <c r="C181" s="23"/>
      <c r="D181" s="23"/>
      <c r="E181" s="35" t="s">
        <v>726</v>
      </c>
      <c r="F181" s="25" t="s">
        <v>328</v>
      </c>
      <c r="G181" s="433">
        <v>42180</v>
      </c>
      <c r="H181" s="433"/>
      <c r="I181" s="433">
        <v>77000</v>
      </c>
      <c r="J181" s="26">
        <f t="shared" si="91"/>
        <v>-34820</v>
      </c>
      <c r="K181" s="27">
        <f t="shared" si="99"/>
        <v>1.4097222222189885</v>
      </c>
      <c r="L181" s="27">
        <f>'[238]SAKIZAYA POWER'!$F$68</f>
        <v>0.83159722221049981</v>
      </c>
      <c r="M181" s="434">
        <f t="shared" si="92"/>
        <v>29920.788177408536</v>
      </c>
      <c r="N181" s="434">
        <f t="shared" si="89"/>
        <v>50721.670146852775</v>
      </c>
      <c r="O181" s="434">
        <v>30000</v>
      </c>
      <c r="P181" s="69">
        <f>(226370/10000)*8.7</f>
        <v>196.94189999999998</v>
      </c>
      <c r="Q181" s="69">
        <f>(219180/10000)*8.7</f>
        <v>190.68659999999997</v>
      </c>
      <c r="R181" s="69">
        <f t="shared" si="101"/>
        <v>6.2553000000000054</v>
      </c>
      <c r="S181" s="435">
        <f t="shared" si="93"/>
        <v>0.17045993361782852</v>
      </c>
      <c r="T181" s="435">
        <f>R181/8.5*10000/(G181)</f>
        <v>0.17447075558530681</v>
      </c>
      <c r="U181" s="435"/>
      <c r="V181" s="436"/>
      <c r="W181" s="437"/>
      <c r="X181" s="33">
        <v>2.64</v>
      </c>
      <c r="Y181" s="33">
        <f t="shared" si="102"/>
        <v>111355.20000000001</v>
      </c>
      <c r="Z181" s="33"/>
      <c r="AA181" s="33"/>
      <c r="AB181" s="438"/>
      <c r="AC181" s="33"/>
    </row>
    <row r="182" spans="1:29" x14ac:dyDescent="0.3">
      <c r="A182" s="682">
        <v>44030.826388888891</v>
      </c>
      <c r="B182" s="682">
        <v>44032.677083333336</v>
      </c>
      <c r="C182" s="23"/>
      <c r="D182" s="23"/>
      <c r="E182" s="35" t="s">
        <v>119</v>
      </c>
      <c r="F182" s="25" t="s">
        <v>328</v>
      </c>
      <c r="G182" s="433">
        <v>63165</v>
      </c>
      <c r="H182" s="433"/>
      <c r="I182" s="433">
        <v>63165</v>
      </c>
      <c r="J182" s="26">
        <f>G182-I182</f>
        <v>0</v>
      </c>
      <c r="K182" s="27">
        <f t="shared" si="99"/>
        <v>1.8506944444452529</v>
      </c>
      <c r="L182" s="27">
        <f>[238]GLORIEVER!$F$95</f>
        <v>1.3194444444476783</v>
      </c>
      <c r="M182" s="434">
        <f t="shared" si="92"/>
        <v>34130.431519684906</v>
      </c>
      <c r="N182" s="434">
        <f t="shared" si="89"/>
        <v>47872.421052514248</v>
      </c>
      <c r="O182" s="434">
        <v>30000</v>
      </c>
      <c r="P182" s="69">
        <f>(217102/10000)*8.7</f>
        <v>188.87873999999999</v>
      </c>
      <c r="Q182" s="69">
        <f>(207058/10000)*8.7</f>
        <v>180.14045999999999</v>
      </c>
      <c r="R182" s="69">
        <f t="shared" si="101"/>
        <v>8.7382800000000032</v>
      </c>
      <c r="S182" s="435">
        <f t="shared" si="93"/>
        <v>0.15901211113749708</v>
      </c>
      <c r="T182" s="435">
        <f t="shared" si="94"/>
        <v>0.16275357257602646</v>
      </c>
      <c r="U182" s="435"/>
      <c r="V182" s="436"/>
      <c r="W182" s="437"/>
      <c r="X182" s="33">
        <v>2.64</v>
      </c>
      <c r="Y182" s="33">
        <f t="shared" si="102"/>
        <v>166755.6</v>
      </c>
      <c r="Z182" s="33"/>
      <c r="AA182" s="33"/>
      <c r="AB182" s="438"/>
      <c r="AC182" s="33"/>
    </row>
    <row r="183" spans="1:29" x14ac:dyDescent="0.3">
      <c r="A183" s="682">
        <v>44033.916666666664</v>
      </c>
      <c r="B183" s="682">
        <v>44035.444444444445</v>
      </c>
      <c r="C183" s="23"/>
      <c r="D183" s="23"/>
      <c r="E183" s="35" t="s">
        <v>657</v>
      </c>
      <c r="F183" s="25" t="s">
        <v>328</v>
      </c>
      <c r="G183" s="433">
        <f>51541</f>
        <v>51541</v>
      </c>
      <c r="H183" s="433"/>
      <c r="I183" s="433">
        <v>88000</v>
      </c>
      <c r="J183" s="26">
        <f t="shared" si="91"/>
        <v>-36459</v>
      </c>
      <c r="K183" s="27">
        <f t="shared" si="99"/>
        <v>1.5277777777810115</v>
      </c>
      <c r="L183" s="27">
        <f>'[238]CLAIRE Z'!$F$80</f>
        <v>1.0624999999878735</v>
      </c>
      <c r="M183" s="434">
        <f>(G183)/K183</f>
        <v>33735.927272655863</v>
      </c>
      <c r="N183" s="434">
        <f t="shared" si="89"/>
        <v>48509.17647114188</v>
      </c>
      <c r="O183" s="434">
        <v>30000</v>
      </c>
      <c r="P183" s="69">
        <f>(205220/10000)*8.7</f>
        <v>178.54139999999998</v>
      </c>
      <c r="Q183" s="69">
        <f>(197040/10000)*8.7</f>
        <v>171.4248</v>
      </c>
      <c r="R183" s="69">
        <f t="shared" si="101"/>
        <v>7.1165999999999769</v>
      </c>
      <c r="S183" s="435">
        <f>R183/8.7*10000/(G183)</f>
        <v>0.15870860091965569</v>
      </c>
      <c r="T183" s="435">
        <f>R183/8.5*10000/(G183)</f>
        <v>0.16244292094129462</v>
      </c>
      <c r="U183" s="435"/>
      <c r="V183" s="436"/>
      <c r="W183" s="437"/>
      <c r="X183" s="33">
        <v>2.64</v>
      </c>
      <c r="Y183" s="33">
        <f t="shared" si="102"/>
        <v>136068.24000000002</v>
      </c>
      <c r="Z183" s="33"/>
      <c r="AA183" s="33"/>
      <c r="AB183" s="438"/>
      <c r="AC183" s="33"/>
    </row>
    <row r="184" spans="1:29" x14ac:dyDescent="0.3">
      <c r="A184" s="682">
        <v>44036.3125</v>
      </c>
      <c r="B184" s="682">
        <v>44040.180555555555</v>
      </c>
      <c r="C184" s="23"/>
      <c r="D184" s="23"/>
      <c r="E184" s="35" t="s">
        <v>727</v>
      </c>
      <c r="F184" s="25" t="s">
        <v>328</v>
      </c>
      <c r="G184" s="433">
        <f>73455</f>
        <v>73455</v>
      </c>
      <c r="H184" s="433"/>
      <c r="I184" s="433">
        <v>73450</v>
      </c>
      <c r="J184" s="26">
        <f t="shared" si="91"/>
        <v>5</v>
      </c>
      <c r="K184" s="27">
        <f t="shared" si="99"/>
        <v>3.8680555555547471</v>
      </c>
      <c r="L184" s="27">
        <f>'[238]NINGBO INNOVATION'!$F$119</f>
        <v>1.4184027777834369</v>
      </c>
      <c r="M184" s="434">
        <f t="shared" si="92"/>
        <v>18990.161579896248</v>
      </c>
      <c r="N184" s="434">
        <f t="shared" si="89"/>
        <v>51787.123622804393</v>
      </c>
      <c r="O184" s="434">
        <v>30000</v>
      </c>
      <c r="P184" s="69">
        <f>(195940/10000)*8.7</f>
        <v>170.46779999999998</v>
      </c>
      <c r="Q184" s="69">
        <f>(181580/10000)*8.7</f>
        <v>157.97460000000001</v>
      </c>
      <c r="R184" s="69">
        <f t="shared" si="101"/>
        <v>12.493199999999973</v>
      </c>
      <c r="S184" s="435">
        <f t="shared" si="93"/>
        <v>0.19549383976584264</v>
      </c>
      <c r="T184" s="435">
        <f t="shared" si="94"/>
        <v>0.20009369481915656</v>
      </c>
      <c r="U184" s="435"/>
      <c r="V184" s="436"/>
      <c r="W184" s="437"/>
      <c r="X184" s="33">
        <v>2.64</v>
      </c>
      <c r="Y184" s="33">
        <f t="shared" si="102"/>
        <v>193921.2</v>
      </c>
      <c r="Z184" s="33"/>
      <c r="AA184" s="33"/>
      <c r="AB184" s="438"/>
      <c r="AC184" s="33"/>
    </row>
    <row r="185" spans="1:29" x14ac:dyDescent="0.3">
      <c r="A185" s="682">
        <v>44045.833333333336</v>
      </c>
      <c r="B185" s="682">
        <v>44046.5625</v>
      </c>
      <c r="C185" s="23"/>
      <c r="D185" s="14"/>
      <c r="E185" s="35" t="s">
        <v>663</v>
      </c>
      <c r="F185" s="36" t="s">
        <v>328</v>
      </c>
      <c r="G185" s="433">
        <v>28592</v>
      </c>
      <c r="H185" s="433"/>
      <c r="I185" s="26">
        <v>72700</v>
      </c>
      <c r="J185" s="26">
        <f t="shared" si="91"/>
        <v>-44108</v>
      </c>
      <c r="K185" s="27">
        <f t="shared" si="99"/>
        <v>0.72916666666424135</v>
      </c>
      <c r="L185" s="27">
        <f>'[239]ZHONG LIAN SI FANG'!$F$53</f>
        <v>0.57291666666666663</v>
      </c>
      <c r="M185" s="434">
        <f t="shared" si="92"/>
        <v>39211.885714416137</v>
      </c>
      <c r="N185" s="434">
        <f t="shared" si="89"/>
        <v>49906.036363636369</v>
      </c>
      <c r="O185" s="434">
        <v>30000</v>
      </c>
      <c r="P185" s="69">
        <f>(172870/10000)*8.7</f>
        <v>150.39689999999999</v>
      </c>
      <c r="Q185" s="69">
        <f>(168880/10000)*8.7</f>
        <v>146.9256</v>
      </c>
      <c r="R185" s="69">
        <f t="shared" si="101"/>
        <v>3.4712999999999852</v>
      </c>
      <c r="S185" s="435">
        <f t="shared" si="93"/>
        <v>0.13954952434247284</v>
      </c>
      <c r="T185" s="435">
        <f t="shared" si="94"/>
        <v>0.1428330425622957</v>
      </c>
      <c r="U185" s="435"/>
      <c r="V185" s="436"/>
      <c r="W185" s="437"/>
      <c r="X185" s="33">
        <v>2.64</v>
      </c>
      <c r="Y185" s="33">
        <f t="shared" ref="Y185:Y190" si="103">G185*X185</f>
        <v>75482.880000000005</v>
      </c>
      <c r="Z185" s="33"/>
      <c r="AA185" s="33"/>
      <c r="AB185" s="438"/>
      <c r="AC185" s="33"/>
    </row>
    <row r="186" spans="1:29" x14ac:dyDescent="0.3">
      <c r="A186" s="682">
        <v>44046.899305555555</v>
      </c>
      <c r="B186" s="682">
        <v>44047.958333333336</v>
      </c>
      <c r="C186" s="23"/>
      <c r="D186" s="14"/>
      <c r="E186" s="35" t="s">
        <v>728</v>
      </c>
      <c r="F186" s="25" t="s">
        <v>328</v>
      </c>
      <c r="G186" s="433">
        <f>37678</f>
        <v>37678</v>
      </c>
      <c r="H186" s="433"/>
      <c r="I186" s="433">
        <v>89500</v>
      </c>
      <c r="J186" s="26">
        <f t="shared" si="91"/>
        <v>-51822</v>
      </c>
      <c r="K186" s="27">
        <f t="shared" si="99"/>
        <v>1.0590277777810115</v>
      </c>
      <c r="L186" s="27">
        <f>'[239]POS LOGISTICS 1'!$F$66</f>
        <v>0.7361111110985803</v>
      </c>
      <c r="M186" s="434">
        <f t="shared" si="92"/>
        <v>35577.914753989724</v>
      </c>
      <c r="N186" s="434">
        <f t="shared" si="89"/>
        <v>51185.207548041137</v>
      </c>
      <c r="O186" s="434">
        <v>30000</v>
      </c>
      <c r="P186" s="69">
        <f>(168490/10000)*8.7</f>
        <v>146.58629999999999</v>
      </c>
      <c r="Q186" s="69">
        <f>(162610/10000)*8.7</f>
        <v>141.47069999999999</v>
      </c>
      <c r="R186" s="69">
        <f t="shared" si="101"/>
        <v>5.1156000000000006</v>
      </c>
      <c r="S186" s="435">
        <f t="shared" si="93"/>
        <v>0.15605923881310052</v>
      </c>
      <c r="T186" s="435">
        <f t="shared" si="94"/>
        <v>0.15973122090282052</v>
      </c>
      <c r="U186" s="435"/>
      <c r="V186" s="436"/>
      <c r="W186" s="437"/>
      <c r="X186" s="33">
        <v>2.64</v>
      </c>
      <c r="Y186" s="33">
        <f t="shared" si="103"/>
        <v>99469.92</v>
      </c>
      <c r="Z186" s="33"/>
      <c r="AA186" s="33"/>
      <c r="AB186" s="438"/>
      <c r="AC186" s="33"/>
    </row>
    <row r="187" spans="1:29" x14ac:dyDescent="0.3">
      <c r="A187" s="682">
        <v>44048.958333333336</v>
      </c>
      <c r="B187" s="682">
        <v>44049.8125</v>
      </c>
      <c r="C187" s="23"/>
      <c r="D187" s="14"/>
      <c r="E187" s="35" t="s">
        <v>133</v>
      </c>
      <c r="F187" s="25" t="s">
        <v>32</v>
      </c>
      <c r="G187" s="433">
        <v>33814</v>
      </c>
      <c r="H187" s="433"/>
      <c r="I187" s="433">
        <v>71500</v>
      </c>
      <c r="J187" s="26">
        <f t="shared" si="91"/>
        <v>-37686</v>
      </c>
      <c r="K187" s="27">
        <f t="shared" si="99"/>
        <v>0.85416666666424135</v>
      </c>
      <c r="L187" s="27">
        <f>'[239]YUE DIAN 82'!$F$56</f>
        <v>0.66493055556202307</v>
      </c>
      <c r="M187" s="434">
        <f t="shared" si="92"/>
        <v>39587.121951331916</v>
      </c>
      <c r="N187" s="434">
        <f t="shared" si="89"/>
        <v>50853.43080890485</v>
      </c>
      <c r="O187" s="434">
        <v>30000</v>
      </c>
      <c r="P187" s="69">
        <f>(161220/10000)*8.7</f>
        <v>140.26139999999998</v>
      </c>
      <c r="Q187" s="69">
        <f>(156180/10000)*8.7</f>
        <v>135.8766</v>
      </c>
      <c r="R187" s="69">
        <f t="shared" si="101"/>
        <v>4.3847999999999843</v>
      </c>
      <c r="S187" s="435">
        <f t="shared" si="93"/>
        <v>0.14905068906370092</v>
      </c>
      <c r="T187" s="435">
        <f t="shared" si="94"/>
        <v>0.15255776410049385</v>
      </c>
      <c r="U187" s="435"/>
      <c r="V187" s="436"/>
      <c r="W187" s="437"/>
      <c r="X187" s="33">
        <v>2.64</v>
      </c>
      <c r="Y187" s="33">
        <f t="shared" si="103"/>
        <v>89268.96</v>
      </c>
      <c r="Z187" s="33"/>
      <c r="AA187" s="33"/>
      <c r="AB187" s="438"/>
      <c r="AC187" s="33"/>
    </row>
    <row r="188" spans="1:29" x14ac:dyDescent="0.3">
      <c r="A188" s="682">
        <v>44051.895833333336</v>
      </c>
      <c r="B188" s="682">
        <v>44052.638888888891</v>
      </c>
      <c r="C188" s="23"/>
      <c r="D188" s="14"/>
      <c r="E188" s="35" t="s">
        <v>527</v>
      </c>
      <c r="F188" s="36" t="s">
        <v>328</v>
      </c>
      <c r="G188" s="433">
        <v>23026</v>
      </c>
      <c r="H188" s="433"/>
      <c r="I188" s="26">
        <v>67000</v>
      </c>
      <c r="J188" s="26">
        <f t="shared" si="91"/>
        <v>-43974</v>
      </c>
      <c r="K188" s="27">
        <f t="shared" si="99"/>
        <v>0.74305555555474712</v>
      </c>
      <c r="L188" s="27">
        <f>'[239]MANALAGI PRITA'!$F$47</f>
        <v>0.56944444444161491</v>
      </c>
      <c r="M188" s="434">
        <f t="shared" si="92"/>
        <v>30988.261682276705</v>
      </c>
      <c r="N188" s="434">
        <f t="shared" si="89"/>
        <v>40435.902439225312</v>
      </c>
      <c r="O188" s="434">
        <v>30000</v>
      </c>
      <c r="P188" s="69">
        <f>(152950/10000)*8.7</f>
        <v>133.06649999999999</v>
      </c>
      <c r="Q188" s="69">
        <f>(148650/10000)*8.7</f>
        <v>129.32550000000001</v>
      </c>
      <c r="R188" s="69">
        <f t="shared" si="101"/>
        <v>3.7409999999999854</v>
      </c>
      <c r="S188" s="435">
        <f t="shared" si="93"/>
        <v>0.18674541822287777</v>
      </c>
      <c r="T188" s="435">
        <f t="shared" si="94"/>
        <v>0.19113942806341608</v>
      </c>
      <c r="U188" s="435">
        <f>S188/8.5*10000/(G188)</f>
        <v>9.541409364497308E-3</v>
      </c>
      <c r="V188" s="436"/>
      <c r="W188" s="32"/>
      <c r="X188" s="33">
        <v>2.64</v>
      </c>
      <c r="Y188" s="33">
        <f t="shared" si="103"/>
        <v>60788.639999999999</v>
      </c>
      <c r="Z188" s="33"/>
      <c r="AA188" s="33"/>
      <c r="AB188" s="438"/>
      <c r="AC188" s="33"/>
    </row>
    <row r="189" spans="1:29" x14ac:dyDescent="0.3">
      <c r="A189" s="682">
        <v>44052.868055555555</v>
      </c>
      <c r="B189" s="682">
        <v>44053.680555555555</v>
      </c>
      <c r="C189" s="23"/>
      <c r="D189" s="14"/>
      <c r="E189" s="35" t="s">
        <v>729</v>
      </c>
      <c r="F189" s="36" t="s">
        <v>328</v>
      </c>
      <c r="G189" s="433">
        <v>27798</v>
      </c>
      <c r="H189" s="433"/>
      <c r="I189" s="433">
        <v>66800</v>
      </c>
      <c r="J189" s="26">
        <f t="shared" si="91"/>
        <v>-39002</v>
      </c>
      <c r="K189" s="27">
        <f t="shared" si="99"/>
        <v>0.8125</v>
      </c>
      <c r="L189" s="27">
        <f>'[239]BON VOYAGE'!$F$53</f>
        <v>0.61458333333575865</v>
      </c>
      <c r="M189" s="434">
        <f t="shared" si="92"/>
        <v>34212.923076923078</v>
      </c>
      <c r="N189" s="434">
        <f t="shared" si="89"/>
        <v>45230.644067618116</v>
      </c>
      <c r="O189" s="434">
        <v>30000</v>
      </c>
      <c r="P189" s="69">
        <f>(148390/10000)*8.7</f>
        <v>129.0993</v>
      </c>
      <c r="Q189" s="69">
        <f>(143770/10000)*8.7</f>
        <v>125.07989999999999</v>
      </c>
      <c r="R189" s="69">
        <f t="shared" si="101"/>
        <v>4.0194000000000045</v>
      </c>
      <c r="S189" s="435">
        <f t="shared" si="93"/>
        <v>0.1661990071228148</v>
      </c>
      <c r="T189" s="435">
        <f t="shared" si="94"/>
        <v>0.17010957199629279</v>
      </c>
      <c r="U189" s="435"/>
      <c r="V189" s="31"/>
      <c r="W189" s="32"/>
      <c r="X189" s="33">
        <v>2.64</v>
      </c>
      <c r="Y189" s="33">
        <f t="shared" si="103"/>
        <v>73386.720000000001</v>
      </c>
      <c r="Z189" s="33"/>
      <c r="AA189" s="33"/>
      <c r="AB189" s="438"/>
      <c r="AC189" s="33"/>
    </row>
    <row r="190" spans="1:29" x14ac:dyDescent="0.3">
      <c r="A190" s="682">
        <v>44064.993055555555</v>
      </c>
      <c r="B190" s="439">
        <v>44067.027777777781</v>
      </c>
      <c r="C190" s="23"/>
      <c r="D190" s="23"/>
      <c r="E190" s="35" t="s">
        <v>673</v>
      </c>
      <c r="F190" s="25" t="s">
        <v>32</v>
      </c>
      <c r="G190" s="433">
        <f>67688</f>
        <v>67688</v>
      </c>
      <c r="H190" s="433"/>
      <c r="I190" s="433">
        <v>88600</v>
      </c>
      <c r="J190" s="26">
        <f t="shared" si="91"/>
        <v>-20912</v>
      </c>
      <c r="K190" s="27">
        <f t="shared" si="99"/>
        <v>2.0347222222262644</v>
      </c>
      <c r="L190" s="27">
        <f>'[239]TAIPOWER PROSPERITY VII'!$F$104</f>
        <v>1.3975694444440403</v>
      </c>
      <c r="M190" s="434">
        <f t="shared" si="92"/>
        <v>33266.457337817868</v>
      </c>
      <c r="N190" s="434">
        <f t="shared" si="89"/>
        <v>48432.655900635124</v>
      </c>
      <c r="O190" s="434">
        <v>30000</v>
      </c>
      <c r="P190" s="69">
        <f>(126363/10000)*8.7</f>
        <v>109.93580999999999</v>
      </c>
      <c r="Q190" s="69">
        <f>(116320/10000)*8.7</f>
        <v>101.19839999999999</v>
      </c>
      <c r="R190" s="69">
        <f t="shared" si="101"/>
        <v>8.737409999999997</v>
      </c>
      <c r="S190" s="435">
        <f>R190/8.7*10000/(G190)</f>
        <v>0.14837194185084504</v>
      </c>
      <c r="T190" s="435">
        <f>R190/8.5*10000/(G190)</f>
        <v>0.15186304636498255</v>
      </c>
      <c r="U190" s="69">
        <f>S190-T190</f>
        <v>-3.4911045141375052E-3</v>
      </c>
      <c r="V190" s="436"/>
      <c r="W190" s="437"/>
      <c r="X190" s="33">
        <v>2.64</v>
      </c>
      <c r="Y190" s="33">
        <f t="shared" si="103"/>
        <v>178696.32000000001</v>
      </c>
      <c r="Z190" s="33"/>
      <c r="AA190" s="33"/>
      <c r="AB190" s="438"/>
      <c r="AC190" s="33"/>
    </row>
    <row r="191" spans="1:29" x14ac:dyDescent="0.3">
      <c r="A191" s="682">
        <v>44076.8125</v>
      </c>
      <c r="B191" s="682">
        <v>44077.638888888891</v>
      </c>
      <c r="C191" s="23"/>
      <c r="D191" s="14"/>
      <c r="E191" s="35" t="s">
        <v>730</v>
      </c>
      <c r="F191" s="36" t="s">
        <v>328</v>
      </c>
      <c r="G191" s="433">
        <v>21366</v>
      </c>
      <c r="H191" s="433"/>
      <c r="I191" s="433">
        <v>85855</v>
      </c>
      <c r="J191" s="26">
        <f>G191-I191</f>
        <v>-64489</v>
      </c>
      <c r="K191" s="27">
        <f t="shared" si="99"/>
        <v>0.82638888889050577</v>
      </c>
      <c r="L191" s="27">
        <f>'[240]ALAM KUASA'!$F$43</f>
        <v>0.55729166666424135</v>
      </c>
      <c r="M191" s="434">
        <f t="shared" si="92"/>
        <v>25854.655462134288</v>
      </c>
      <c r="N191" s="434">
        <f t="shared" si="89"/>
        <v>38338.990654372457</v>
      </c>
      <c r="O191" s="434">
        <v>30000</v>
      </c>
      <c r="P191" s="69">
        <f>(101340/10000)*8.7</f>
        <v>88.16579999999999</v>
      </c>
      <c r="Q191" s="69">
        <f>(97250/10000)*8.7</f>
        <v>84.607499999999987</v>
      </c>
      <c r="R191" s="69">
        <f t="shared" si="101"/>
        <v>3.5583000000000027</v>
      </c>
      <c r="S191" s="435">
        <f t="shared" si="93"/>
        <v>0.19142562950482092</v>
      </c>
      <c r="T191" s="435">
        <f t="shared" si="94"/>
        <v>0.19592976196375786</v>
      </c>
      <c r="U191" s="435" t="e">
        <f>S191/8.5*10000/(H191)</f>
        <v>#DIV/0!</v>
      </c>
      <c r="V191" s="436"/>
      <c r="W191" s="32"/>
      <c r="X191" s="33">
        <v>2.64</v>
      </c>
      <c r="Y191" s="33">
        <f t="shared" ref="Y191:Y196" si="104">G191*X191</f>
        <v>56406.240000000005</v>
      </c>
      <c r="Z191" s="33"/>
      <c r="AA191" s="33"/>
      <c r="AB191" s="438"/>
      <c r="AC191" s="33"/>
    </row>
    <row r="192" spans="1:29" x14ac:dyDescent="0.3">
      <c r="A192" s="682">
        <v>44078.048611111109</v>
      </c>
      <c r="B192" s="682">
        <v>44080.805555555555</v>
      </c>
      <c r="C192" s="23"/>
      <c r="D192" s="14"/>
      <c r="E192" s="35" t="s">
        <v>296</v>
      </c>
      <c r="F192" s="36" t="s">
        <v>328</v>
      </c>
      <c r="G192" s="433">
        <f>75480</f>
        <v>75480</v>
      </c>
      <c r="H192" s="433"/>
      <c r="I192" s="433">
        <v>75439</v>
      </c>
      <c r="J192" s="26">
        <f>G192-I192</f>
        <v>41</v>
      </c>
      <c r="K192" s="27">
        <f t="shared" si="99"/>
        <v>2.7569444444452529</v>
      </c>
      <c r="L192" s="27">
        <f>'[240]HC SUNSHINE'!$F$106</f>
        <v>1.5208333333127182</v>
      </c>
      <c r="M192" s="434">
        <f t="shared" si="92"/>
        <v>27378.136020143105</v>
      </c>
      <c r="N192" s="434">
        <f t="shared" si="89"/>
        <v>49630.684932179603</v>
      </c>
      <c r="O192" s="434">
        <v>30000</v>
      </c>
      <c r="P192" s="69">
        <f>(97250/10000)*8.7</f>
        <v>84.607499999999987</v>
      </c>
      <c r="Q192" s="69">
        <f>(83438/10000)*8.7</f>
        <v>72.591059999999999</v>
      </c>
      <c r="R192" s="69">
        <f t="shared" si="101"/>
        <v>12.016439999999989</v>
      </c>
      <c r="S192" s="435">
        <f t="shared" si="93"/>
        <v>0.18298887122416518</v>
      </c>
      <c r="T192" s="435">
        <f t="shared" si="94"/>
        <v>0.18729449172355728</v>
      </c>
      <c r="U192" s="435"/>
      <c r="V192" s="31"/>
      <c r="W192" s="32"/>
      <c r="X192" s="33">
        <v>2.64</v>
      </c>
      <c r="Y192" s="33">
        <f t="shared" si="104"/>
        <v>199267.20000000001</v>
      </c>
      <c r="Z192" s="33"/>
      <c r="AA192" s="33"/>
      <c r="AB192" s="438"/>
      <c r="AC192" s="33"/>
    </row>
    <row r="193" spans="1:29" x14ac:dyDescent="0.3">
      <c r="A193" s="682">
        <v>44085.986111111109</v>
      </c>
      <c r="B193" s="439">
        <v>44089.006944444445</v>
      </c>
      <c r="C193" s="23"/>
      <c r="D193" s="23"/>
      <c r="E193" s="35" t="s">
        <v>229</v>
      </c>
      <c r="F193" s="25" t="s">
        <v>91</v>
      </c>
      <c r="G193" s="433">
        <f>90187</f>
        <v>90187</v>
      </c>
      <c r="H193" s="433"/>
      <c r="I193" s="433">
        <v>90000</v>
      </c>
      <c r="J193" s="26">
        <f t="shared" ref="J193:J198" si="105">G193-I193</f>
        <v>187</v>
      </c>
      <c r="K193" s="27">
        <f t="shared" si="99"/>
        <v>3.0208333333357587</v>
      </c>
      <c r="L193" s="27">
        <f>'[240]TAIPOWER PROSPERITY VII'!$F$136</f>
        <v>1.9062500000060634</v>
      </c>
      <c r="M193" s="434">
        <f t="shared" si="92"/>
        <v>29855.006896527753</v>
      </c>
      <c r="N193" s="434">
        <f t="shared" si="89"/>
        <v>47311.213114603612</v>
      </c>
      <c r="O193" s="434">
        <v>30000</v>
      </c>
      <c r="P193" s="69">
        <f>(255323/10000)*8.7</f>
        <v>222.13100999999997</v>
      </c>
      <c r="Q193" s="69">
        <f>(239771/10000)*8.7</f>
        <v>208.60076999999998</v>
      </c>
      <c r="R193" s="69">
        <f t="shared" si="101"/>
        <v>13.530239999999992</v>
      </c>
      <c r="S193" s="435">
        <f t="shared" si="93"/>
        <v>0.17244170445851389</v>
      </c>
      <c r="T193" s="435">
        <f t="shared" si="94"/>
        <v>0.17649915632812596</v>
      </c>
      <c r="U193" s="69">
        <f>S193-T193</f>
        <v>-4.0574518696120665E-3</v>
      </c>
      <c r="V193" s="436"/>
      <c r="W193" s="437"/>
      <c r="X193" s="33">
        <v>2.64</v>
      </c>
      <c r="Y193" s="33">
        <f t="shared" si="104"/>
        <v>238093.68000000002</v>
      </c>
      <c r="Z193" s="33"/>
      <c r="AA193" s="33"/>
      <c r="AB193" s="438"/>
      <c r="AC193" s="33"/>
    </row>
    <row r="194" spans="1:29" x14ac:dyDescent="0.3">
      <c r="A194" s="682">
        <v>44091.333333333336</v>
      </c>
      <c r="B194" s="439">
        <v>44093.791666666664</v>
      </c>
      <c r="C194" s="23"/>
      <c r="D194" s="23"/>
      <c r="E194" s="35" t="s">
        <v>115</v>
      </c>
      <c r="F194" s="25" t="s">
        <v>328</v>
      </c>
      <c r="G194" s="433">
        <f>68200</f>
        <v>68200</v>
      </c>
      <c r="H194" s="433"/>
      <c r="I194" s="433">
        <v>68900</v>
      </c>
      <c r="J194" s="26">
        <f t="shared" si="105"/>
        <v>-700</v>
      </c>
      <c r="K194" s="27">
        <f t="shared" si="99"/>
        <v>2.4583333333284827</v>
      </c>
      <c r="L194" s="27">
        <f>'[240]YUE DIAN 9'!$F$114</f>
        <v>1.3628472222396038</v>
      </c>
      <c r="M194" s="434">
        <f t="shared" si="92"/>
        <v>27742.372881410673</v>
      </c>
      <c r="N194" s="434">
        <f t="shared" si="89"/>
        <v>50042.292992992341</v>
      </c>
      <c r="O194" s="434">
        <v>30000</v>
      </c>
      <c r="P194" s="69">
        <f>(235859/10000)*8.7</f>
        <v>205.19732999999997</v>
      </c>
      <c r="Q194" s="69">
        <f>(223483/10000)*8.7</f>
        <v>194.43020999999996</v>
      </c>
      <c r="R194" s="69">
        <f t="shared" si="101"/>
        <v>10.767120000000006</v>
      </c>
      <c r="S194" s="435">
        <f t="shared" si="93"/>
        <v>0.18146627565982415</v>
      </c>
      <c r="T194" s="435">
        <f t="shared" si="94"/>
        <v>0.1857360703812318</v>
      </c>
      <c r="U194" s="69"/>
      <c r="V194" s="436"/>
      <c r="W194" s="437"/>
      <c r="X194" s="33">
        <v>2.64</v>
      </c>
      <c r="Y194" s="33">
        <f t="shared" si="104"/>
        <v>180048</v>
      </c>
      <c r="Z194" s="33"/>
      <c r="AA194" s="33"/>
      <c r="AB194" s="438"/>
      <c r="AC194" s="33"/>
    </row>
    <row r="195" spans="1:29" x14ac:dyDescent="0.3">
      <c r="A195" s="682">
        <v>44096.75</v>
      </c>
      <c r="B195" s="439">
        <v>44098.472222222219</v>
      </c>
      <c r="C195" s="23"/>
      <c r="D195" s="23"/>
      <c r="E195" s="35" t="s">
        <v>296</v>
      </c>
      <c r="F195" s="25" t="s">
        <v>32</v>
      </c>
      <c r="G195" s="433">
        <f>45295</f>
        <v>45295</v>
      </c>
      <c r="H195" s="433"/>
      <c r="I195" s="433">
        <v>75800</v>
      </c>
      <c r="J195" s="26">
        <f t="shared" si="105"/>
        <v>-30505</v>
      </c>
      <c r="K195" s="27">
        <f t="shared" si="99"/>
        <v>1.7222222222189885</v>
      </c>
      <c r="L195" s="27">
        <f>'[240]HC SUNSHINE 2'!$F$74</f>
        <v>0.93749999998181011</v>
      </c>
      <c r="M195" s="434">
        <f t="shared" si="92"/>
        <v>26300.322580694545</v>
      </c>
      <c r="N195" s="434">
        <f t="shared" si="89"/>
        <v>48314.666667604091</v>
      </c>
      <c r="O195" s="434">
        <v>30000</v>
      </c>
      <c r="P195" s="69">
        <f>(219220/10000)*8.7</f>
        <v>190.72139999999999</v>
      </c>
      <c r="Q195" s="69">
        <f>(211130/10000)*8.7</f>
        <v>183.68309999999997</v>
      </c>
      <c r="R195" s="69">
        <f t="shared" si="101"/>
        <v>7.0383000000000209</v>
      </c>
      <c r="S195" s="435">
        <f t="shared" si="93"/>
        <v>0.17860691025499559</v>
      </c>
      <c r="T195" s="435">
        <f t="shared" si="94"/>
        <v>0.18280942579040724</v>
      </c>
      <c r="U195" s="69"/>
      <c r="V195" s="436"/>
      <c r="W195" s="437"/>
      <c r="X195" s="33">
        <v>2.64</v>
      </c>
      <c r="Y195" s="33">
        <f t="shared" si="104"/>
        <v>119578.8</v>
      </c>
      <c r="Z195" s="33"/>
      <c r="AA195" s="33"/>
      <c r="AB195" s="438"/>
      <c r="AC195" s="33"/>
    </row>
    <row r="196" spans="1:29" x14ac:dyDescent="0.3">
      <c r="A196" s="682">
        <v>44100.805555555555</v>
      </c>
      <c r="B196" s="439">
        <v>44104.0625</v>
      </c>
      <c r="C196" s="23"/>
      <c r="D196" s="23"/>
      <c r="E196" s="35" t="s">
        <v>532</v>
      </c>
      <c r="F196" s="25" t="s">
        <v>328</v>
      </c>
      <c r="G196" s="433">
        <f>80000</f>
        <v>80000</v>
      </c>
      <c r="H196" s="433"/>
      <c r="I196" s="433">
        <v>80000</v>
      </c>
      <c r="J196" s="26">
        <f t="shared" si="105"/>
        <v>0</v>
      </c>
      <c r="K196" s="27">
        <f t="shared" si="99"/>
        <v>3.2569444444452529</v>
      </c>
      <c r="L196" s="27">
        <f>'[240]DUTA AZZAM'!$F$114</f>
        <v>1.6805555555535345</v>
      </c>
      <c r="M196" s="434">
        <f t="shared" si="92"/>
        <v>24562.899786774287</v>
      </c>
      <c r="N196" s="434">
        <f t="shared" si="89"/>
        <v>47603.305785181212</v>
      </c>
      <c r="O196" s="434">
        <v>30000</v>
      </c>
      <c r="P196" s="69">
        <f>(207740/10000)*8.7</f>
        <v>180.7338</v>
      </c>
      <c r="Q196" s="69">
        <f>(193640/10000)*8.7</f>
        <v>168.46680000000001</v>
      </c>
      <c r="R196" s="69">
        <f t="shared" si="101"/>
        <v>12.266999999999996</v>
      </c>
      <c r="S196" s="435">
        <f t="shared" si="93"/>
        <v>0.17624999999999996</v>
      </c>
      <c r="T196" s="435">
        <f t="shared" si="94"/>
        <v>0.18039705882352935</v>
      </c>
      <c r="U196" s="69"/>
      <c r="V196" s="436"/>
      <c r="W196" s="437"/>
      <c r="X196" s="33">
        <v>2.64</v>
      </c>
      <c r="Y196" s="33">
        <f t="shared" si="104"/>
        <v>211200</v>
      </c>
      <c r="Z196" s="33"/>
      <c r="AA196" s="33"/>
      <c r="AB196" s="438"/>
      <c r="AC196" s="33"/>
    </row>
    <row r="197" spans="1:29" x14ac:dyDescent="0.3">
      <c r="A197" s="682">
        <v>44108.9375</v>
      </c>
      <c r="B197" s="682">
        <v>44112.458333333336</v>
      </c>
      <c r="C197" s="23"/>
      <c r="D197" s="14"/>
      <c r="E197" s="35" t="s">
        <v>109</v>
      </c>
      <c r="F197" s="36" t="s">
        <v>32</v>
      </c>
      <c r="G197" s="433">
        <f>70000</f>
        <v>70000</v>
      </c>
      <c r="H197" s="433"/>
      <c r="I197" s="433">
        <v>70000</v>
      </c>
      <c r="J197" s="26">
        <f t="shared" si="105"/>
        <v>0</v>
      </c>
      <c r="K197" s="27">
        <f t="shared" si="99"/>
        <v>3.5208333333357587</v>
      </c>
      <c r="L197" s="27">
        <f>'[241]YUE DIAN 8'!$F$116</f>
        <v>1.3749999999878735</v>
      </c>
      <c r="M197" s="434">
        <f t="shared" si="92"/>
        <v>19881.656804720031</v>
      </c>
      <c r="N197" s="434">
        <f t="shared" si="89"/>
        <v>50909.090909539889</v>
      </c>
      <c r="O197" s="434">
        <v>30000</v>
      </c>
      <c r="P197" s="69">
        <f>(186400/10000)*8.7</f>
        <v>162.16799999999998</v>
      </c>
      <c r="Q197" s="69">
        <f>(173340/10000)*8.7</f>
        <v>150.80579999999998</v>
      </c>
      <c r="R197" s="69">
        <f t="shared" si="101"/>
        <v>11.362200000000001</v>
      </c>
      <c r="S197" s="435">
        <f t="shared" si="93"/>
        <v>0.18657142857142861</v>
      </c>
      <c r="T197" s="435">
        <f t="shared" si="94"/>
        <v>0.19096134453781513</v>
      </c>
      <c r="U197" s="435" t="e">
        <f>S197/8.5*10000/(H197)</f>
        <v>#DIV/0!</v>
      </c>
      <c r="V197" s="436"/>
      <c r="W197" s="32"/>
      <c r="X197" s="33">
        <v>2.64</v>
      </c>
      <c r="Y197" s="33">
        <f t="shared" ref="Y197:Y201" si="106">G197*X197</f>
        <v>184800</v>
      </c>
      <c r="Z197" s="33"/>
      <c r="AA197" s="33"/>
      <c r="AB197" s="438"/>
      <c r="AC197" s="33"/>
    </row>
    <row r="198" spans="1:29" x14ac:dyDescent="0.3">
      <c r="A198" s="439">
        <v>44114.798611111109</v>
      </c>
      <c r="B198" s="439">
        <v>44116.465277777781</v>
      </c>
      <c r="C198" s="23"/>
      <c r="D198" s="23"/>
      <c r="E198" s="35" t="s">
        <v>731</v>
      </c>
      <c r="F198" s="25" t="s">
        <v>328</v>
      </c>
      <c r="G198" s="433">
        <v>49925</v>
      </c>
      <c r="H198" s="433"/>
      <c r="I198" s="433">
        <v>88000</v>
      </c>
      <c r="J198" s="26">
        <f t="shared" si="105"/>
        <v>-38075</v>
      </c>
      <c r="K198" s="27">
        <f t="shared" si="99"/>
        <v>1.6666666666715173</v>
      </c>
      <c r="L198" s="27">
        <f>'[241]YANGZE 10'!$F$88</f>
        <v>1.0468749999805975</v>
      </c>
      <c r="M198" s="434">
        <f t="shared" si="92"/>
        <v>29954.999999912819</v>
      </c>
      <c r="N198" s="434">
        <f t="shared" si="89"/>
        <v>47689.552239689838</v>
      </c>
      <c r="O198" s="434">
        <v>30000</v>
      </c>
      <c r="P198" s="69">
        <f>(169880/10000)*8.7</f>
        <v>147.79559999999998</v>
      </c>
      <c r="Q198" s="69">
        <f>(161120/10000)*8.7</f>
        <v>140.17439999999996</v>
      </c>
      <c r="R198" s="69">
        <f t="shared" si="101"/>
        <v>7.621200000000016</v>
      </c>
      <c r="S198" s="435">
        <f t="shared" si="93"/>
        <v>0.17546319479218864</v>
      </c>
      <c r="T198" s="435">
        <f t="shared" si="94"/>
        <v>0.17959174055200483</v>
      </c>
      <c r="U198" s="435"/>
      <c r="V198" s="436"/>
      <c r="W198" s="437"/>
      <c r="X198" s="33">
        <v>2.64</v>
      </c>
      <c r="Y198" s="33">
        <f t="shared" si="106"/>
        <v>131802</v>
      </c>
      <c r="Z198" s="33"/>
      <c r="AA198" s="33"/>
      <c r="AB198" s="438"/>
      <c r="AC198" s="33"/>
    </row>
    <row r="199" spans="1:29" x14ac:dyDescent="0.3">
      <c r="A199" s="439">
        <v>44121.743055555555</v>
      </c>
      <c r="B199" s="439">
        <v>44122.861111111109</v>
      </c>
      <c r="C199" s="23"/>
      <c r="D199" s="23"/>
      <c r="E199" s="35" t="s">
        <v>334</v>
      </c>
      <c r="F199" s="25" t="s">
        <v>328</v>
      </c>
      <c r="G199" s="433">
        <f>38182</f>
        <v>38182</v>
      </c>
      <c r="H199" s="433"/>
      <c r="I199" s="433">
        <v>68900</v>
      </c>
      <c r="J199" s="26">
        <f>G199-I199</f>
        <v>-30718</v>
      </c>
      <c r="K199" s="27">
        <f t="shared" si="99"/>
        <v>1.1180555555547471</v>
      </c>
      <c r="L199" s="27">
        <f>'[241]NINGBO ONNOVATION'!$F$60</f>
        <v>0.79687500000606326</v>
      </c>
      <c r="M199" s="434">
        <f t="shared" si="92"/>
        <v>34150.360248471901</v>
      </c>
      <c r="N199" s="434">
        <f t="shared" si="89"/>
        <v>47914.666666302095</v>
      </c>
      <c r="O199" s="434">
        <v>30000</v>
      </c>
      <c r="P199" s="69">
        <f>(153260/10000)*8.7</f>
        <v>133.33619999999999</v>
      </c>
      <c r="Q199" s="69">
        <f>(147420/10000)*8.7</f>
        <v>128.25540000000001</v>
      </c>
      <c r="R199" s="69">
        <f t="shared" si="101"/>
        <v>5.0807999999999822</v>
      </c>
      <c r="S199" s="435">
        <f t="shared" si="93"/>
        <v>0.15295165261117752</v>
      </c>
      <c r="T199" s="435">
        <f>R199/8.5*10000/(G199)</f>
        <v>0.15655051502555814</v>
      </c>
      <c r="U199" s="435"/>
      <c r="V199" s="436"/>
      <c r="W199" s="437"/>
      <c r="X199" s="33">
        <v>2.64</v>
      </c>
      <c r="Y199" s="33">
        <f t="shared" si="106"/>
        <v>100800.48000000001</v>
      </c>
      <c r="Z199" s="33"/>
      <c r="AA199" s="33"/>
      <c r="AB199" s="438"/>
      <c r="AC199" s="33"/>
    </row>
    <row r="200" spans="1:29" x14ac:dyDescent="0.3">
      <c r="A200" s="439">
        <v>44130.291666666664</v>
      </c>
      <c r="B200" s="439">
        <v>44131.597222222219</v>
      </c>
      <c r="C200" s="23"/>
      <c r="D200" s="23"/>
      <c r="E200" s="35" t="s">
        <v>732</v>
      </c>
      <c r="F200" s="25" t="s">
        <v>328</v>
      </c>
      <c r="G200" s="433">
        <v>38845</v>
      </c>
      <c r="H200" s="433"/>
      <c r="I200" s="433">
        <v>74900</v>
      </c>
      <c r="J200" s="26">
        <f t="shared" ref="J200:J210" si="107">G200-I200</f>
        <v>-36055</v>
      </c>
      <c r="K200" s="27">
        <f t="shared" si="99"/>
        <v>1.3055555555547471</v>
      </c>
      <c r="L200" s="27">
        <f>'[241]YASA TEAM'!$F$64</f>
        <v>0.85763888888929307</v>
      </c>
      <c r="M200" s="434">
        <f t="shared" si="92"/>
        <v>29753.61702129502</v>
      </c>
      <c r="N200" s="434">
        <f t="shared" si="89"/>
        <v>45292.955465565698</v>
      </c>
      <c r="O200" s="434">
        <v>30000</v>
      </c>
      <c r="P200" s="69">
        <f>(136310/10000)*8.7</f>
        <v>118.58969999999999</v>
      </c>
      <c r="Q200" s="69">
        <f>(129650/10000)*8.7</f>
        <v>112.79549999999999</v>
      </c>
      <c r="R200" s="69">
        <f t="shared" si="101"/>
        <v>5.7942000000000036</v>
      </c>
      <c r="S200" s="435">
        <f t="shared" si="93"/>
        <v>0.17145063714763817</v>
      </c>
      <c r="T200" s="435">
        <f t="shared" si="94"/>
        <v>0.17548476978640612</v>
      </c>
      <c r="U200" s="435"/>
      <c r="V200" s="436"/>
      <c r="W200" s="437"/>
      <c r="X200" s="33">
        <v>2.64</v>
      </c>
      <c r="Y200" s="33">
        <f t="shared" si="106"/>
        <v>102550.8</v>
      </c>
      <c r="Z200" s="33"/>
      <c r="AA200" s="33"/>
      <c r="AB200" s="438"/>
      <c r="AC200" s="33"/>
    </row>
    <row r="201" spans="1:29" x14ac:dyDescent="0.3">
      <c r="A201" s="439">
        <v>44133.8125</v>
      </c>
      <c r="B201" s="439">
        <v>44135.611111111109</v>
      </c>
      <c r="C201" s="23"/>
      <c r="D201" s="23"/>
      <c r="E201" s="35" t="s">
        <v>229</v>
      </c>
      <c r="F201" s="25" t="s">
        <v>32</v>
      </c>
      <c r="G201" s="433">
        <f>54023</f>
        <v>54023</v>
      </c>
      <c r="H201" s="433"/>
      <c r="I201" s="433">
        <v>90000</v>
      </c>
      <c r="J201" s="26">
        <f t="shared" si="107"/>
        <v>-35977</v>
      </c>
      <c r="K201" s="27">
        <f t="shared" si="99"/>
        <v>1.7986111111094942</v>
      </c>
      <c r="L201" s="27">
        <f>'[241]TAIPOWER PROSPERITY VII'!$F$87</f>
        <v>1.121527777776161</v>
      </c>
      <c r="M201" s="434">
        <f t="shared" si="92"/>
        <v>30035.95366798067</v>
      </c>
      <c r="N201" s="434">
        <f t="shared" si="89"/>
        <v>48169.114551153034</v>
      </c>
      <c r="O201" s="434">
        <v>30000</v>
      </c>
      <c r="P201" s="69">
        <f>(126390/10000)*8.7</f>
        <v>109.95929999999998</v>
      </c>
      <c r="Q201" s="69">
        <f>(115909/10000)*8.7</f>
        <v>100.84082999999998</v>
      </c>
      <c r="R201" s="69">
        <f t="shared" si="101"/>
        <v>9.1184700000000021</v>
      </c>
      <c r="S201" s="435">
        <f t="shared" si="93"/>
        <v>0.1940099587212854</v>
      </c>
      <c r="T201" s="435">
        <f t="shared" si="94"/>
        <v>0.1985748989264921</v>
      </c>
      <c r="U201" s="435"/>
      <c r="V201" s="436"/>
      <c r="W201" s="437"/>
      <c r="X201" s="33">
        <v>2.64</v>
      </c>
      <c r="Y201" s="33">
        <f t="shared" si="106"/>
        <v>142620.72</v>
      </c>
      <c r="Z201" s="33"/>
      <c r="AA201" s="33"/>
      <c r="AB201" s="438"/>
      <c r="AC201" s="33"/>
    </row>
    <row r="202" spans="1:29" x14ac:dyDescent="0.3">
      <c r="A202" s="682">
        <v>44136.861111111109</v>
      </c>
      <c r="B202" s="682">
        <v>44139.909722222219</v>
      </c>
      <c r="C202" s="23"/>
      <c r="D202" s="14"/>
      <c r="E202" s="35" t="s">
        <v>733</v>
      </c>
      <c r="F202" s="36" t="s">
        <v>328</v>
      </c>
      <c r="G202" s="433">
        <f>73900</f>
        <v>73900</v>
      </c>
      <c r="H202" s="433"/>
      <c r="I202" s="433">
        <v>75075</v>
      </c>
      <c r="J202" s="26">
        <f t="shared" si="107"/>
        <v>-1175</v>
      </c>
      <c r="K202" s="27">
        <f t="shared" ref="K202:K233" si="108">B202-A202</f>
        <v>3.0486111111094942</v>
      </c>
      <c r="L202" s="27">
        <f>'[242]PANAMAX OSTRIA'!$F$118</f>
        <v>1.5781249999951494</v>
      </c>
      <c r="M202" s="434">
        <f t="shared" si="92"/>
        <v>24240.546697051581</v>
      </c>
      <c r="N202" s="434">
        <f t="shared" si="89"/>
        <v>46827.722772421155</v>
      </c>
      <c r="O202" s="434">
        <v>30000</v>
      </c>
      <c r="P202" s="69">
        <f>(115216/10000)*8.7</f>
        <v>100.23791999999999</v>
      </c>
      <c r="Q202" s="69">
        <f>(101230/10000)*8.7</f>
        <v>88.070099999999982</v>
      </c>
      <c r="R202" s="69">
        <f t="shared" si="101"/>
        <v>12.167820000000006</v>
      </c>
      <c r="S202" s="435">
        <f t="shared" si="93"/>
        <v>0.18925575101488507</v>
      </c>
      <c r="T202" s="435">
        <f t="shared" si="94"/>
        <v>0.19370882750935298</v>
      </c>
      <c r="U202" s="435" t="e">
        <f>S202/8.5*10000/(H202)</f>
        <v>#DIV/0!</v>
      </c>
      <c r="V202" s="436"/>
      <c r="W202" s="32"/>
      <c r="X202" s="33">
        <v>2.64</v>
      </c>
      <c r="Y202" s="33">
        <f t="shared" ref="Y202:Y207" si="109">G202*X202</f>
        <v>195096</v>
      </c>
      <c r="Z202" s="33"/>
      <c r="AA202" s="33"/>
      <c r="AB202" s="438"/>
      <c r="AC202" s="33"/>
    </row>
    <row r="203" spans="1:29" x14ac:dyDescent="0.3">
      <c r="A203" s="682">
        <v>44140.5625</v>
      </c>
      <c r="B203" s="682">
        <v>44145.15625</v>
      </c>
      <c r="C203" s="23"/>
      <c r="D203" s="14"/>
      <c r="E203" s="35" t="s">
        <v>35</v>
      </c>
      <c r="F203" s="36" t="s">
        <v>328</v>
      </c>
      <c r="G203" s="433">
        <f>65500</f>
        <v>65500</v>
      </c>
      <c r="H203" s="433"/>
      <c r="I203" s="433">
        <v>65500</v>
      </c>
      <c r="J203" s="26">
        <f t="shared" si="107"/>
        <v>0</v>
      </c>
      <c r="K203" s="27">
        <f t="shared" si="108"/>
        <v>4.59375</v>
      </c>
      <c r="L203" s="27">
        <f>'[242]ANDHIKA NARESWARI'!$F$128</f>
        <v>1.3576388888892932</v>
      </c>
      <c r="M203" s="434">
        <f t="shared" si="92"/>
        <v>14258.503401360544</v>
      </c>
      <c r="N203" s="434">
        <f t="shared" si="89"/>
        <v>48245.524296660828</v>
      </c>
      <c r="O203" s="434">
        <v>30000</v>
      </c>
      <c r="P203" s="69">
        <f>(100320/10000)*8.7</f>
        <v>87.278399999999991</v>
      </c>
      <c r="Q203" s="69">
        <f>(84922/10000)*8.7</f>
        <v>73.882139999999993</v>
      </c>
      <c r="R203" s="69">
        <f t="shared" si="101"/>
        <v>13.396259999999998</v>
      </c>
      <c r="S203" s="435">
        <f t="shared" si="93"/>
        <v>0.23508396946564883</v>
      </c>
      <c r="T203" s="435">
        <f t="shared" si="94"/>
        <v>0.24061535698248762</v>
      </c>
      <c r="U203" s="435"/>
      <c r="V203" s="31"/>
      <c r="W203" s="32"/>
      <c r="X203" s="33">
        <v>2.64</v>
      </c>
      <c r="Y203" s="33">
        <f t="shared" si="109"/>
        <v>172920</v>
      </c>
      <c r="Z203" s="33"/>
      <c r="AA203" s="33"/>
      <c r="AB203" s="438"/>
      <c r="AC203" s="33"/>
    </row>
    <row r="204" spans="1:29" x14ac:dyDescent="0.3">
      <c r="A204" s="682">
        <v>44145.722222222219</v>
      </c>
      <c r="B204" s="682">
        <v>44146.666666666664</v>
      </c>
      <c r="C204" s="23"/>
      <c r="D204" s="14"/>
      <c r="E204" s="35" t="s">
        <v>734</v>
      </c>
      <c r="F204" s="36" t="s">
        <v>328</v>
      </c>
      <c r="G204" s="433">
        <v>30163</v>
      </c>
      <c r="H204" s="433"/>
      <c r="I204" s="433">
        <v>70000</v>
      </c>
      <c r="J204" s="26">
        <f t="shared" si="107"/>
        <v>-39837</v>
      </c>
      <c r="K204" s="27">
        <f t="shared" si="108"/>
        <v>0.94444444444525288</v>
      </c>
      <c r="L204" s="27">
        <f>[242]FEYHA!$F$60</f>
        <v>0.63541666666060337</v>
      </c>
      <c r="M204" s="434">
        <f t="shared" si="92"/>
        <v>31937.29411761972</v>
      </c>
      <c r="N204" s="434">
        <f t="shared" si="89"/>
        <v>47469.639344715259</v>
      </c>
      <c r="O204" s="434">
        <v>30000</v>
      </c>
      <c r="P204" s="69">
        <f>(84142/10000)*8.7</f>
        <v>73.20353999999999</v>
      </c>
      <c r="Q204" s="69">
        <f>(78770/10000)*8.7</f>
        <v>68.529899999999998</v>
      </c>
      <c r="R204" s="69">
        <f t="shared" si="101"/>
        <v>4.6736399999999918</v>
      </c>
      <c r="S204" s="435">
        <f t="shared" si="93"/>
        <v>0.17809899545801117</v>
      </c>
      <c r="T204" s="435">
        <f t="shared" si="94"/>
        <v>0.18228956005702315</v>
      </c>
      <c r="U204" s="435"/>
      <c r="V204" s="31"/>
      <c r="W204" s="32"/>
      <c r="X204" s="33">
        <v>2.64</v>
      </c>
      <c r="Y204" s="33">
        <f t="shared" si="109"/>
        <v>79630.320000000007</v>
      </c>
      <c r="Z204" s="33"/>
      <c r="AA204" s="33"/>
      <c r="AB204" s="438"/>
      <c r="AC204" s="33"/>
    </row>
    <row r="205" spans="1:29" x14ac:dyDescent="0.3">
      <c r="A205" s="682">
        <v>44148.048611111109</v>
      </c>
      <c r="B205" s="439">
        <v>44150.069444444445</v>
      </c>
      <c r="C205" s="23"/>
      <c r="D205" s="23"/>
      <c r="E205" s="35" t="s">
        <v>735</v>
      </c>
      <c r="F205" s="25" t="s">
        <v>328</v>
      </c>
      <c r="G205" s="433">
        <f>36991</f>
        <v>36991</v>
      </c>
      <c r="H205" s="433"/>
      <c r="I205" s="433">
        <v>81225</v>
      </c>
      <c r="J205" s="26">
        <f t="shared" si="107"/>
        <v>-44234</v>
      </c>
      <c r="K205" s="27">
        <f t="shared" si="108"/>
        <v>2.0208333333357587</v>
      </c>
      <c r="L205" s="27">
        <f>'[242]THERESA SHANDONG'!$F$62</f>
        <v>0.75347222223354038</v>
      </c>
      <c r="M205" s="434">
        <f t="shared" si="92"/>
        <v>18304.824742246074</v>
      </c>
      <c r="N205" s="434">
        <f t="shared" si="89"/>
        <v>49094.046082211848</v>
      </c>
      <c r="O205" s="434">
        <v>30000</v>
      </c>
      <c r="P205" s="69">
        <f>(76909/10000)*8.7</f>
        <v>66.91082999999999</v>
      </c>
      <c r="Q205" s="69">
        <f>(69614/10000)*8.7</f>
        <v>60.56418</v>
      </c>
      <c r="R205" s="69">
        <f t="shared" si="101"/>
        <v>6.3466499999999897</v>
      </c>
      <c r="S205" s="435">
        <f>R205/8.7*10000/(G205)</f>
        <v>0.19721013219431724</v>
      </c>
      <c r="T205" s="435">
        <f t="shared" si="94"/>
        <v>0.20185037059888938</v>
      </c>
      <c r="U205" s="69">
        <f>S205-T205</f>
        <v>-4.6402384045721445E-3</v>
      </c>
      <c r="V205" s="436"/>
      <c r="W205" s="437"/>
      <c r="X205" s="33">
        <v>2.64</v>
      </c>
      <c r="Y205" s="33">
        <f t="shared" si="109"/>
        <v>97656.24</v>
      </c>
      <c r="Z205" s="33"/>
      <c r="AA205" s="33"/>
      <c r="AB205" s="438"/>
      <c r="AC205" s="33"/>
    </row>
    <row r="206" spans="1:29" x14ac:dyDescent="0.3">
      <c r="A206" s="682">
        <v>44151.979166666664</v>
      </c>
      <c r="B206" s="439">
        <v>44153.388888888891</v>
      </c>
      <c r="C206" s="23"/>
      <c r="D206" s="23"/>
      <c r="E206" s="35" t="s">
        <v>736</v>
      </c>
      <c r="F206" s="25" t="s">
        <v>32</v>
      </c>
      <c r="G206" s="433">
        <f>43224</f>
        <v>43224</v>
      </c>
      <c r="H206" s="433"/>
      <c r="I206" s="433">
        <v>67650</v>
      </c>
      <c r="J206" s="26">
        <f t="shared" si="107"/>
        <v>-24426</v>
      </c>
      <c r="K206" s="27">
        <f t="shared" si="108"/>
        <v>1.4097222222262644</v>
      </c>
      <c r="L206" s="27">
        <f>'[242]XING MENG XIANG'!$F$72</f>
        <v>0.84722222223960364</v>
      </c>
      <c r="M206" s="434">
        <f t="shared" si="92"/>
        <v>30661.359605823414</v>
      </c>
      <c r="N206" s="434">
        <f t="shared" si="89"/>
        <v>51018.491802232005</v>
      </c>
      <c r="O206" s="434">
        <v>30000</v>
      </c>
      <c r="P206" s="69">
        <f>(66711/10000)*8.7</f>
        <v>58.038569999999993</v>
      </c>
      <c r="Q206" s="69">
        <f>(59841/10000)*8.7</f>
        <v>52.061669999999992</v>
      </c>
      <c r="R206" s="69">
        <f t="shared" si="101"/>
        <v>5.9769000000000005</v>
      </c>
      <c r="S206" s="435">
        <f t="shared" si="93"/>
        <v>0.1589394780677402</v>
      </c>
      <c r="T206" s="435">
        <f t="shared" si="94"/>
        <v>0.16267923049286348</v>
      </c>
      <c r="U206" s="69"/>
      <c r="V206" s="436"/>
      <c r="W206" s="437"/>
      <c r="X206" s="33">
        <v>2.64</v>
      </c>
      <c r="Y206" s="33">
        <f t="shared" si="109"/>
        <v>114111.36</v>
      </c>
      <c r="Z206" s="33"/>
      <c r="AA206" s="33"/>
      <c r="AB206" s="438"/>
      <c r="AC206" s="33"/>
    </row>
    <row r="207" spans="1:29" x14ac:dyDescent="0.3">
      <c r="A207" s="439">
        <v>44162.451388888891</v>
      </c>
      <c r="B207" s="439">
        <v>44164.166666666664</v>
      </c>
      <c r="C207" s="23"/>
      <c r="D207" s="23"/>
      <c r="E207" s="35" t="s">
        <v>737</v>
      </c>
      <c r="F207" s="25" t="s">
        <v>328</v>
      </c>
      <c r="G207" s="433">
        <f>33136</f>
        <v>33136</v>
      </c>
      <c r="H207" s="433"/>
      <c r="I207" s="433">
        <v>77000</v>
      </c>
      <c r="J207" s="26">
        <f t="shared" si="107"/>
        <v>-43864</v>
      </c>
      <c r="K207" s="27">
        <f t="shared" si="108"/>
        <v>1.7152777777737356</v>
      </c>
      <c r="L207" s="27">
        <f>'[242]MARGRETH PISSAREK'!$F$65</f>
        <v>0.71875000001333922</v>
      </c>
      <c r="M207" s="434">
        <f t="shared" si="92"/>
        <v>19318.15384619937</v>
      </c>
      <c r="N207" s="434">
        <f t="shared" si="89"/>
        <v>46102.260868709607</v>
      </c>
      <c r="O207" s="434">
        <v>30000</v>
      </c>
      <c r="P207" s="69">
        <f>(214792/10000)*8.7</f>
        <v>186.86903999999998</v>
      </c>
      <c r="Q207" s="69">
        <f>(207792/10000)*8.7</f>
        <v>180.77903999999998</v>
      </c>
      <c r="R207" s="69">
        <f t="shared" si="101"/>
        <v>6.0900000000000034</v>
      </c>
      <c r="S207" s="435">
        <f t="shared" si="93"/>
        <v>0.21125060357315317</v>
      </c>
      <c r="T207" s="435">
        <f t="shared" si="94"/>
        <v>0.21622120601016856</v>
      </c>
      <c r="U207" s="435"/>
      <c r="V207" s="436"/>
      <c r="W207" s="437"/>
      <c r="X207" s="33">
        <v>2.64</v>
      </c>
      <c r="Y207" s="33">
        <f t="shared" si="109"/>
        <v>87479.040000000008</v>
      </c>
      <c r="Z207" s="33"/>
      <c r="AA207" s="33"/>
      <c r="AB207" s="438"/>
      <c r="AC207" s="33"/>
    </row>
    <row r="208" spans="1:29" x14ac:dyDescent="0.3">
      <c r="A208" s="682">
        <v>44165.951388888891</v>
      </c>
      <c r="B208" s="682">
        <v>44170.006944444445</v>
      </c>
      <c r="C208" s="23"/>
      <c r="D208" s="14"/>
      <c r="E208" s="35" t="s">
        <v>507</v>
      </c>
      <c r="F208" s="36" t="s">
        <v>328</v>
      </c>
      <c r="G208" s="433">
        <f>83902</f>
        <v>83902</v>
      </c>
      <c r="H208" s="433"/>
      <c r="I208" s="433">
        <v>83900</v>
      </c>
      <c r="J208" s="26">
        <f>G208-I208</f>
        <v>2</v>
      </c>
      <c r="K208" s="27">
        <f t="shared" si="108"/>
        <v>4.0555555555547471</v>
      </c>
      <c r="L208" s="27">
        <f>'[243]CEMTEX HUNTER'!$F$124</f>
        <v>1.5885416666593908</v>
      </c>
      <c r="M208" s="434">
        <f t="shared" si="92"/>
        <v>20688.164383565767</v>
      </c>
      <c r="N208" s="434">
        <f t="shared" si="89"/>
        <v>52816.996721553391</v>
      </c>
      <c r="O208" s="434">
        <v>30000</v>
      </c>
      <c r="P208" s="69">
        <f>(204980/10000)*8.7</f>
        <v>178.33259999999999</v>
      </c>
      <c r="Q208" s="69">
        <f>(189350/10000)*8.7</f>
        <v>164.73449999999997</v>
      </c>
      <c r="R208" s="69">
        <f t="shared" si="101"/>
        <v>13.598100000000017</v>
      </c>
      <c r="S208" s="435">
        <f t="shared" si="93"/>
        <v>0.18628876546447068</v>
      </c>
      <c r="T208" s="435">
        <f t="shared" si="94"/>
        <v>0.19067203053422291</v>
      </c>
      <c r="U208" s="435" t="e">
        <f>S208/8.5*10000/(#REF!)</f>
        <v>#REF!</v>
      </c>
      <c r="V208" s="436"/>
      <c r="W208" s="32"/>
      <c r="X208" s="33">
        <v>2.64</v>
      </c>
      <c r="Y208" s="33">
        <f t="shared" ref="Y208:Y210" si="110">G208*X208</f>
        <v>221501.28</v>
      </c>
      <c r="Z208" s="33"/>
      <c r="AA208" s="33"/>
      <c r="AB208" s="438"/>
      <c r="AC208" s="33"/>
    </row>
    <row r="209" spans="1:29" x14ac:dyDescent="0.3">
      <c r="A209" s="682">
        <v>44176.0625</v>
      </c>
      <c r="B209" s="682">
        <v>44180.972222222219</v>
      </c>
      <c r="C209" s="23"/>
      <c r="D209" s="14"/>
      <c r="E209" s="35" t="s">
        <v>738</v>
      </c>
      <c r="F209" s="36" t="s">
        <v>91</v>
      </c>
      <c r="G209" s="433">
        <f>113357</f>
        <v>113357</v>
      </c>
      <c r="H209" s="433"/>
      <c r="I209" s="433">
        <v>165000</v>
      </c>
      <c r="J209" s="26">
        <f t="shared" si="107"/>
        <v>-51643</v>
      </c>
      <c r="K209" s="27">
        <f t="shared" si="108"/>
        <v>4.9097222222189885</v>
      </c>
      <c r="L209" s="27">
        <f>'[243]CAPE BRITANNIA'!$F$171</f>
        <v>2.1996527777506949</v>
      </c>
      <c r="M209" s="434">
        <f t="shared" si="92"/>
        <v>23088.271570029352</v>
      </c>
      <c r="N209" s="434">
        <f t="shared" si="89"/>
        <v>51534.04262099757</v>
      </c>
      <c r="O209" s="434">
        <v>30000</v>
      </c>
      <c r="P209" s="69">
        <f>(172770/10000)*8.7</f>
        <v>150.3099</v>
      </c>
      <c r="Q209" s="69">
        <f>(149690/10000)*8.7</f>
        <v>130.23029999999997</v>
      </c>
      <c r="R209" s="69">
        <f t="shared" si="101"/>
        <v>20.079600000000028</v>
      </c>
      <c r="S209" s="435">
        <f t="shared" si="93"/>
        <v>0.20360454140458933</v>
      </c>
      <c r="T209" s="435">
        <f t="shared" si="94"/>
        <v>0.20839523649646202</v>
      </c>
      <c r="U209" s="435"/>
      <c r="V209" s="31"/>
      <c r="W209" s="32"/>
      <c r="X209" s="33">
        <v>2.64</v>
      </c>
      <c r="Y209" s="33">
        <f t="shared" si="110"/>
        <v>299262.48000000004</v>
      </c>
      <c r="Z209" s="33"/>
      <c r="AA209" s="33"/>
      <c r="AB209" s="438"/>
      <c r="AC209" s="33"/>
    </row>
    <row r="210" spans="1:29" x14ac:dyDescent="0.3">
      <c r="A210" s="439">
        <v>44187.697916666664</v>
      </c>
      <c r="B210" s="439">
        <v>44193.829861111109</v>
      </c>
      <c r="C210" s="23"/>
      <c r="D210" s="23"/>
      <c r="E210" s="35" t="s">
        <v>739</v>
      </c>
      <c r="F210" s="25" t="s">
        <v>328</v>
      </c>
      <c r="G210" s="433">
        <f>81152</f>
        <v>81152</v>
      </c>
      <c r="H210" s="433"/>
      <c r="I210" s="433">
        <v>86000</v>
      </c>
      <c r="J210" s="26">
        <f t="shared" si="107"/>
        <v>-4848</v>
      </c>
      <c r="K210" s="27">
        <f t="shared" si="108"/>
        <v>6.1319444444452529</v>
      </c>
      <c r="L210" s="27">
        <f>[243]GIORGIS!$F$123</f>
        <v>1.5104166666703047</v>
      </c>
      <c r="M210" s="434">
        <f t="shared" si="92"/>
        <v>13234.301245751369</v>
      </c>
      <c r="N210" s="434">
        <f t="shared" si="89"/>
        <v>53728.220689525762</v>
      </c>
      <c r="O210" s="434">
        <v>30000</v>
      </c>
      <c r="P210" s="69">
        <f>(130460/10000)*8.7</f>
        <v>113.50019999999998</v>
      </c>
      <c r="Q210" s="69">
        <f>(111270/10000)*8.7</f>
        <v>96.804900000000004</v>
      </c>
      <c r="R210" s="69">
        <f t="shared" si="101"/>
        <v>16.695299999999975</v>
      </c>
      <c r="S210" s="435">
        <f t="shared" si="93"/>
        <v>0.23646983438485769</v>
      </c>
      <c r="T210" s="435">
        <f t="shared" si="94"/>
        <v>0.24203383048803082</v>
      </c>
      <c r="U210" s="435"/>
      <c r="V210" s="436"/>
      <c r="W210" s="437"/>
      <c r="X210" s="33">
        <v>2.64</v>
      </c>
      <c r="Y210" s="33">
        <f t="shared" si="110"/>
        <v>214241.28</v>
      </c>
      <c r="Z210" s="33"/>
      <c r="AA210" s="33"/>
      <c r="AB210" s="438"/>
      <c r="AC210" s="33"/>
    </row>
    <row r="211" spans="1:29" x14ac:dyDescent="0.3">
      <c r="A211" s="682">
        <v>44201.722222222219</v>
      </c>
      <c r="B211" s="682">
        <v>44205.038194444445</v>
      </c>
      <c r="C211" s="23"/>
      <c r="D211" s="14"/>
      <c r="E211" s="35" t="s">
        <v>512</v>
      </c>
      <c r="F211" s="36" t="s">
        <v>328</v>
      </c>
      <c r="G211" s="433">
        <f>70000</f>
        <v>70000</v>
      </c>
      <c r="H211" s="433"/>
      <c r="I211" s="433">
        <v>70000</v>
      </c>
      <c r="J211" s="26">
        <f>G211-I211</f>
        <v>0</v>
      </c>
      <c r="K211" s="636">
        <f t="shared" si="108"/>
        <v>3.3159722222262644</v>
      </c>
      <c r="L211" s="27">
        <f>'[244]XING BAO'!$F$125</f>
        <v>1.2916666666703047</v>
      </c>
      <c r="M211" s="434">
        <f>(G211)/K211</f>
        <v>21109.947643953325</v>
      </c>
      <c r="N211" s="434">
        <f>(G211)/L211</f>
        <v>54193.548386944138</v>
      </c>
      <c r="O211" s="434">
        <v>30000</v>
      </c>
      <c r="P211" s="69">
        <f>(88310/10000)*8.7</f>
        <v>76.829699999999988</v>
      </c>
      <c r="Q211" s="69">
        <f>(74020/10000)*8.7</f>
        <v>64.39739999999999</v>
      </c>
      <c r="R211" s="69">
        <f t="shared" si="101"/>
        <v>12.432299999999998</v>
      </c>
      <c r="S211" s="435">
        <f>R211/8.7*10000/(G211)</f>
        <v>0.20414285714285713</v>
      </c>
      <c r="T211" s="435">
        <f t="shared" ref="T211:T217" si="111">R211/8.5*10000/(G211)</f>
        <v>0.20894621848739492</v>
      </c>
      <c r="U211" s="435"/>
      <c r="V211" s="436"/>
      <c r="W211" s="32"/>
      <c r="X211" s="33">
        <v>2.64</v>
      </c>
      <c r="Y211" s="33">
        <f t="shared" ref="Y211:Y215" si="112">G211*X211</f>
        <v>184800</v>
      </c>
      <c r="Z211" s="33"/>
      <c r="AA211" s="33"/>
      <c r="AB211" s="438"/>
      <c r="AC211" s="33"/>
    </row>
    <row r="212" spans="1:29" x14ac:dyDescent="0.3">
      <c r="A212" s="682">
        <v>44208.784722222219</v>
      </c>
      <c r="B212" s="439">
        <v>44209.875</v>
      </c>
      <c r="C212" s="23"/>
      <c r="D212" s="23"/>
      <c r="E212" s="35" t="s">
        <v>143</v>
      </c>
      <c r="F212" s="25" t="s">
        <v>328</v>
      </c>
      <c r="G212" s="433">
        <f>38449</f>
        <v>38449</v>
      </c>
      <c r="H212" s="433"/>
      <c r="I212" s="433">
        <v>72650</v>
      </c>
      <c r="J212" s="26">
        <f t="shared" ref="J212:J275" si="113">G212-I212</f>
        <v>-34201</v>
      </c>
      <c r="K212" s="636">
        <f t="shared" si="108"/>
        <v>1.0902777777810115</v>
      </c>
      <c r="L212" s="27">
        <f>'[244]PAN FLOWER'!$F$67</f>
        <v>0.72916666667030461</v>
      </c>
      <c r="M212" s="434">
        <f t="shared" ref="M212:M230" si="114">(G212)/K212</f>
        <v>35265.324840659734</v>
      </c>
      <c r="N212" s="434">
        <f t="shared" ref="N212:N263" si="115">(G212)/L212</f>
        <v>52730.057142594065</v>
      </c>
      <c r="O212" s="434">
        <v>30000</v>
      </c>
      <c r="P212" s="69">
        <f>(239750/10000)*8.7</f>
        <v>208.58249999999998</v>
      </c>
      <c r="Q212" s="69">
        <f>(233870/10000)*8.7</f>
        <v>203.46689999999998</v>
      </c>
      <c r="R212" s="69">
        <f t="shared" si="101"/>
        <v>5.1156000000000006</v>
      </c>
      <c r="S212" s="435">
        <f t="shared" ref="S212:S217" si="116">R212/8.7*10000/(G212)</f>
        <v>0.1529298551327733</v>
      </c>
      <c r="T212" s="435">
        <f t="shared" si="111"/>
        <v>0.15652820466530915</v>
      </c>
      <c r="U212" s="69"/>
      <c r="V212" s="436"/>
      <c r="W212" s="437"/>
      <c r="X212" s="33">
        <v>2.64</v>
      </c>
      <c r="Y212" s="33">
        <f t="shared" si="112"/>
        <v>101505.36</v>
      </c>
      <c r="Z212" s="33"/>
      <c r="AA212" s="33"/>
      <c r="AB212" s="438"/>
      <c r="AC212" s="33"/>
    </row>
    <row r="213" spans="1:29" x14ac:dyDescent="0.3">
      <c r="A213" s="439">
        <v>44214.715277777781</v>
      </c>
      <c r="B213" s="439">
        <v>44217.739583333336</v>
      </c>
      <c r="C213" s="23"/>
      <c r="D213" s="23"/>
      <c r="E213" s="35" t="s">
        <v>424</v>
      </c>
      <c r="F213" s="25" t="s">
        <v>328</v>
      </c>
      <c r="G213" s="433">
        <f>72025</f>
        <v>72025</v>
      </c>
      <c r="H213" s="433"/>
      <c r="I213" s="433">
        <v>73300</v>
      </c>
      <c r="J213" s="26">
        <f t="shared" si="113"/>
        <v>-1275</v>
      </c>
      <c r="K213" s="636">
        <f t="shared" si="108"/>
        <v>3.0243055555547471</v>
      </c>
      <c r="L213" s="27">
        <f>'[244]CUI PING FENG'!$F$117</f>
        <v>1.364583333338184</v>
      </c>
      <c r="M213" s="434">
        <f t="shared" si="114"/>
        <v>23815.38461539098</v>
      </c>
      <c r="N213" s="434">
        <f t="shared" si="115"/>
        <v>52781.679389125355</v>
      </c>
      <c r="O213" s="434">
        <v>30000</v>
      </c>
      <c r="P213" s="69">
        <f>(220360/10000)*8.7</f>
        <v>191.7132</v>
      </c>
      <c r="Q213" s="69">
        <f>(206370/10000)*8.7</f>
        <v>179.5419</v>
      </c>
      <c r="R213" s="69">
        <f t="shared" si="101"/>
        <v>12.171300000000002</v>
      </c>
      <c r="S213" s="435">
        <f t="shared" si="116"/>
        <v>0.19423811176674774</v>
      </c>
      <c r="T213" s="435">
        <f t="shared" si="111"/>
        <v>0.19880842027890647</v>
      </c>
      <c r="U213" s="435"/>
      <c r="V213" s="436"/>
      <c r="W213" s="437"/>
      <c r="X213" s="33">
        <v>2.64</v>
      </c>
      <c r="Y213" s="33">
        <f t="shared" si="112"/>
        <v>190146</v>
      </c>
      <c r="Z213" s="33"/>
      <c r="AA213" s="33"/>
      <c r="AB213" s="438"/>
      <c r="AC213" s="33"/>
    </row>
    <row r="214" spans="1:29" x14ac:dyDescent="0.3">
      <c r="A214" s="439">
        <v>44218.052083333336</v>
      </c>
      <c r="B214" s="439">
        <v>44222.940972222219</v>
      </c>
      <c r="C214" s="23"/>
      <c r="D214" s="23"/>
      <c r="E214" s="35" t="s">
        <v>959</v>
      </c>
      <c r="F214" s="25" t="s">
        <v>328</v>
      </c>
      <c r="G214" s="433">
        <f>78780</f>
        <v>78780</v>
      </c>
      <c r="H214" s="433"/>
      <c r="I214" s="433">
        <v>79130</v>
      </c>
      <c r="J214" s="26">
        <f t="shared" si="113"/>
        <v>-350</v>
      </c>
      <c r="K214" s="636">
        <f t="shared" si="108"/>
        <v>4.8888888888832298</v>
      </c>
      <c r="L214" s="27">
        <f>'[244]TAHO AUSTRALIA'!$F$145</f>
        <v>1.4062499999733216</v>
      </c>
      <c r="M214" s="434">
        <f t="shared" si="114"/>
        <v>16114.090909109562</v>
      </c>
      <c r="N214" s="434">
        <f t="shared" si="115"/>
        <v>56021.333334396135</v>
      </c>
      <c r="O214" s="434">
        <v>30000</v>
      </c>
      <c r="P214" s="69">
        <f>(206010/10000)*8.7</f>
        <v>179.22869999999998</v>
      </c>
      <c r="Q214" s="69">
        <f>(186950/10000)*8.7</f>
        <v>162.6465</v>
      </c>
      <c r="R214" s="69">
        <f t="shared" si="101"/>
        <v>16.582199999999972</v>
      </c>
      <c r="S214" s="435">
        <f t="shared" si="116"/>
        <v>0.24193957857324158</v>
      </c>
      <c r="T214" s="435">
        <f t="shared" si="111"/>
        <v>0.24763227453967074</v>
      </c>
      <c r="U214" s="435"/>
      <c r="V214" s="436"/>
      <c r="W214" s="437"/>
      <c r="X214" s="33">
        <v>2.64</v>
      </c>
      <c r="Y214" s="33">
        <f t="shared" si="112"/>
        <v>207979.2</v>
      </c>
      <c r="Z214" s="33"/>
      <c r="AA214" s="33"/>
      <c r="AB214" s="438"/>
      <c r="AC214" s="33"/>
    </row>
    <row r="215" spans="1:29" x14ac:dyDescent="0.3">
      <c r="A215" s="439">
        <v>44223.736111111109</v>
      </c>
      <c r="B215" s="439">
        <v>44225.715277777781</v>
      </c>
      <c r="C215" s="23"/>
      <c r="D215" s="23"/>
      <c r="E215" s="35" t="s">
        <v>64</v>
      </c>
      <c r="F215" s="25" t="s">
        <v>328</v>
      </c>
      <c r="G215" s="433">
        <f>42918</f>
        <v>42918</v>
      </c>
      <c r="H215" s="433"/>
      <c r="I215" s="433">
        <v>66650</v>
      </c>
      <c r="J215" s="26">
        <f t="shared" si="113"/>
        <v>-23732</v>
      </c>
      <c r="K215" s="636">
        <f t="shared" si="108"/>
        <v>1.9791666666715173</v>
      </c>
      <c r="L215" s="27">
        <f>'[244]ZHENG HAO'!$F$73</f>
        <v>0.77777777777616086</v>
      </c>
      <c r="M215" s="434">
        <f t="shared" si="114"/>
        <v>21684.88421047317</v>
      </c>
      <c r="N215" s="434">
        <f t="shared" si="115"/>
        <v>55180.28571440043</v>
      </c>
      <c r="O215" s="434">
        <v>30000</v>
      </c>
      <c r="P215" s="69">
        <f>(185650/10000)*8.7</f>
        <v>161.5155</v>
      </c>
      <c r="Q215" s="69">
        <f>(177950/10000)*8.7</f>
        <v>154.81649999999999</v>
      </c>
      <c r="R215" s="69">
        <f t="shared" si="101"/>
        <v>6.6990000000000123</v>
      </c>
      <c r="S215" s="435">
        <f t="shared" si="116"/>
        <v>0.17941190176615907</v>
      </c>
      <c r="T215" s="435">
        <f t="shared" si="111"/>
        <v>0.18363335827830396</v>
      </c>
      <c r="U215" s="435"/>
      <c r="V215" s="436"/>
      <c r="W215" s="437"/>
      <c r="X215" s="33">
        <v>2.64</v>
      </c>
      <c r="Y215" s="33">
        <f t="shared" si="112"/>
        <v>113303.52</v>
      </c>
      <c r="Z215" s="33"/>
      <c r="AA215" s="33"/>
      <c r="AB215" s="438"/>
      <c r="AC215" s="33"/>
    </row>
    <row r="216" spans="1:29" x14ac:dyDescent="0.3">
      <c r="A216" s="439">
        <v>44231.71875</v>
      </c>
      <c r="B216" s="439">
        <v>44232.888888888891</v>
      </c>
      <c r="C216" s="23"/>
      <c r="D216" s="23"/>
      <c r="E216" s="35" t="s">
        <v>513</v>
      </c>
      <c r="F216" s="25" t="s">
        <v>328</v>
      </c>
      <c r="G216" s="433">
        <f>37861</f>
        <v>37861</v>
      </c>
      <c r="H216" s="433"/>
      <c r="I216" s="433">
        <v>72400</v>
      </c>
      <c r="J216" s="26">
        <f t="shared" si="113"/>
        <v>-34539</v>
      </c>
      <c r="K216" s="636">
        <f t="shared" si="108"/>
        <v>1.1701388888905058</v>
      </c>
      <c r="L216" s="27">
        <f>'[245]NAN XIN 27'!$F$66</f>
        <v>0.66319444444040221</v>
      </c>
      <c r="M216" s="434">
        <f t="shared" si="114"/>
        <v>32355.98813051909</v>
      </c>
      <c r="N216" s="434">
        <f t="shared" si="115"/>
        <v>57088.83769668304</v>
      </c>
      <c r="O216" s="434">
        <v>30000</v>
      </c>
      <c r="P216" s="69">
        <f>(160350/10000)*8.7</f>
        <v>139.50449999999998</v>
      </c>
      <c r="Q216" s="69">
        <f>(154640/10000)*8.7</f>
        <v>134.5368</v>
      </c>
      <c r="R216" s="69">
        <f t="shared" si="101"/>
        <v>4.9676999999999794</v>
      </c>
      <c r="S216" s="435">
        <f t="shared" si="116"/>
        <v>0.15081482264071144</v>
      </c>
      <c r="T216" s="435">
        <f t="shared" si="111"/>
        <v>0.15436340670284582</v>
      </c>
      <c r="U216" s="435"/>
      <c r="V216" s="436"/>
      <c r="W216" s="32"/>
      <c r="X216" s="33">
        <v>2.64</v>
      </c>
      <c r="Y216" s="33">
        <f t="shared" ref="Y216:Y219" si="117">G216*X216</f>
        <v>99953.040000000008</v>
      </c>
      <c r="Z216" s="33"/>
      <c r="AA216" s="33"/>
      <c r="AB216" s="438"/>
      <c r="AC216" s="33"/>
    </row>
    <row r="217" spans="1:29" x14ac:dyDescent="0.3">
      <c r="A217" s="682">
        <v>44243.847222222219</v>
      </c>
      <c r="B217" s="682">
        <v>44246.010416666664</v>
      </c>
      <c r="C217" s="23"/>
      <c r="D217" s="23"/>
      <c r="E217" s="35" t="s">
        <v>748</v>
      </c>
      <c r="F217" s="25" t="s">
        <v>328</v>
      </c>
      <c r="G217" s="433">
        <f>46845</f>
        <v>46845</v>
      </c>
      <c r="H217" s="433"/>
      <c r="I217" s="433">
        <v>79566</v>
      </c>
      <c r="J217" s="26">
        <f t="shared" si="113"/>
        <v>-32721</v>
      </c>
      <c r="K217" s="636">
        <f t="shared" si="108"/>
        <v>2.1631944444452529</v>
      </c>
      <c r="L217" s="27">
        <f>'[245]KM SYDNEY'!$F$81</f>
        <v>0.86458333334909787</v>
      </c>
      <c r="M217" s="434">
        <f t="shared" si="114"/>
        <v>21655.473515240705</v>
      </c>
      <c r="N217" s="434">
        <f t="shared" si="115"/>
        <v>54182.168673710854</v>
      </c>
      <c r="O217" s="434">
        <v>30000</v>
      </c>
      <c r="P217" s="69">
        <f>(128900/10000)*8.7</f>
        <v>112.143</v>
      </c>
      <c r="Q217" s="69">
        <f>(117550/10000)*8.7</f>
        <v>102.2685</v>
      </c>
      <c r="R217" s="69">
        <f t="shared" si="101"/>
        <v>9.8744999999999976</v>
      </c>
      <c r="S217" s="435">
        <f t="shared" si="116"/>
        <v>0.24228839790799442</v>
      </c>
      <c r="T217" s="435">
        <f t="shared" si="111"/>
        <v>0.24798930138818248</v>
      </c>
      <c r="U217" s="435"/>
      <c r="V217" s="436"/>
      <c r="W217" s="437"/>
      <c r="X217" s="33">
        <v>2.64</v>
      </c>
      <c r="Y217" s="33">
        <f t="shared" si="117"/>
        <v>123670.8</v>
      </c>
      <c r="Z217" s="33"/>
      <c r="AA217" s="33"/>
      <c r="AB217" s="438"/>
      <c r="AC217" s="33"/>
    </row>
    <row r="218" spans="1:29" x14ac:dyDescent="0.3">
      <c r="A218" s="682">
        <v>44246.979166666664</v>
      </c>
      <c r="B218" s="682">
        <v>44249.697916666664</v>
      </c>
      <c r="C218" s="23"/>
      <c r="D218" s="23"/>
      <c r="E218" s="35" t="s">
        <v>755</v>
      </c>
      <c r="F218" s="25" t="s">
        <v>328</v>
      </c>
      <c r="G218" s="433">
        <v>55651</v>
      </c>
      <c r="H218" s="433"/>
      <c r="I218" s="433">
        <v>79868</v>
      </c>
      <c r="J218" s="26">
        <f t="shared" si="113"/>
        <v>-24217</v>
      </c>
      <c r="K218" s="636">
        <f t="shared" si="108"/>
        <v>2.71875</v>
      </c>
      <c r="L218" s="27">
        <f>[245]FORTUNA!$F$101</f>
        <v>1.0572916666703047</v>
      </c>
      <c r="M218" s="434">
        <f t="shared" si="114"/>
        <v>20469.333333333332</v>
      </c>
      <c r="N218" s="434">
        <f t="shared" si="115"/>
        <v>52635.428571247459</v>
      </c>
      <c r="O218" s="434">
        <v>30000</v>
      </c>
      <c r="P218" s="69">
        <f>(116160/10000)*8.7</f>
        <v>101.05919999999999</v>
      </c>
      <c r="Q218" s="69">
        <f>(104370/10000)*8.7</f>
        <v>90.801899999999989</v>
      </c>
      <c r="R218" s="69">
        <f t="shared" si="101"/>
        <v>10.257300000000001</v>
      </c>
      <c r="S218" s="435">
        <f>R218/8.7*10000/(G218)</f>
        <v>0.21185603133816108</v>
      </c>
      <c r="T218" s="435">
        <f>R218/8.5*10000/(G218)</f>
        <v>0.2168408791343531</v>
      </c>
      <c r="U218" s="435"/>
      <c r="V218" s="436"/>
      <c r="W218" s="437"/>
      <c r="X218" s="33">
        <v>2.64</v>
      </c>
      <c r="Y218" s="33">
        <f t="shared" si="117"/>
        <v>146918.64000000001</v>
      </c>
      <c r="Z218" s="33"/>
      <c r="AA218" s="33"/>
      <c r="AB218" s="438"/>
      <c r="AC218" s="33"/>
    </row>
    <row r="219" spans="1:29" x14ac:dyDescent="0.3">
      <c r="A219" s="682">
        <v>44250.875</v>
      </c>
      <c r="B219" s="682">
        <v>44253.288194444445</v>
      </c>
      <c r="C219" s="23"/>
      <c r="D219" s="23"/>
      <c r="E219" s="35" t="s">
        <v>113</v>
      </c>
      <c r="F219" s="25" t="s">
        <v>32</v>
      </c>
      <c r="G219" s="433">
        <f>64782</f>
        <v>64782</v>
      </c>
      <c r="H219" s="433"/>
      <c r="I219" s="433">
        <v>76600</v>
      </c>
      <c r="J219" s="26">
        <f>G219-I219</f>
        <v>-11818</v>
      </c>
      <c r="K219" s="636">
        <f t="shared" si="108"/>
        <v>2.4131944444452529</v>
      </c>
      <c r="L219" s="27">
        <f>'[245]CHANG MING'!$F$86</f>
        <v>1.1753472222250518</v>
      </c>
      <c r="M219" s="434">
        <f>(G219)/K219</f>
        <v>26844.915107904675</v>
      </c>
      <c r="N219" s="434">
        <f>(G219)/L219</f>
        <v>55117.32939425431</v>
      </c>
      <c r="O219" s="434">
        <v>30000</v>
      </c>
      <c r="P219" s="69">
        <f>(102640/10000)*8.7</f>
        <v>89.29679999999999</v>
      </c>
      <c r="Q219" s="69">
        <f>(92070/10000)*8.7</f>
        <v>80.100899999999996</v>
      </c>
      <c r="R219" s="69">
        <f t="shared" si="101"/>
        <v>9.1958999999999946</v>
      </c>
      <c r="S219" s="435">
        <f t="shared" ref="S219:S282" si="118">R219/8.7*10000/(G219)</f>
        <v>0.16316260689697748</v>
      </c>
      <c r="T219" s="435">
        <f t="shared" ref="T219:T282" si="119">R219/8.5*10000/(G219)</f>
        <v>0.16700172705925928</v>
      </c>
      <c r="U219" s="435"/>
      <c r="V219" s="436"/>
      <c r="W219" s="437"/>
      <c r="X219" s="33">
        <v>2.64</v>
      </c>
      <c r="Y219" s="33">
        <f t="shared" si="117"/>
        <v>171024.48</v>
      </c>
      <c r="Z219" s="33"/>
      <c r="AA219" s="33"/>
      <c r="AB219" s="438"/>
      <c r="AC219" s="33"/>
    </row>
    <row r="220" spans="1:29" x14ac:dyDescent="0.3">
      <c r="A220" s="682">
        <v>44256.652777777781</v>
      </c>
      <c r="B220" s="682">
        <v>44258.46875</v>
      </c>
      <c r="C220" s="23"/>
      <c r="D220" s="14"/>
      <c r="E220" s="35" t="s">
        <v>873</v>
      </c>
      <c r="F220" s="25" t="s">
        <v>328</v>
      </c>
      <c r="G220" s="433">
        <f>56290</f>
        <v>56290</v>
      </c>
      <c r="H220" s="433"/>
      <c r="I220" s="433">
        <v>94600</v>
      </c>
      <c r="J220" s="26">
        <f t="shared" si="113"/>
        <v>-38310</v>
      </c>
      <c r="K220" s="636">
        <f t="shared" si="108"/>
        <v>1.8159722222189885</v>
      </c>
      <c r="L220" s="27">
        <f>'[246]CEMTEX RAINESSANCE'!$F$92</f>
        <v>1.1076388888929312</v>
      </c>
      <c r="M220" s="434">
        <f t="shared" si="114"/>
        <v>30997.170172139329</v>
      </c>
      <c r="N220" s="434">
        <f t="shared" si="115"/>
        <v>50819.811912040241</v>
      </c>
      <c r="O220" s="434">
        <v>30000</v>
      </c>
      <c r="P220" s="69">
        <f>(78210/10000)*8.7</f>
        <v>68.042699999999996</v>
      </c>
      <c r="Q220" s="69">
        <f>(68760/10000)*8.7</f>
        <v>59.821199999999997</v>
      </c>
      <c r="R220" s="69">
        <f t="shared" si="101"/>
        <v>8.2214999999999989</v>
      </c>
      <c r="S220" s="435">
        <f t="shared" si="118"/>
        <v>0.16788061822703856</v>
      </c>
      <c r="T220" s="435">
        <f t="shared" si="119"/>
        <v>0.17183075042061594</v>
      </c>
      <c r="U220" s="435"/>
      <c r="V220" s="436"/>
      <c r="W220" s="437"/>
      <c r="X220" s="33">
        <v>2.64</v>
      </c>
      <c r="Y220" s="33">
        <f t="shared" ref="Y220:Y225" si="120">G220*X220</f>
        <v>148605.6</v>
      </c>
      <c r="Z220" s="33"/>
      <c r="AA220" s="33"/>
      <c r="AB220" s="438"/>
      <c r="AC220" s="33"/>
    </row>
    <row r="221" spans="1:29" x14ac:dyDescent="0.3">
      <c r="A221" s="682">
        <v>44265.770833333336</v>
      </c>
      <c r="B221" s="682">
        <v>44267.159722222219</v>
      </c>
      <c r="C221" s="23"/>
      <c r="D221" s="14"/>
      <c r="E221" s="35" t="s">
        <v>344</v>
      </c>
      <c r="F221" s="25" t="s">
        <v>328</v>
      </c>
      <c r="G221" s="433">
        <f>44881</f>
        <v>44881</v>
      </c>
      <c r="H221" s="433"/>
      <c r="I221" s="433">
        <v>77000</v>
      </c>
      <c r="J221" s="26">
        <f t="shared" si="113"/>
        <v>-32119</v>
      </c>
      <c r="K221" s="636">
        <f t="shared" si="108"/>
        <v>1.3888888888832298</v>
      </c>
      <c r="L221" s="27">
        <f>'[246]SWEET VENUS'!$F$73</f>
        <v>0.83680555554262048</v>
      </c>
      <c r="M221" s="434">
        <f t="shared" si="114"/>
        <v>32314.320000131665</v>
      </c>
      <c r="N221" s="434">
        <f t="shared" si="115"/>
        <v>53633.726141907893</v>
      </c>
      <c r="O221" s="434">
        <v>30000</v>
      </c>
      <c r="P221" s="69">
        <f>(236790/10000)*8.7</f>
        <v>206.00729999999996</v>
      </c>
      <c r="Q221" s="69">
        <f>(229230/10000)*8.7</f>
        <v>199.43009999999998</v>
      </c>
      <c r="R221" s="69">
        <f t="shared" si="101"/>
        <v>6.5771999999999764</v>
      </c>
      <c r="S221" s="435">
        <f t="shared" si="118"/>
        <v>0.16844544462021732</v>
      </c>
      <c r="T221" s="435">
        <f t="shared" si="119"/>
        <v>0.17240886684657536</v>
      </c>
      <c r="U221" s="435"/>
      <c r="V221" s="436"/>
      <c r="W221" s="437"/>
      <c r="X221" s="33">
        <v>2.64</v>
      </c>
      <c r="Y221" s="33">
        <f t="shared" si="120"/>
        <v>118485.84000000001</v>
      </c>
      <c r="Z221" s="33"/>
      <c r="AA221" s="33"/>
      <c r="AB221" s="438"/>
      <c r="AC221" s="33"/>
    </row>
    <row r="222" spans="1:29" x14ac:dyDescent="0.3">
      <c r="A222" s="682">
        <v>44267.965277777781</v>
      </c>
      <c r="B222" s="682">
        <v>44269.875</v>
      </c>
      <c r="C222" s="23"/>
      <c r="D222" s="14"/>
      <c r="E222" s="35" t="s">
        <v>44</v>
      </c>
      <c r="F222" s="25" t="s">
        <v>32</v>
      </c>
      <c r="G222" s="433">
        <v>49609</v>
      </c>
      <c r="H222" s="433"/>
      <c r="I222" s="433">
        <v>89900</v>
      </c>
      <c r="J222" s="26">
        <f t="shared" si="113"/>
        <v>-40291</v>
      </c>
      <c r="K222" s="636">
        <f t="shared" si="108"/>
        <v>1.9097222222189885</v>
      </c>
      <c r="L222" s="27">
        <f>'[246]TAIPOWER PROSPERITY VII'!$F$92</f>
        <v>0.84548611110100558</v>
      </c>
      <c r="M222" s="434">
        <f t="shared" si="114"/>
        <v>25977.076363680349</v>
      </c>
      <c r="N222" s="434">
        <f t="shared" si="115"/>
        <v>58675.121150598636</v>
      </c>
      <c r="O222" s="434">
        <v>30000</v>
      </c>
      <c r="P222" s="69">
        <f>(228130/10000)*8.7</f>
        <v>198.47309999999996</v>
      </c>
      <c r="Q222" s="69">
        <f>(219460/10000)*8.7</f>
        <v>190.93019999999999</v>
      </c>
      <c r="R222" s="69">
        <f t="shared" si="101"/>
        <v>7.5428999999999746</v>
      </c>
      <c r="S222" s="435">
        <f t="shared" si="118"/>
        <v>0.17476667540164023</v>
      </c>
      <c r="T222" s="435">
        <f t="shared" si="119"/>
        <v>0.17887883246991412</v>
      </c>
      <c r="U222" s="435"/>
      <c r="V222" s="436"/>
      <c r="W222" s="32"/>
      <c r="X222" s="33">
        <v>2.64</v>
      </c>
      <c r="Y222" s="33">
        <f t="shared" si="120"/>
        <v>130967.76000000001</v>
      </c>
      <c r="Z222" s="33"/>
      <c r="AA222" s="33"/>
      <c r="AB222" s="438"/>
      <c r="AC222" s="33"/>
    </row>
    <row r="223" spans="1:29" x14ac:dyDescent="0.3">
      <c r="A223" s="682">
        <v>44271.4375</v>
      </c>
      <c r="B223" s="682">
        <v>44274.333333333336</v>
      </c>
      <c r="C223" s="23"/>
      <c r="D223" s="14"/>
      <c r="E223" s="35" t="s">
        <v>109</v>
      </c>
      <c r="F223" s="36" t="s">
        <v>328</v>
      </c>
      <c r="G223" s="433">
        <f>67100</f>
        <v>67100</v>
      </c>
      <c r="H223" s="433"/>
      <c r="I223" s="433">
        <v>67000</v>
      </c>
      <c r="J223" s="26">
        <f t="shared" si="113"/>
        <v>100</v>
      </c>
      <c r="K223" s="636">
        <f t="shared" si="108"/>
        <v>2.8958333333357587</v>
      </c>
      <c r="L223" s="27">
        <f>'[246]YUE DIAN 81'!$F$114</f>
        <v>1.2256944444222124</v>
      </c>
      <c r="M223" s="434">
        <f>(G223)/K223</f>
        <v>23171.223021563328</v>
      </c>
      <c r="N223" s="434">
        <f t="shared" si="115"/>
        <v>54744.475921672856</v>
      </c>
      <c r="O223" s="434">
        <v>30000</v>
      </c>
      <c r="P223" s="69">
        <f>(217160/10000)*8.7</f>
        <v>188.92919999999998</v>
      </c>
      <c r="Q223" s="69">
        <f>(204520/10000)*8.7</f>
        <v>177.9324</v>
      </c>
      <c r="R223" s="69">
        <f t="shared" si="101"/>
        <v>10.996799999999979</v>
      </c>
      <c r="S223" s="435">
        <f t="shared" si="118"/>
        <v>0.18837555886736182</v>
      </c>
      <c r="T223" s="435">
        <f t="shared" si="119"/>
        <v>0.19280792495835852</v>
      </c>
      <c r="U223" s="435"/>
      <c r="V223" s="31"/>
      <c r="W223" s="32"/>
      <c r="X223" s="33">
        <v>2.64</v>
      </c>
      <c r="Y223" s="33">
        <f t="shared" si="120"/>
        <v>177144</v>
      </c>
      <c r="Z223" s="33"/>
      <c r="AA223" s="33"/>
      <c r="AB223" s="438"/>
      <c r="AC223" s="33"/>
    </row>
    <row r="224" spans="1:29" x14ac:dyDescent="0.3">
      <c r="A224" s="439">
        <v>44275.927083333336</v>
      </c>
      <c r="B224" s="439">
        <v>44280.833333333336</v>
      </c>
      <c r="C224" s="23"/>
      <c r="D224" s="23"/>
      <c r="E224" s="35" t="s">
        <v>960</v>
      </c>
      <c r="F224" s="25" t="s">
        <v>328</v>
      </c>
      <c r="G224" s="433">
        <f>87685</f>
        <v>87685</v>
      </c>
      <c r="H224" s="433"/>
      <c r="I224" s="433">
        <v>87855</v>
      </c>
      <c r="J224" s="26">
        <f t="shared" si="113"/>
        <v>-170</v>
      </c>
      <c r="K224" s="636">
        <f t="shared" si="108"/>
        <v>4.90625</v>
      </c>
      <c r="L224" s="27">
        <f>'[246]STAR APHRODITE'!$F$128</f>
        <v>1.5052083333345461</v>
      </c>
      <c r="M224" s="434">
        <f t="shared" si="114"/>
        <v>17872.101910828027</v>
      </c>
      <c r="N224" s="434">
        <f t="shared" si="115"/>
        <v>58254.394463620883</v>
      </c>
      <c r="O224" s="434">
        <v>30000</v>
      </c>
      <c r="P224" s="69">
        <f>(201820/10000)*8.7</f>
        <v>175.58339999999998</v>
      </c>
      <c r="Q224" s="69">
        <f>(183610/10000)*8.7</f>
        <v>159.7407</v>
      </c>
      <c r="R224" s="69">
        <f t="shared" si="101"/>
        <v>15.842699999999979</v>
      </c>
      <c r="S224" s="435">
        <f t="shared" si="118"/>
        <v>0.20767520100359216</v>
      </c>
      <c r="T224" s="435">
        <f t="shared" si="119"/>
        <v>0.21256167632132369</v>
      </c>
      <c r="U224" s="435"/>
      <c r="V224" s="436"/>
      <c r="W224" s="437"/>
      <c r="X224" s="33">
        <v>2.64</v>
      </c>
      <c r="Y224" s="33">
        <f t="shared" si="120"/>
        <v>231488.40000000002</v>
      </c>
      <c r="Z224" s="33"/>
      <c r="AA224" s="33"/>
      <c r="AB224" s="438"/>
      <c r="AC224" s="33"/>
    </row>
    <row r="225" spans="1:29" x14ac:dyDescent="0.3">
      <c r="A225" s="439">
        <v>44282.694444444445</v>
      </c>
      <c r="B225" s="439">
        <v>44283.701388888891</v>
      </c>
      <c r="C225" s="23"/>
      <c r="D225" s="23"/>
      <c r="E225" s="35" t="s">
        <v>278</v>
      </c>
      <c r="F225" s="25" t="s">
        <v>328</v>
      </c>
      <c r="G225" s="433">
        <v>24516</v>
      </c>
      <c r="H225" s="433"/>
      <c r="I225" s="433">
        <v>65500</v>
      </c>
      <c r="J225" s="26">
        <f t="shared" si="113"/>
        <v>-40984</v>
      </c>
      <c r="K225" s="636">
        <f t="shared" si="108"/>
        <v>1.0069444444452529</v>
      </c>
      <c r="L225" s="27">
        <f>'[246]ANDHIKA KHANISKA'!$F$61</f>
        <v>0.39930555555353447</v>
      </c>
      <c r="M225" s="434">
        <f t="shared" si="114"/>
        <v>24346.924137911486</v>
      </c>
      <c r="N225" s="434">
        <f t="shared" si="115"/>
        <v>61396.591304658585</v>
      </c>
      <c r="O225" s="434">
        <v>30000</v>
      </c>
      <c r="P225" s="69">
        <f>(180460/10000)*8.7</f>
        <v>157.00019999999998</v>
      </c>
      <c r="Q225" s="69">
        <f>(175880/10000)*8.7</f>
        <v>153.01560000000001</v>
      </c>
      <c r="R225" s="69">
        <f t="shared" si="101"/>
        <v>3.9845999999999719</v>
      </c>
      <c r="S225" s="435">
        <f t="shared" si="118"/>
        <v>0.18681677271985511</v>
      </c>
      <c r="T225" s="435">
        <f t="shared" si="119"/>
        <v>0.19121246148973406</v>
      </c>
      <c r="U225" s="435"/>
      <c r="V225" s="436"/>
      <c r="W225" s="437"/>
      <c r="X225" s="33">
        <v>2.64</v>
      </c>
      <c r="Y225" s="33">
        <f t="shared" si="120"/>
        <v>64722.240000000005</v>
      </c>
      <c r="Z225" s="33"/>
      <c r="AA225" s="33"/>
      <c r="AB225" s="438"/>
      <c r="AC225" s="33"/>
    </row>
    <row r="226" spans="1:29" x14ac:dyDescent="0.3">
      <c r="A226" s="439">
        <v>44288.888888888891</v>
      </c>
      <c r="B226" s="439">
        <v>44295.236111111109</v>
      </c>
      <c r="C226" s="23"/>
      <c r="D226" s="23"/>
      <c r="E226" s="35" t="s">
        <v>162</v>
      </c>
      <c r="F226" s="25" t="s">
        <v>328</v>
      </c>
      <c r="G226" s="634">
        <f>70700</f>
        <v>70700</v>
      </c>
      <c r="H226" s="433"/>
      <c r="I226" s="433">
        <v>70700</v>
      </c>
      <c r="J226" s="26">
        <f>G226-I226</f>
        <v>0</v>
      </c>
      <c r="K226" s="636">
        <f t="shared" si="108"/>
        <v>6.3472222222189885</v>
      </c>
      <c r="L226" s="27">
        <f>'[247]YUE DIAN 6'!$F$112</f>
        <v>1.355902777772523</v>
      </c>
      <c r="M226" s="434">
        <f t="shared" si="114"/>
        <v>11138.730853397359</v>
      </c>
      <c r="N226" s="434">
        <f>(G226)/L226</f>
        <v>52142.381562301947</v>
      </c>
      <c r="O226" s="434">
        <v>30000</v>
      </c>
      <c r="P226" s="69">
        <f>(160200/10000)*8.7</f>
        <v>139.374</v>
      </c>
      <c r="Q226" s="69">
        <f>(141510/10000)*8.7</f>
        <v>123.11369999999999</v>
      </c>
      <c r="R226" s="69">
        <f t="shared" si="101"/>
        <v>16.260300000000001</v>
      </c>
      <c r="S226" s="435">
        <f t="shared" si="118"/>
        <v>0.26435643564356442</v>
      </c>
      <c r="T226" s="435">
        <f t="shared" si="119"/>
        <v>0.27057658707047183</v>
      </c>
      <c r="U226" s="435"/>
      <c r="V226" s="436"/>
      <c r="W226" s="437"/>
      <c r="X226" s="33">
        <v>2.64</v>
      </c>
      <c r="Y226" s="33">
        <f t="shared" ref="Y226:Y231" si="121">G226*X226</f>
        <v>186648</v>
      </c>
      <c r="Z226" s="33"/>
      <c r="AA226" s="33"/>
      <c r="AB226" s="438"/>
      <c r="AC226" s="33"/>
    </row>
    <row r="227" spans="1:29" x14ac:dyDescent="0.3">
      <c r="A227" s="439">
        <v>44295.819444444445</v>
      </c>
      <c r="B227" s="439">
        <v>44299.236111111109</v>
      </c>
      <c r="C227" s="23"/>
      <c r="D227" s="14"/>
      <c r="E227" s="35" t="s">
        <v>961</v>
      </c>
      <c r="F227" s="25" t="s">
        <v>328</v>
      </c>
      <c r="G227" s="433">
        <f>88000</f>
        <v>88000</v>
      </c>
      <c r="H227" s="433"/>
      <c r="I227" s="433">
        <v>88000</v>
      </c>
      <c r="J227" s="26">
        <f t="shared" si="113"/>
        <v>0</v>
      </c>
      <c r="K227" s="636">
        <f t="shared" si="108"/>
        <v>3.4166666666642413</v>
      </c>
      <c r="L227" s="27">
        <f>'[247]STAR PIERA'!$F$143</f>
        <v>1.5937499999842355</v>
      </c>
      <c r="M227" s="434">
        <f t="shared" si="114"/>
        <v>25756.097560993894</v>
      </c>
      <c r="N227" s="434">
        <f t="shared" si="115"/>
        <v>55215.686275055967</v>
      </c>
      <c r="O227" s="434">
        <v>30000</v>
      </c>
      <c r="P227" s="69">
        <f>(140860/10000)*8.7</f>
        <v>122.54819999999999</v>
      </c>
      <c r="Q227" s="69">
        <f>(125110/10000)*8.7</f>
        <v>108.84569999999998</v>
      </c>
      <c r="R227" s="69">
        <f t="shared" si="101"/>
        <v>13.702500000000015</v>
      </c>
      <c r="S227" s="435">
        <f t="shared" si="118"/>
        <v>0.17897727272727293</v>
      </c>
      <c r="T227" s="435">
        <f t="shared" si="119"/>
        <v>0.18318850267379699</v>
      </c>
      <c r="U227" s="435"/>
      <c r="V227" s="31"/>
      <c r="W227" s="32"/>
      <c r="X227" s="33">
        <v>2.64</v>
      </c>
      <c r="Y227" s="33">
        <f t="shared" si="121"/>
        <v>232320</v>
      </c>
      <c r="Z227" s="33"/>
      <c r="AA227" s="33"/>
      <c r="AB227" s="438"/>
      <c r="AC227" s="33"/>
    </row>
    <row r="228" spans="1:29" x14ac:dyDescent="0.3">
      <c r="A228" s="439">
        <v>44301.510416666664</v>
      </c>
      <c r="B228" s="439">
        <v>44306.440972222219</v>
      </c>
      <c r="C228" s="23"/>
      <c r="D228" s="23"/>
      <c r="E228" s="35" t="s">
        <v>891</v>
      </c>
      <c r="F228" s="36" t="s">
        <v>328</v>
      </c>
      <c r="G228" s="433">
        <f>59255</f>
        <v>59255</v>
      </c>
      <c r="H228" s="433"/>
      <c r="I228" s="433">
        <v>82500</v>
      </c>
      <c r="J228" s="26">
        <f t="shared" si="113"/>
        <v>-23245</v>
      </c>
      <c r="K228" s="636">
        <f t="shared" si="108"/>
        <v>4.9305555555547471</v>
      </c>
      <c r="L228" s="27">
        <f>'[247]MARAN BRILLIANCE'!$F$116</f>
        <v>1.4913194444476783</v>
      </c>
      <c r="M228" s="434">
        <f t="shared" si="114"/>
        <v>12017.915492959717</v>
      </c>
      <c r="N228" s="434">
        <f t="shared" si="115"/>
        <v>39733.271245548298</v>
      </c>
      <c r="O228" s="434">
        <v>30000</v>
      </c>
      <c r="P228" s="69">
        <f>(121454/10000)*8.7</f>
        <v>105.66498</v>
      </c>
      <c r="Q228" s="69">
        <f>(103330/10000)*8.7</f>
        <v>89.897099999999995</v>
      </c>
      <c r="R228" s="69">
        <f t="shared" si="101"/>
        <v>15.767880000000005</v>
      </c>
      <c r="S228" s="435">
        <f t="shared" si="118"/>
        <v>0.30586448400978833</v>
      </c>
      <c r="T228" s="435">
        <f t="shared" si="119"/>
        <v>0.31306129539825389</v>
      </c>
      <c r="U228" s="435"/>
      <c r="V228" s="436"/>
      <c r="W228" s="437"/>
      <c r="X228" s="33">
        <v>2.64</v>
      </c>
      <c r="Y228" s="33">
        <f t="shared" si="121"/>
        <v>156433.20000000001</v>
      </c>
      <c r="Z228" s="33"/>
      <c r="AA228" s="33"/>
      <c r="AB228" s="438"/>
      <c r="AC228" s="33"/>
    </row>
    <row r="229" spans="1:29" x14ac:dyDescent="0.3">
      <c r="A229" s="439">
        <v>44306.833333333336</v>
      </c>
      <c r="B229" s="439">
        <v>44308.493055555555</v>
      </c>
      <c r="C229" s="23"/>
      <c r="D229" s="23"/>
      <c r="E229" s="35" t="s">
        <v>892</v>
      </c>
      <c r="F229" s="36" t="s">
        <v>328</v>
      </c>
      <c r="G229" s="433">
        <v>44337</v>
      </c>
      <c r="H229" s="433"/>
      <c r="I229" s="433">
        <v>160800</v>
      </c>
      <c r="J229" s="26">
        <f t="shared" si="113"/>
        <v>-116463</v>
      </c>
      <c r="K229" s="636">
        <f t="shared" si="108"/>
        <v>1.6597222222189885</v>
      </c>
      <c r="L229" s="27">
        <f>'[247]MINERAL DESTELBERGEN'!$F$68</f>
        <v>0.91840277777737356</v>
      </c>
      <c r="M229" s="434">
        <f t="shared" si="114"/>
        <v>26713.506276202676</v>
      </c>
      <c r="N229" s="434">
        <f t="shared" si="115"/>
        <v>48276.204158811415</v>
      </c>
      <c r="O229" s="434">
        <v>30000</v>
      </c>
      <c r="P229" s="69">
        <f>(103010/10000)*8.7</f>
        <v>89.61869999999999</v>
      </c>
      <c r="Q229" s="69">
        <f>(94690/10000)*8.7</f>
        <v>82.380299999999991</v>
      </c>
      <c r="R229" s="69">
        <f t="shared" si="101"/>
        <v>7.2383999999999986</v>
      </c>
      <c r="S229" s="435">
        <f t="shared" si="118"/>
        <v>0.18765365270541534</v>
      </c>
      <c r="T229" s="435">
        <f t="shared" si="119"/>
        <v>0.19206903276907214</v>
      </c>
      <c r="U229" s="435"/>
      <c r="V229" s="436"/>
      <c r="W229" s="437"/>
      <c r="X229" s="33">
        <v>2.64</v>
      </c>
      <c r="Y229" s="33">
        <f t="shared" si="121"/>
        <v>117049.68000000001</v>
      </c>
      <c r="Z229" s="33"/>
      <c r="AA229" s="33"/>
      <c r="AB229" s="438"/>
      <c r="AC229" s="33"/>
    </row>
    <row r="230" spans="1:29" x14ac:dyDescent="0.3">
      <c r="A230" s="439">
        <v>44308.736111111109</v>
      </c>
      <c r="B230" s="439">
        <v>44312.427083333336</v>
      </c>
      <c r="C230" s="23"/>
      <c r="D230" s="23"/>
      <c r="E230" s="35" t="s">
        <v>962</v>
      </c>
      <c r="F230" s="25" t="s">
        <v>32</v>
      </c>
      <c r="G230" s="634">
        <f>79102</f>
        <v>79102</v>
      </c>
      <c r="H230" s="433"/>
      <c r="I230" s="433">
        <v>79100</v>
      </c>
      <c r="J230" s="26">
        <f t="shared" si="113"/>
        <v>2</v>
      </c>
      <c r="K230" s="636">
        <f t="shared" si="108"/>
        <v>3.6909722222262644</v>
      </c>
      <c r="L230" s="27">
        <f>'[247]KONSTANTINOS II'!$F$157</f>
        <v>1.4791666666703047</v>
      </c>
      <c r="M230" s="434">
        <f t="shared" si="114"/>
        <v>21431.209783607763</v>
      </c>
      <c r="N230" s="434">
        <f t="shared" si="115"/>
        <v>53477.408450572693</v>
      </c>
      <c r="O230" s="434">
        <v>30000</v>
      </c>
      <c r="P230" s="69">
        <f>(94300/10000)*8.7</f>
        <v>82.040999999999997</v>
      </c>
      <c r="Q230" s="69">
        <f>(77950/10000)*8.7</f>
        <v>67.816499999999991</v>
      </c>
      <c r="R230" s="69">
        <f t="shared" si="101"/>
        <v>14.224500000000006</v>
      </c>
      <c r="S230" s="435">
        <f t="shared" si="118"/>
        <v>0.20669515309347436</v>
      </c>
      <c r="T230" s="435">
        <f t="shared" si="119"/>
        <v>0.2115585684603796</v>
      </c>
      <c r="U230" s="435"/>
      <c r="V230" s="436"/>
      <c r="W230" s="437"/>
      <c r="X230" s="33">
        <v>2.64</v>
      </c>
      <c r="Y230" s="33">
        <f t="shared" si="121"/>
        <v>208829.28</v>
      </c>
      <c r="Z230" s="33"/>
      <c r="AA230" s="33"/>
      <c r="AB230" s="438"/>
      <c r="AC230" s="33"/>
    </row>
    <row r="231" spans="1:29" x14ac:dyDescent="0.3">
      <c r="A231" s="439">
        <v>44312.90625</v>
      </c>
      <c r="B231" s="439">
        <v>44316.347222222219</v>
      </c>
      <c r="C231" s="23"/>
      <c r="D231" s="23"/>
      <c r="E231" s="35" t="s">
        <v>963</v>
      </c>
      <c r="F231" s="25" t="s">
        <v>328</v>
      </c>
      <c r="G231" s="433">
        <v>82500</v>
      </c>
      <c r="H231" s="433"/>
      <c r="I231" s="433">
        <v>82500</v>
      </c>
      <c r="J231" s="26">
        <f t="shared" si="113"/>
        <v>0</v>
      </c>
      <c r="K231" s="636">
        <f t="shared" si="108"/>
        <v>3.4409722222189885</v>
      </c>
      <c r="L231" s="27">
        <f>[247]ROBUSTO!$F$119</f>
        <v>1.7881944444040225</v>
      </c>
      <c r="M231" s="434">
        <f>(G231)/K231</f>
        <v>23975.782038367637</v>
      </c>
      <c r="N231" s="434">
        <f t="shared" si="115"/>
        <v>46135.922331139984</v>
      </c>
      <c r="O231" s="434">
        <v>30000</v>
      </c>
      <c r="P231" s="69">
        <f>(77120/10000)*8.7</f>
        <v>67.094399999999993</v>
      </c>
      <c r="Q231" s="69">
        <f>(60680/10000)*8.7</f>
        <v>52.791599999999995</v>
      </c>
      <c r="R231" s="69">
        <f t="shared" si="101"/>
        <v>14.302799999999998</v>
      </c>
      <c r="S231" s="435">
        <f t="shared" si="118"/>
        <v>0.19927272727272727</v>
      </c>
      <c r="T231" s="435">
        <f t="shared" si="119"/>
        <v>0.20396149732620317</v>
      </c>
      <c r="U231" s="435"/>
      <c r="V231" s="436"/>
      <c r="W231" s="437"/>
      <c r="X231" s="33">
        <v>2.64</v>
      </c>
      <c r="Y231" s="33">
        <f t="shared" si="121"/>
        <v>217800</v>
      </c>
      <c r="Z231" s="33"/>
      <c r="AA231" s="33"/>
      <c r="AB231" s="438"/>
      <c r="AC231" s="33"/>
    </row>
    <row r="232" spans="1:29" x14ac:dyDescent="0.3">
      <c r="A232" s="682">
        <v>44317.236111111109</v>
      </c>
      <c r="B232" s="682">
        <v>44320.020833333336</v>
      </c>
      <c r="C232" s="23"/>
      <c r="D232" s="14"/>
      <c r="E232" s="35" t="s">
        <v>155</v>
      </c>
      <c r="F232" s="25" t="s">
        <v>328</v>
      </c>
      <c r="G232" s="433">
        <f>86700</f>
        <v>86700</v>
      </c>
      <c r="H232" s="433"/>
      <c r="I232" s="26">
        <v>86700</v>
      </c>
      <c r="J232" s="26">
        <f t="shared" si="113"/>
        <v>0</v>
      </c>
      <c r="K232" s="636">
        <f t="shared" si="108"/>
        <v>2.7847222222262644</v>
      </c>
      <c r="L232" s="27">
        <f>'[248]YUE DIAN 101'!$F$130</f>
        <v>1.5625000000097014</v>
      </c>
      <c r="M232" s="434">
        <f>(G232)/K232</f>
        <v>31134.164588483483</v>
      </c>
      <c r="N232" s="434">
        <f>(G232)/L232</f>
        <v>55487.999999655483</v>
      </c>
      <c r="O232" s="434">
        <v>30000</v>
      </c>
      <c r="P232" s="69">
        <f>(238450/10000)*8.7</f>
        <v>207.45149999999998</v>
      </c>
      <c r="Q232" s="69">
        <f>(223170/10000)*8.7</f>
        <v>194.15789999999998</v>
      </c>
      <c r="R232" s="69">
        <f t="shared" si="101"/>
        <v>13.293599999999998</v>
      </c>
      <c r="S232" s="435">
        <f t="shared" si="118"/>
        <v>0.17623990772779699</v>
      </c>
      <c r="T232" s="435">
        <f>R232/8.5*10000/(G232)</f>
        <v>0.18038672908609807</v>
      </c>
      <c r="U232" s="435"/>
      <c r="V232" s="436"/>
      <c r="W232" s="32"/>
      <c r="X232" s="33">
        <v>2.64</v>
      </c>
      <c r="Y232" s="33">
        <f t="shared" ref="Y232:Y236" si="122">G232*X232</f>
        <v>228888</v>
      </c>
      <c r="Z232" s="33"/>
      <c r="AA232" s="33"/>
      <c r="AB232" s="438"/>
      <c r="AC232" s="33"/>
    </row>
    <row r="233" spans="1:29" x14ac:dyDescent="0.3">
      <c r="A233" s="682">
        <v>44320.618055555555</v>
      </c>
      <c r="B233" s="682">
        <v>44327.388888888891</v>
      </c>
      <c r="C233" s="23"/>
      <c r="D233" s="14"/>
      <c r="E233" s="35" t="s">
        <v>964</v>
      </c>
      <c r="F233" s="36" t="s">
        <v>328</v>
      </c>
      <c r="G233" s="433">
        <f>83160</f>
        <v>83160</v>
      </c>
      <c r="H233" s="433"/>
      <c r="I233" s="433">
        <v>82970</v>
      </c>
      <c r="J233" s="26">
        <f t="shared" si="113"/>
        <v>190</v>
      </c>
      <c r="K233" s="636">
        <f t="shared" si="108"/>
        <v>6.7708333333357587</v>
      </c>
      <c r="L233" s="27">
        <f>'[248]GOLDEN DEB'!$F$145</f>
        <v>1.5416666666375629</v>
      </c>
      <c r="M233" s="434">
        <f t="shared" ref="M233:M241" si="123">(G233)/K233</f>
        <v>12282.092307687908</v>
      </c>
      <c r="N233" s="434">
        <f t="shared" si="115"/>
        <v>53941.621622639941</v>
      </c>
      <c r="O233" s="434">
        <v>30000</v>
      </c>
      <c r="P233" s="69">
        <f>(222170/10000)*8.7</f>
        <v>193.28789999999998</v>
      </c>
      <c r="Q233" s="69">
        <f>(199330/10000)*8.7</f>
        <v>173.41709999999998</v>
      </c>
      <c r="R233" s="69">
        <f t="shared" si="101"/>
        <v>19.870800000000003</v>
      </c>
      <c r="S233" s="435">
        <f t="shared" si="118"/>
        <v>0.27465127465127476</v>
      </c>
      <c r="T233" s="435">
        <f t="shared" si="119"/>
        <v>0.28111365758424589</v>
      </c>
      <c r="U233" s="435"/>
      <c r="V233" s="31"/>
      <c r="W233" s="32"/>
      <c r="X233" s="33">
        <v>2.64</v>
      </c>
      <c r="Y233" s="33">
        <f t="shared" si="122"/>
        <v>219542.40000000002</v>
      </c>
      <c r="Z233" s="33"/>
      <c r="AA233" s="33"/>
      <c r="AB233" s="438"/>
      <c r="AC233" s="33"/>
    </row>
    <row r="234" spans="1:29" x14ac:dyDescent="0.3">
      <c r="A234" s="682">
        <v>44327.8125</v>
      </c>
      <c r="B234" s="439">
        <v>44334.673611111109</v>
      </c>
      <c r="C234" s="23"/>
      <c r="D234" s="23"/>
      <c r="E234" s="35" t="s">
        <v>899</v>
      </c>
      <c r="F234" s="25" t="s">
        <v>328</v>
      </c>
      <c r="G234" s="634">
        <f>66471</f>
        <v>66471</v>
      </c>
      <c r="H234" s="433"/>
      <c r="I234" s="433">
        <v>87900</v>
      </c>
      <c r="J234" s="26">
        <f>G234-I234</f>
        <v>-21429</v>
      </c>
      <c r="K234" s="636">
        <f t="shared" ref="K234:K265" si="124">B234-A234</f>
        <v>6.8611111111094942</v>
      </c>
      <c r="L234" s="27">
        <f>'[248]MBA GEOVANNI'!$F$113</f>
        <v>1.1562499999805975</v>
      </c>
      <c r="M234" s="434">
        <f t="shared" si="123"/>
        <v>9688.0809716622025</v>
      </c>
      <c r="N234" s="434">
        <f t="shared" si="115"/>
        <v>57488.432433397116</v>
      </c>
      <c r="O234" s="434">
        <v>30000</v>
      </c>
      <c r="P234" s="69">
        <f>(197950/10000)*8.7</f>
        <v>172.2165</v>
      </c>
      <c r="Q234" s="69">
        <f>(178790/10000)*8.7</f>
        <v>155.54730000000001</v>
      </c>
      <c r="R234" s="69">
        <f t="shared" si="101"/>
        <v>16.669199999999989</v>
      </c>
      <c r="S234" s="435">
        <f t="shared" si="118"/>
        <v>0.28824600201591655</v>
      </c>
      <c r="T234" s="435">
        <f t="shared" si="119"/>
        <v>0.29502826088687928</v>
      </c>
      <c r="U234" s="69"/>
      <c r="V234" s="436"/>
      <c r="W234" s="437"/>
      <c r="X234" s="33">
        <v>2.64</v>
      </c>
      <c r="Y234" s="33">
        <f t="shared" si="122"/>
        <v>175483.44</v>
      </c>
      <c r="Z234" s="33"/>
      <c r="AA234" s="33"/>
      <c r="AB234" s="438"/>
      <c r="AC234" s="33"/>
    </row>
    <row r="235" spans="1:29" x14ac:dyDescent="0.3">
      <c r="A235" s="682">
        <v>44335.055555555555</v>
      </c>
      <c r="B235" s="439">
        <v>44342.881944444445</v>
      </c>
      <c r="C235" s="23"/>
      <c r="D235" s="23"/>
      <c r="E235" s="35" t="s">
        <v>965</v>
      </c>
      <c r="F235" s="25" t="s">
        <v>328</v>
      </c>
      <c r="G235" s="433">
        <f>89502</f>
        <v>89502</v>
      </c>
      <c r="H235" s="433"/>
      <c r="I235" s="433">
        <v>89500</v>
      </c>
      <c r="J235" s="26">
        <f t="shared" si="113"/>
        <v>2</v>
      </c>
      <c r="K235" s="636">
        <f t="shared" si="124"/>
        <v>7.8263888888905058</v>
      </c>
      <c r="L235" s="27">
        <f>'[248]INDUS VICTORY'!$F$152</f>
        <v>1.6180555555389826</v>
      </c>
      <c r="M235" s="434">
        <f t="shared" si="123"/>
        <v>11435.925465836146</v>
      </c>
      <c r="N235" s="434">
        <f t="shared" si="115"/>
        <v>55314.54077309875</v>
      </c>
      <c r="O235" s="434">
        <v>30000</v>
      </c>
      <c r="P235" s="69">
        <f>(178130/10000)*8.7</f>
        <v>154.97309999999999</v>
      </c>
      <c r="Q235" s="69">
        <f>(153910/10000)*8.7</f>
        <v>133.90169999999998</v>
      </c>
      <c r="R235" s="69">
        <f t="shared" si="101"/>
        <v>21.071400000000011</v>
      </c>
      <c r="S235" s="435">
        <f t="shared" si="118"/>
        <v>0.27060847802283766</v>
      </c>
      <c r="T235" s="435">
        <f t="shared" si="119"/>
        <v>0.27697573632925732</v>
      </c>
      <c r="U235" s="69"/>
      <c r="V235" s="436"/>
      <c r="W235" s="437"/>
      <c r="X235" s="33">
        <v>2.64</v>
      </c>
      <c r="Y235" s="33">
        <f t="shared" si="122"/>
        <v>236285.28</v>
      </c>
      <c r="Z235" s="33"/>
      <c r="AA235" s="33"/>
      <c r="AB235" s="438"/>
      <c r="AC235" s="33"/>
    </row>
    <row r="236" spans="1:29" x14ac:dyDescent="0.3">
      <c r="A236" s="682">
        <v>44343.868055555555</v>
      </c>
      <c r="B236" s="682">
        <v>44346.923611111109</v>
      </c>
      <c r="C236" s="23"/>
      <c r="D236" s="14"/>
      <c r="E236" s="35" t="s">
        <v>155</v>
      </c>
      <c r="F236" s="25" t="s">
        <v>328</v>
      </c>
      <c r="G236" s="433">
        <f>87000</f>
        <v>87000</v>
      </c>
      <c r="H236" s="433"/>
      <c r="I236" s="433">
        <v>87000</v>
      </c>
      <c r="J236" s="26">
        <f t="shared" si="113"/>
        <v>0</v>
      </c>
      <c r="K236" s="636">
        <f t="shared" si="124"/>
        <v>3.0555555555547471</v>
      </c>
      <c r="L236" s="27">
        <f>'[248]YUE DIAN 101 (2)'!$F$126</f>
        <v>1.5503472222396038</v>
      </c>
      <c r="M236" s="434">
        <f t="shared" si="123"/>
        <v>28472.727272734806</v>
      </c>
      <c r="N236" s="434">
        <f t="shared" si="115"/>
        <v>56116.46136555227</v>
      </c>
      <c r="O236" s="434">
        <v>30000</v>
      </c>
      <c r="P236" s="69">
        <f>(152340/10000)*8.7</f>
        <v>132.53579999999999</v>
      </c>
      <c r="Q236" s="69">
        <f>(138380/10000)*8.7</f>
        <v>120.39059999999998</v>
      </c>
      <c r="R236" s="69">
        <f t="shared" si="101"/>
        <v>12.145200000000017</v>
      </c>
      <c r="S236" s="435">
        <f t="shared" si="118"/>
        <v>0.16045977011494278</v>
      </c>
      <c r="T236" s="435">
        <f t="shared" si="119"/>
        <v>0.16423529411764728</v>
      </c>
      <c r="U236" s="435"/>
      <c r="V236" s="436"/>
      <c r="W236" s="32"/>
      <c r="X236" s="33">
        <v>2.64</v>
      </c>
      <c r="Y236" s="33">
        <f t="shared" si="122"/>
        <v>229680</v>
      </c>
      <c r="Z236" s="33"/>
      <c r="AA236" s="33"/>
      <c r="AB236" s="438"/>
      <c r="AC236" s="33"/>
    </row>
    <row r="237" spans="1:29" x14ac:dyDescent="0.3">
      <c r="A237" s="682">
        <v>44348.197916666664</v>
      </c>
      <c r="B237" s="439">
        <v>44350.715277777781</v>
      </c>
      <c r="C237" s="23"/>
      <c r="D237" s="23"/>
      <c r="E237" s="35" t="s">
        <v>796</v>
      </c>
      <c r="F237" s="25" t="s">
        <v>328</v>
      </c>
      <c r="G237" s="433">
        <v>63800</v>
      </c>
      <c r="H237" s="433"/>
      <c r="I237" s="433">
        <v>63800</v>
      </c>
      <c r="J237" s="26">
        <f t="shared" si="113"/>
        <v>0</v>
      </c>
      <c r="K237" s="636">
        <f t="shared" si="124"/>
        <v>2.5173611111167702</v>
      </c>
      <c r="L237" s="27">
        <f>'[249]HE YUAN'!$F$97</f>
        <v>1.1562500000133393</v>
      </c>
      <c r="M237" s="434">
        <f t="shared" si="123"/>
        <v>25343.999999943026</v>
      </c>
      <c r="N237" s="434">
        <f t="shared" si="115"/>
        <v>55178.378377741799</v>
      </c>
      <c r="O237" s="434">
        <v>30000</v>
      </c>
      <c r="P237" s="69">
        <f>(136230/10000)*8.7</f>
        <v>118.52009999999999</v>
      </c>
      <c r="Q237" s="69">
        <f>(124980/10000)*8.7</f>
        <v>108.73259999999999</v>
      </c>
      <c r="R237" s="69">
        <f t="shared" si="101"/>
        <v>9.7874999999999943</v>
      </c>
      <c r="S237" s="435">
        <f t="shared" si="118"/>
        <v>0.17633228840125381</v>
      </c>
      <c r="T237" s="435">
        <f t="shared" si="119"/>
        <v>0.18048128342245978</v>
      </c>
      <c r="U237" s="146"/>
      <c r="V237" s="439"/>
      <c r="W237" s="23"/>
      <c r="X237" s="33">
        <v>2.64</v>
      </c>
      <c r="Y237" s="33">
        <f t="shared" ref="Y237:Y243" si="125">G237*X237</f>
        <v>168432</v>
      </c>
      <c r="Z237" s="25"/>
      <c r="AA237" s="433"/>
      <c r="AB237" s="433"/>
      <c r="AC237" s="433"/>
    </row>
    <row r="238" spans="1:29" x14ac:dyDescent="0.3">
      <c r="A238" s="682">
        <v>44353.809027777781</v>
      </c>
      <c r="B238" s="682">
        <v>44358.361111111109</v>
      </c>
      <c r="C238" s="23"/>
      <c r="D238" s="23"/>
      <c r="E238" s="35" t="s">
        <v>899</v>
      </c>
      <c r="F238" s="36" t="s">
        <v>328</v>
      </c>
      <c r="G238" s="433">
        <v>87940</v>
      </c>
      <c r="H238" s="433"/>
      <c r="I238" s="433">
        <v>87900</v>
      </c>
      <c r="J238" s="26">
        <f t="shared" si="113"/>
        <v>40</v>
      </c>
      <c r="K238" s="636">
        <f t="shared" si="124"/>
        <v>4.5520833333284827</v>
      </c>
      <c r="L238" s="27">
        <f>'[249]MBA GIOVANNI'!$F$135</f>
        <v>1.6788194444222124</v>
      </c>
      <c r="M238" s="434">
        <f t="shared" si="123"/>
        <v>19318.627002308916</v>
      </c>
      <c r="N238" s="434">
        <f t="shared" si="115"/>
        <v>52382.04757049719</v>
      </c>
      <c r="O238" s="434">
        <v>30000</v>
      </c>
      <c r="P238" s="69">
        <f>(120750/10000)*8.7</f>
        <v>105.05249999999998</v>
      </c>
      <c r="Q238" s="69">
        <f>(103310/10000)*8.7</f>
        <v>89.879699999999985</v>
      </c>
      <c r="R238" s="69">
        <f t="shared" si="101"/>
        <v>15.172799999999995</v>
      </c>
      <c r="S238" s="435">
        <f t="shared" si="118"/>
        <v>0.1983170343415965</v>
      </c>
      <c r="T238" s="435">
        <f t="shared" si="119"/>
        <v>0.20298331750257523</v>
      </c>
      <c r="U238" s="69"/>
      <c r="V238" s="436"/>
      <c r="W238" s="437"/>
      <c r="X238" s="33">
        <v>2.64</v>
      </c>
      <c r="Y238" s="33">
        <f t="shared" si="125"/>
        <v>232161.6</v>
      </c>
      <c r="Z238" s="33"/>
      <c r="AA238" s="33"/>
      <c r="AB238" s="438"/>
      <c r="AC238" s="33"/>
    </row>
    <row r="239" spans="1:29" x14ac:dyDescent="0.3">
      <c r="A239" s="682">
        <v>44358.833333333336</v>
      </c>
      <c r="B239" s="682">
        <v>44360.180555555555</v>
      </c>
      <c r="C239" s="23"/>
      <c r="D239" s="23"/>
      <c r="E239" s="35" t="s">
        <v>966</v>
      </c>
      <c r="F239" s="36" t="s">
        <v>328</v>
      </c>
      <c r="G239" s="433">
        <f>28902</f>
        <v>28902</v>
      </c>
      <c r="H239" s="433"/>
      <c r="I239" s="433">
        <v>80350</v>
      </c>
      <c r="J239" s="26">
        <f>G239-I239</f>
        <v>-51448</v>
      </c>
      <c r="K239" s="636">
        <f t="shared" si="124"/>
        <v>1.3472222222189885</v>
      </c>
      <c r="L239" s="27">
        <f>'[249]ROSCO LITCHI'!$F$53</f>
        <v>0.67881944442948827</v>
      </c>
      <c r="M239" s="434">
        <f t="shared" si="123"/>
        <v>21453.030927886546</v>
      </c>
      <c r="N239" s="434">
        <f>(G239)/L239</f>
        <v>42576.859335976442</v>
      </c>
      <c r="O239" s="434">
        <v>30000</v>
      </c>
      <c r="P239" s="69">
        <f>(102410/10000)*8.7</f>
        <v>89.096699999999984</v>
      </c>
      <c r="Q239" s="69">
        <f>(96840/10000)*8.7</f>
        <v>84.250799999999984</v>
      </c>
      <c r="R239" s="69">
        <f t="shared" si="101"/>
        <v>4.8459000000000003</v>
      </c>
      <c r="S239" s="435">
        <f t="shared" si="118"/>
        <v>0.19272022697391186</v>
      </c>
      <c r="T239" s="435">
        <f t="shared" si="119"/>
        <v>0.19725482054976862</v>
      </c>
      <c r="U239" s="435"/>
      <c r="V239" s="436"/>
      <c r="W239" s="437"/>
      <c r="X239" s="33">
        <v>2.64</v>
      </c>
      <c r="Y239" s="33">
        <f t="shared" si="125"/>
        <v>76301.279999999999</v>
      </c>
      <c r="Z239" s="33"/>
      <c r="AA239" s="33"/>
      <c r="AB239" s="438"/>
      <c r="AC239" s="33"/>
    </row>
    <row r="240" spans="1:29" x14ac:dyDescent="0.3">
      <c r="A240" s="682">
        <v>44360.715277777781</v>
      </c>
      <c r="B240" s="682">
        <v>44361.520833333336</v>
      </c>
      <c r="C240" s="23"/>
      <c r="D240" s="23"/>
      <c r="E240" s="35" t="s">
        <v>967</v>
      </c>
      <c r="F240" s="36" t="s">
        <v>328</v>
      </c>
      <c r="G240" s="433">
        <v>29565</v>
      </c>
      <c r="H240" s="433"/>
      <c r="I240" s="433">
        <v>88000</v>
      </c>
      <c r="J240" s="26">
        <f t="shared" si="113"/>
        <v>-58435</v>
      </c>
      <c r="K240" s="636">
        <f t="shared" si="124"/>
        <v>0.80555555555474712</v>
      </c>
      <c r="L240" s="27">
        <f>'[249]SARONIC CHAMPION'!$F$54</f>
        <v>0.52604166667151731</v>
      </c>
      <c r="M240" s="434">
        <f>(G240)/K240</f>
        <v>36701.379310381657</v>
      </c>
      <c r="N240" s="434">
        <f t="shared" si="115"/>
        <v>56202.772276709475</v>
      </c>
      <c r="O240" s="434">
        <v>30000</v>
      </c>
      <c r="P240" s="69">
        <f>(95940/10000)*8.7</f>
        <v>83.467799999999983</v>
      </c>
      <c r="Q240" s="69">
        <f>(91740/10000)*8.7</f>
        <v>79.813799999999986</v>
      </c>
      <c r="R240" s="69">
        <f t="shared" ref="R240:R303" si="126">P240-Q240</f>
        <v>3.6539999999999964</v>
      </c>
      <c r="S240" s="435">
        <f t="shared" si="118"/>
        <v>0.14205986808726523</v>
      </c>
      <c r="T240" s="435">
        <f t="shared" si="119"/>
        <v>0.14540245321873027</v>
      </c>
      <c r="U240" s="435"/>
      <c r="V240" s="436"/>
      <c r="W240" s="437"/>
      <c r="X240" s="33">
        <v>2.64</v>
      </c>
      <c r="Y240" s="33">
        <f t="shared" si="125"/>
        <v>78051.600000000006</v>
      </c>
      <c r="Z240" s="33"/>
      <c r="AA240" s="33"/>
      <c r="AB240" s="438"/>
      <c r="AC240" s="33"/>
    </row>
    <row r="241" spans="1:29" x14ac:dyDescent="0.3">
      <c r="A241" s="682">
        <v>44368.059027777781</v>
      </c>
      <c r="B241" s="682">
        <v>44373.243055555555</v>
      </c>
      <c r="C241" s="23"/>
      <c r="D241" s="23"/>
      <c r="E241" s="35" t="s">
        <v>968</v>
      </c>
      <c r="F241" s="36" t="s">
        <v>328</v>
      </c>
      <c r="G241" s="433">
        <v>78833</v>
      </c>
      <c r="H241" s="433"/>
      <c r="I241" s="433">
        <v>78833</v>
      </c>
      <c r="J241" s="26">
        <f t="shared" si="113"/>
        <v>0</v>
      </c>
      <c r="K241" s="636">
        <f t="shared" si="124"/>
        <v>5.1840277777737356</v>
      </c>
      <c r="L241" s="27">
        <f>'[249]SEA VENUS'!$F$134</f>
        <v>1.3680555555680864</v>
      </c>
      <c r="M241" s="434">
        <f t="shared" si="123"/>
        <v>15206.901540534296</v>
      </c>
      <c r="N241" s="434">
        <f t="shared" si="115"/>
        <v>57624.121826883355</v>
      </c>
      <c r="O241" s="434">
        <v>30000</v>
      </c>
      <c r="P241" s="69">
        <f>((81790+123550)/10000)*8.7</f>
        <v>178.64579999999998</v>
      </c>
      <c r="Q241" s="69">
        <f>(188650/10000)*8.7</f>
        <v>164.12549999999996</v>
      </c>
      <c r="R241" s="69">
        <f t="shared" si="126"/>
        <v>14.52030000000002</v>
      </c>
      <c r="S241" s="435">
        <f t="shared" si="118"/>
        <v>0.21171336876688729</v>
      </c>
      <c r="T241" s="435">
        <f t="shared" si="119"/>
        <v>0.21669485979669639</v>
      </c>
      <c r="U241" s="435"/>
      <c r="V241" s="436"/>
      <c r="W241" s="437"/>
      <c r="X241" s="33">
        <v>2.64</v>
      </c>
      <c r="Y241" s="33">
        <f t="shared" si="125"/>
        <v>208119.12</v>
      </c>
      <c r="Z241" s="33"/>
      <c r="AA241" s="33"/>
      <c r="AB241" s="438"/>
      <c r="AC241" s="33"/>
    </row>
    <row r="242" spans="1:29" x14ac:dyDescent="0.3">
      <c r="A242" s="682">
        <v>44373.631944444445</v>
      </c>
      <c r="B242" s="682">
        <v>44376.5625</v>
      </c>
      <c r="C242" s="23"/>
      <c r="D242" s="23"/>
      <c r="E242" s="35" t="s">
        <v>969</v>
      </c>
      <c r="F242" s="36" t="s">
        <v>328</v>
      </c>
      <c r="G242" s="433">
        <f>58290</f>
        <v>58290</v>
      </c>
      <c r="H242" s="433"/>
      <c r="I242" s="433">
        <v>56360</v>
      </c>
      <c r="J242" s="26">
        <f t="shared" si="113"/>
        <v>1930</v>
      </c>
      <c r="K242" s="636">
        <f t="shared" si="124"/>
        <v>2.9305555555547471</v>
      </c>
      <c r="L242" s="27">
        <f>'[249]LT OCEAN STAR'!$F$99</f>
        <v>1.0763888889002071</v>
      </c>
      <c r="M242" s="434">
        <f>(G242)/K242</f>
        <v>19890.426540289849</v>
      </c>
      <c r="N242" s="434">
        <f t="shared" si="115"/>
        <v>54153.29032201122</v>
      </c>
      <c r="O242" s="434">
        <v>30000</v>
      </c>
      <c r="P242" s="69">
        <f>(188190/10000)*8.7</f>
        <v>163.72529999999998</v>
      </c>
      <c r="Q242" s="69">
        <f>(176250/10000)*8.7</f>
        <v>153.33749999999998</v>
      </c>
      <c r="R242" s="69">
        <f t="shared" si="126"/>
        <v>10.387799999999999</v>
      </c>
      <c r="S242" s="435">
        <f t="shared" si="118"/>
        <v>0.20483787956767885</v>
      </c>
      <c r="T242" s="435">
        <f t="shared" si="119"/>
        <v>0.20965759438103596</v>
      </c>
      <c r="U242" s="435"/>
      <c r="V242" s="436"/>
      <c r="W242" s="437"/>
      <c r="X242" s="33">
        <v>2.64</v>
      </c>
      <c r="Y242" s="33">
        <f t="shared" si="125"/>
        <v>153885.6</v>
      </c>
      <c r="Z242" s="33"/>
      <c r="AA242" s="33"/>
      <c r="AB242" s="438"/>
      <c r="AC242" s="33"/>
    </row>
    <row r="243" spans="1:29" x14ac:dyDescent="0.3">
      <c r="A243" s="682">
        <v>44376.875</v>
      </c>
      <c r="B243" s="682">
        <v>44377.100694444445</v>
      </c>
      <c r="C243" s="23"/>
      <c r="D243" s="23"/>
      <c r="E243" s="35" t="s">
        <v>919</v>
      </c>
      <c r="F243" s="36" t="s">
        <v>328</v>
      </c>
      <c r="G243" s="433">
        <v>4518</v>
      </c>
      <c r="H243" s="433"/>
      <c r="I243" s="433">
        <v>78833</v>
      </c>
      <c r="J243" s="26">
        <f t="shared" si="113"/>
        <v>-74315</v>
      </c>
      <c r="K243" s="636">
        <f t="shared" si="124"/>
        <v>0.22569444444525288</v>
      </c>
      <c r="L243" s="27">
        <f>'[249]HUA YANG CHUAN QI'!$F$29</f>
        <v>0.16666666666424135</v>
      </c>
      <c r="M243" s="434">
        <f t="shared" ref="M243:M248" si="127">(G243)/K243</f>
        <v>20018.215384543681</v>
      </c>
      <c r="N243" s="434">
        <f t="shared" si="115"/>
        <v>27108.000000394473</v>
      </c>
      <c r="O243" s="434">
        <v>30000</v>
      </c>
      <c r="P243" s="69">
        <f>(176070/10000)*8.7</f>
        <v>153.18089999999998</v>
      </c>
      <c r="Q243" s="69">
        <f>(174990/10000)*8.7</f>
        <v>152.24129999999997</v>
      </c>
      <c r="R243" s="69">
        <f t="shared" si="126"/>
        <v>0.93960000000001287</v>
      </c>
      <c r="S243" s="435">
        <f t="shared" si="118"/>
        <v>0.2390438247011985</v>
      </c>
      <c r="T243" s="435">
        <f t="shared" si="119"/>
        <v>0.24466838528240314</v>
      </c>
      <c r="U243" s="435"/>
      <c r="V243" s="436"/>
      <c r="W243" s="437"/>
      <c r="X243" s="33">
        <v>2.64</v>
      </c>
      <c r="Y243" s="33">
        <f t="shared" si="125"/>
        <v>11927.52</v>
      </c>
      <c r="Z243" s="33"/>
      <c r="AA243" s="33"/>
      <c r="AB243" s="438"/>
      <c r="AC243" s="33"/>
    </row>
    <row r="244" spans="1:29" x14ac:dyDescent="0.3">
      <c r="A244" s="682">
        <v>44377.9375</v>
      </c>
      <c r="B244" s="682">
        <v>44382.947916666664</v>
      </c>
      <c r="C244" s="23"/>
      <c r="D244" s="14"/>
      <c r="E244" s="35" t="s">
        <v>970</v>
      </c>
      <c r="F244" s="36" t="s">
        <v>32</v>
      </c>
      <c r="G244" s="433">
        <v>73450</v>
      </c>
      <c r="H244" s="433"/>
      <c r="I244" s="433">
        <v>73050</v>
      </c>
      <c r="J244" s="26">
        <f t="shared" si="113"/>
        <v>400</v>
      </c>
      <c r="K244" s="636">
        <f t="shared" si="124"/>
        <v>5.0104166666642413</v>
      </c>
      <c r="L244" s="27">
        <f>'[250]SEAPOWER II'!$F$119</f>
        <v>1.2326388888929312</v>
      </c>
      <c r="M244" s="434">
        <f t="shared" si="127"/>
        <v>14659.459459466556</v>
      </c>
      <c r="N244" s="434">
        <f t="shared" si="115"/>
        <v>59587.605633607411</v>
      </c>
      <c r="O244" s="434">
        <v>30000</v>
      </c>
      <c r="P244" s="69">
        <f>(173380/10000)*8.7</f>
        <v>150.84059999999999</v>
      </c>
      <c r="Q244" s="69">
        <f>(157500/10000)*8.7</f>
        <v>137.02499999999998</v>
      </c>
      <c r="R244" s="69">
        <f t="shared" si="126"/>
        <v>13.815600000000018</v>
      </c>
      <c r="S244" s="435">
        <f t="shared" si="118"/>
        <v>0.2162014976174271</v>
      </c>
      <c r="T244" s="435">
        <f t="shared" si="119"/>
        <v>0.2212885916790136</v>
      </c>
      <c r="U244" s="435"/>
      <c r="V244" s="436"/>
      <c r="W244" s="32"/>
      <c r="X244" s="33">
        <v>2.64</v>
      </c>
      <c r="Y244" s="33">
        <f t="shared" ref="Y244:Y250" si="128">G244*X244</f>
        <v>193908</v>
      </c>
      <c r="Z244" s="33"/>
      <c r="AA244" s="33"/>
      <c r="AB244" s="438"/>
      <c r="AC244" s="33"/>
    </row>
    <row r="245" spans="1:29" x14ac:dyDescent="0.3">
      <c r="A245" s="682">
        <v>44383.239583333336</v>
      </c>
      <c r="B245" s="682">
        <v>44386.763888888891</v>
      </c>
      <c r="C245" s="23"/>
      <c r="D245" s="14"/>
      <c r="E245" s="35" t="s">
        <v>971</v>
      </c>
      <c r="F245" s="36" t="s">
        <v>328</v>
      </c>
      <c r="G245" s="433">
        <f>84303</f>
        <v>84303</v>
      </c>
      <c r="H245" s="433"/>
      <c r="I245" s="433">
        <v>84303</v>
      </c>
      <c r="J245" s="26">
        <f>G245-I245</f>
        <v>0</v>
      </c>
      <c r="K245" s="636">
        <f t="shared" si="124"/>
        <v>3.5243055555547471</v>
      </c>
      <c r="L245" s="27">
        <f>'[250]JAL VAIBHAV'!$F$135</f>
        <v>1.6006944444440403</v>
      </c>
      <c r="M245" s="434">
        <f t="shared" si="127"/>
        <v>23920.45714286263</v>
      </c>
      <c r="N245" s="434">
        <f t="shared" si="115"/>
        <v>52666.516268993772</v>
      </c>
      <c r="O245" s="434">
        <v>30000</v>
      </c>
      <c r="P245" s="69">
        <f>(157240/10000)*8.7</f>
        <v>136.7988</v>
      </c>
      <c r="Q245" s="69">
        <f>(141270/10000)*8.7</f>
        <v>122.9049</v>
      </c>
      <c r="R245" s="69">
        <f t="shared" si="126"/>
        <v>13.893900000000002</v>
      </c>
      <c r="S245" s="435">
        <f t="shared" si="118"/>
        <v>0.18943572589350324</v>
      </c>
      <c r="T245" s="435">
        <f>R245/8.5*10000/(G245)</f>
        <v>0.19389303709099742</v>
      </c>
      <c r="U245" s="435"/>
      <c r="V245" s="31"/>
      <c r="W245" s="32"/>
      <c r="X245" s="33">
        <v>2.64</v>
      </c>
      <c r="Y245" s="33">
        <f t="shared" si="128"/>
        <v>222559.92</v>
      </c>
      <c r="Z245" s="33"/>
      <c r="AA245" s="33"/>
      <c r="AB245" s="438"/>
      <c r="AC245" s="33"/>
    </row>
    <row r="246" spans="1:29" x14ac:dyDescent="0.3">
      <c r="A246" s="682">
        <v>44387.09375</v>
      </c>
      <c r="B246" s="682">
        <v>44390.847222222219</v>
      </c>
      <c r="C246" s="23"/>
      <c r="D246" s="23"/>
      <c r="E246" s="35" t="s">
        <v>801</v>
      </c>
      <c r="F246" s="25" t="s">
        <v>328</v>
      </c>
      <c r="G246" s="433">
        <f>86664</f>
        <v>86664</v>
      </c>
      <c r="H246" s="433"/>
      <c r="I246" s="433">
        <v>86514</v>
      </c>
      <c r="J246" s="26">
        <f t="shared" si="113"/>
        <v>150</v>
      </c>
      <c r="K246" s="636">
        <f t="shared" si="124"/>
        <v>3.7534722222189885</v>
      </c>
      <c r="L246" s="27">
        <f>[250]TRAMONTANA!$F$132</f>
        <v>1.6319444444476783</v>
      </c>
      <c r="M246" s="434">
        <f t="shared" si="127"/>
        <v>23089.021276615636</v>
      </c>
      <c r="N246" s="434">
        <f t="shared" si="115"/>
        <v>53104.748936064978</v>
      </c>
      <c r="O246" s="434">
        <v>30000</v>
      </c>
      <c r="P246" s="69">
        <f>(140870/10000)*8.7</f>
        <v>122.55689999999998</v>
      </c>
      <c r="Q246" s="69">
        <f>(124590/10000)*8.7</f>
        <v>108.39329999999998</v>
      </c>
      <c r="R246" s="69">
        <f t="shared" si="126"/>
        <v>14.163600000000002</v>
      </c>
      <c r="S246" s="435">
        <f t="shared" si="118"/>
        <v>0.18785193390565869</v>
      </c>
      <c r="T246" s="435">
        <f t="shared" si="119"/>
        <v>0.19227197940932125</v>
      </c>
      <c r="U246" s="69"/>
      <c r="V246" s="436"/>
      <c r="W246" s="437"/>
      <c r="X246" s="33">
        <v>2.64</v>
      </c>
      <c r="Y246" s="33">
        <f t="shared" si="128"/>
        <v>228792.96000000002</v>
      </c>
      <c r="Z246" s="33"/>
      <c r="AA246" s="33"/>
      <c r="AB246" s="438"/>
      <c r="AC246" s="33"/>
    </row>
    <row r="247" spans="1:29" x14ac:dyDescent="0.3">
      <c r="A247" s="682">
        <v>44391.125</v>
      </c>
      <c r="B247" s="682">
        <v>44393.625</v>
      </c>
      <c r="C247" s="23"/>
      <c r="D247" s="23"/>
      <c r="E247" s="35" t="s">
        <v>530</v>
      </c>
      <c r="F247" s="25" t="s">
        <v>328</v>
      </c>
      <c r="G247" s="433">
        <v>66045</v>
      </c>
      <c r="H247" s="433"/>
      <c r="I247" s="433">
        <v>88000</v>
      </c>
      <c r="J247" s="26">
        <f t="shared" si="113"/>
        <v>-21955</v>
      </c>
      <c r="K247" s="636">
        <f t="shared" si="124"/>
        <v>2.5</v>
      </c>
      <c r="L247" s="27">
        <f>'[250]D SKALKEAS'!$F$112</f>
        <v>1.30208333334546</v>
      </c>
      <c r="M247" s="434">
        <f t="shared" si="127"/>
        <v>26418</v>
      </c>
      <c r="N247" s="434">
        <f>(G247)/L247</f>
        <v>50722.559999527606</v>
      </c>
      <c r="O247" s="434">
        <v>30000</v>
      </c>
      <c r="P247" s="69">
        <f>(124030/10000)*8.7</f>
        <v>107.9061</v>
      </c>
      <c r="Q247" s="69">
        <f>(113240/10000)*8.7</f>
        <v>98.518799999999985</v>
      </c>
      <c r="R247" s="69">
        <f t="shared" si="126"/>
        <v>9.3873000000000104</v>
      </c>
      <c r="S247" s="435">
        <f t="shared" si="118"/>
        <v>0.16337345749110474</v>
      </c>
      <c r="T247" s="435">
        <f t="shared" si="119"/>
        <v>0.16721753884383658</v>
      </c>
      <c r="U247" s="435"/>
      <c r="V247" s="436"/>
      <c r="W247" s="437"/>
      <c r="X247" s="33">
        <v>2.64</v>
      </c>
      <c r="Y247" s="33">
        <f t="shared" si="128"/>
        <v>174358.80000000002</v>
      </c>
      <c r="Z247" s="33"/>
      <c r="AA247" s="33"/>
      <c r="AB247" s="438"/>
      <c r="AC247" s="33"/>
    </row>
    <row r="248" spans="1:29" x14ac:dyDescent="0.3">
      <c r="A248" s="682">
        <v>44393.958333333336</v>
      </c>
      <c r="B248" s="682">
        <v>44396.25</v>
      </c>
      <c r="C248" s="23"/>
      <c r="D248" s="23"/>
      <c r="E248" s="35" t="s">
        <v>924</v>
      </c>
      <c r="F248" s="25" t="s">
        <v>328</v>
      </c>
      <c r="G248" s="433">
        <v>40124</v>
      </c>
      <c r="H248" s="433"/>
      <c r="I248" s="433">
        <v>72700</v>
      </c>
      <c r="J248" s="26">
        <f t="shared" si="113"/>
        <v>-32576</v>
      </c>
      <c r="K248" s="636">
        <f t="shared" si="124"/>
        <v>2.2916666666642413</v>
      </c>
      <c r="L248" s="27">
        <f>'[250]HUAYANG ENDEAVOUR'!$F$79</f>
        <v>0.75000000000606326</v>
      </c>
      <c r="M248" s="434">
        <f t="shared" si="127"/>
        <v>17508.654545473077</v>
      </c>
      <c r="N248" s="434">
        <f t="shared" si="115"/>
        <v>53498.666666234167</v>
      </c>
      <c r="O248" s="434">
        <v>30000</v>
      </c>
      <c r="P248" s="69">
        <f>(112700/10000)*8.7</f>
        <v>98.048999999999992</v>
      </c>
      <c r="Q248" s="69">
        <f>(104270/10000)*8.7</f>
        <v>90.714899999999986</v>
      </c>
      <c r="R248" s="69">
        <f t="shared" si="126"/>
        <v>7.3341000000000065</v>
      </c>
      <c r="S248" s="435">
        <f t="shared" si="118"/>
        <v>0.21009869404845002</v>
      </c>
      <c r="T248" s="435">
        <f t="shared" si="119"/>
        <v>0.21504219273194292</v>
      </c>
      <c r="U248" s="435"/>
      <c r="V248" s="436"/>
      <c r="W248" s="437"/>
      <c r="X248" s="33">
        <v>2.64</v>
      </c>
      <c r="Y248" s="33">
        <f t="shared" si="128"/>
        <v>105927.36</v>
      </c>
      <c r="Z248" s="33"/>
      <c r="AA248" s="33"/>
      <c r="AB248" s="438"/>
      <c r="AC248" s="33"/>
    </row>
    <row r="249" spans="1:29" x14ac:dyDescent="0.3">
      <c r="A249" s="682">
        <v>44397.996527777781</v>
      </c>
      <c r="B249" s="682">
        <v>44398.986111111109</v>
      </c>
      <c r="C249" s="23"/>
      <c r="D249" s="23"/>
      <c r="E249" s="35" t="s">
        <v>972</v>
      </c>
      <c r="F249" s="25" t="s">
        <v>328</v>
      </c>
      <c r="G249" s="433">
        <f>37197</f>
        <v>37197</v>
      </c>
      <c r="H249" s="433"/>
      <c r="I249" s="433">
        <v>74850</v>
      </c>
      <c r="J249" s="26">
        <f>G249-I249</f>
        <v>-37653</v>
      </c>
      <c r="K249" s="636">
        <f t="shared" si="124"/>
        <v>0.98958333332848269</v>
      </c>
      <c r="L249" s="27">
        <f>'[250]BULK PROMISE'!$F$55</f>
        <v>0.75173611110949423</v>
      </c>
      <c r="M249" s="434">
        <f>(G249)/K249</f>
        <v>37588.547368605301</v>
      </c>
      <c r="N249" s="434">
        <f>(G249)/L249</f>
        <v>49481.459584402037</v>
      </c>
      <c r="O249" s="434">
        <v>30000</v>
      </c>
      <c r="P249" s="69">
        <f>(101810/10000)*8.7</f>
        <v>88.574699999999979</v>
      </c>
      <c r="Q249" s="69">
        <f>(96570/10000)*8.7</f>
        <v>84.015899999999988</v>
      </c>
      <c r="R249" s="69">
        <f t="shared" si="126"/>
        <v>4.5587999999999909</v>
      </c>
      <c r="S249" s="435">
        <f t="shared" si="118"/>
        <v>0.14087157566470387</v>
      </c>
      <c r="T249" s="435">
        <f t="shared" si="119"/>
        <v>0.14418620097446161</v>
      </c>
      <c r="U249" s="435"/>
      <c r="V249" s="436"/>
      <c r="W249" s="437"/>
      <c r="X249" s="33">
        <v>2.64</v>
      </c>
      <c r="Y249" s="33">
        <f t="shared" si="128"/>
        <v>98200.08</v>
      </c>
      <c r="Z249" s="33"/>
      <c r="AA249" s="33"/>
      <c r="AB249" s="438"/>
      <c r="AC249" s="33"/>
    </row>
    <row r="250" spans="1:29" x14ac:dyDescent="0.3">
      <c r="A250" s="682">
        <v>44399.520833333336</v>
      </c>
      <c r="B250" s="682">
        <v>44402.229166666664</v>
      </c>
      <c r="C250" s="23"/>
      <c r="D250" s="23"/>
      <c r="E250" s="35" t="s">
        <v>973</v>
      </c>
      <c r="F250" s="25" t="s">
        <v>328</v>
      </c>
      <c r="G250" s="433">
        <f>87125</f>
        <v>87125</v>
      </c>
      <c r="H250" s="433"/>
      <c r="I250" s="433">
        <v>87125</v>
      </c>
      <c r="J250" s="26">
        <f t="shared" si="113"/>
        <v>0</v>
      </c>
      <c r="K250" s="636">
        <f t="shared" si="124"/>
        <v>2.7083333333284827</v>
      </c>
      <c r="L250" s="27">
        <f>'[250]JUPITER N'!$F$141</f>
        <v>1.6111111111119196</v>
      </c>
      <c r="M250" s="434">
        <f t="shared" ref="M250:M254" si="129">(G250)/K250</f>
        <v>32169.230769288384</v>
      </c>
      <c r="N250" s="434">
        <f t="shared" si="115"/>
        <v>54077.586206869411</v>
      </c>
      <c r="O250" s="434">
        <v>30000</v>
      </c>
      <c r="P250" s="69">
        <f>(95910/10000)*8.7</f>
        <v>83.441699999999983</v>
      </c>
      <c r="Q250" s="69">
        <f>(82230/10000)*8.7</f>
        <v>71.540099999999995</v>
      </c>
      <c r="R250" s="69">
        <f t="shared" si="126"/>
        <v>11.901599999999988</v>
      </c>
      <c r="S250" s="435">
        <f t="shared" si="118"/>
        <v>0.15701578192252497</v>
      </c>
      <c r="T250" s="435">
        <f t="shared" si="119"/>
        <v>0.1607102709089373</v>
      </c>
      <c r="U250" s="435"/>
      <c r="V250" s="436"/>
      <c r="W250" s="437"/>
      <c r="X250" s="33">
        <v>2.64</v>
      </c>
      <c r="Y250" s="33">
        <f t="shared" si="128"/>
        <v>230010</v>
      </c>
      <c r="Z250" s="33"/>
      <c r="AA250" s="33"/>
      <c r="AB250" s="438"/>
      <c r="AC250" s="33"/>
    </row>
    <row r="251" spans="1:29" x14ac:dyDescent="0.3">
      <c r="A251" s="682">
        <v>44409.03125</v>
      </c>
      <c r="B251" s="682">
        <v>44410.322916666664</v>
      </c>
      <c r="C251" s="23"/>
      <c r="D251" s="14"/>
      <c r="E251" s="35" t="s">
        <v>165</v>
      </c>
      <c r="F251" s="36" t="s">
        <v>328</v>
      </c>
      <c r="G251" s="433">
        <f>34359</f>
        <v>34359</v>
      </c>
      <c r="H251" s="433"/>
      <c r="I251" s="26">
        <v>67000</v>
      </c>
      <c r="J251" s="26">
        <f t="shared" si="113"/>
        <v>-32641</v>
      </c>
      <c r="K251" s="636">
        <f t="shared" si="124"/>
        <v>1.2916666666642413</v>
      </c>
      <c r="L251" s="27">
        <f>'[251]CHANG SHENG'!$F$58</f>
        <v>0.64756944444889086</v>
      </c>
      <c r="M251" s="434">
        <f t="shared" si="129"/>
        <v>26600.516129082203</v>
      </c>
      <c r="N251" s="434">
        <f t="shared" si="115"/>
        <v>53058.402144407803</v>
      </c>
      <c r="O251" s="434">
        <v>30000</v>
      </c>
      <c r="P251" s="69">
        <f>(194240/10000)*8.7</f>
        <v>168.98879999999997</v>
      </c>
      <c r="Q251" s="69">
        <f>(188820/10000)*8.7</f>
        <v>164.27340000000001</v>
      </c>
      <c r="R251" s="69">
        <f t="shared" si="126"/>
        <v>4.7153999999999598</v>
      </c>
      <c r="S251" s="435">
        <f t="shared" si="118"/>
        <v>0.1577461509357069</v>
      </c>
      <c r="T251" s="435">
        <f t="shared" si="119"/>
        <v>0.16145782507537063</v>
      </c>
      <c r="U251" s="435"/>
      <c r="V251" s="436"/>
      <c r="W251" s="437"/>
      <c r="X251" s="33">
        <v>2.64</v>
      </c>
      <c r="Y251" s="33">
        <f t="shared" ref="Y251:Y261" si="130">G251*X251</f>
        <v>90707.760000000009</v>
      </c>
      <c r="Z251" s="33"/>
      <c r="AA251" s="33"/>
      <c r="AB251" s="438"/>
      <c r="AC251" s="33"/>
    </row>
    <row r="252" spans="1:29" x14ac:dyDescent="0.3">
      <c r="A252" s="682">
        <v>44411.090277777781</v>
      </c>
      <c r="B252" s="682">
        <v>44412.923611111109</v>
      </c>
      <c r="C252" s="23"/>
      <c r="D252" s="14"/>
      <c r="E252" s="35" t="s">
        <v>974</v>
      </c>
      <c r="F252" s="25" t="s">
        <v>328</v>
      </c>
      <c r="G252" s="433">
        <v>46700</v>
      </c>
      <c r="H252" s="433"/>
      <c r="I252" s="433">
        <v>88000</v>
      </c>
      <c r="J252" s="26">
        <f t="shared" si="113"/>
        <v>-41300</v>
      </c>
      <c r="K252" s="636">
        <f t="shared" si="124"/>
        <v>1.8333333333284827</v>
      </c>
      <c r="L252" s="27">
        <f>[251]PROTEAS!$F$78</f>
        <v>0.86979166667030461</v>
      </c>
      <c r="M252" s="434">
        <f t="shared" si="129"/>
        <v>25472.727272794669</v>
      </c>
      <c r="N252" s="434">
        <f t="shared" si="115"/>
        <v>53691.017963847291</v>
      </c>
      <c r="O252" s="434">
        <v>30000</v>
      </c>
      <c r="P252" s="69">
        <f>(187370/10000)*8.7</f>
        <v>163.01189999999997</v>
      </c>
      <c r="Q252" s="69">
        <f>(179460/10000)*8.7</f>
        <v>156.1302</v>
      </c>
      <c r="R252" s="69">
        <f t="shared" si="126"/>
        <v>6.8816999999999666</v>
      </c>
      <c r="S252" s="435">
        <f t="shared" si="118"/>
        <v>0.16937901498929256</v>
      </c>
      <c r="T252" s="435">
        <f t="shared" si="119"/>
        <v>0.17336440357727592</v>
      </c>
      <c r="U252" s="435"/>
      <c r="V252" s="436"/>
      <c r="W252" s="437"/>
      <c r="X252" s="33">
        <v>2.64</v>
      </c>
      <c r="Y252" s="33">
        <f t="shared" si="130"/>
        <v>123288</v>
      </c>
      <c r="Z252" s="33"/>
      <c r="AA252" s="33"/>
      <c r="AB252" s="438"/>
      <c r="AC252" s="33"/>
    </row>
    <row r="253" spans="1:29" x14ac:dyDescent="0.3">
      <c r="A253" s="682">
        <v>44413.729166666664</v>
      </c>
      <c r="B253" s="682">
        <v>44414.447916666664</v>
      </c>
      <c r="C253" s="23"/>
      <c r="D253" s="14"/>
      <c r="E253" s="35" t="s">
        <v>933</v>
      </c>
      <c r="F253" s="25" t="s">
        <v>328</v>
      </c>
      <c r="G253" s="433">
        <v>16043</v>
      </c>
      <c r="H253" s="433"/>
      <c r="I253" s="433">
        <v>70500</v>
      </c>
      <c r="J253" s="26">
        <f t="shared" si="113"/>
        <v>-54457</v>
      </c>
      <c r="K253" s="636">
        <f t="shared" si="124"/>
        <v>0.71875</v>
      </c>
      <c r="L253" s="27">
        <f>'[251]JIN HAI QIANG'!$F$52</f>
        <v>0.3749999999915114</v>
      </c>
      <c r="M253" s="434">
        <f t="shared" si="129"/>
        <v>22320.695652173912</v>
      </c>
      <c r="N253" s="434">
        <f t="shared" si="115"/>
        <v>42781.333334301744</v>
      </c>
      <c r="O253" s="434">
        <v>30000</v>
      </c>
      <c r="P253" s="69">
        <f>(178260/10000)*8.7</f>
        <v>155.08619999999999</v>
      </c>
      <c r="Q253" s="69">
        <f>(174390/10000)*8.7</f>
        <v>151.71929999999998</v>
      </c>
      <c r="R253" s="69">
        <f t="shared" si="126"/>
        <v>3.3669000000000153</v>
      </c>
      <c r="S253" s="435">
        <f t="shared" si="118"/>
        <v>0.24122670323505691</v>
      </c>
      <c r="T253" s="435">
        <f t="shared" si="119"/>
        <v>0.24690262566411705</v>
      </c>
      <c r="U253" s="435"/>
      <c r="V253" s="436"/>
      <c r="W253" s="437"/>
      <c r="X253" s="33">
        <v>2.64</v>
      </c>
      <c r="Y253" s="33">
        <f t="shared" si="130"/>
        <v>42353.520000000004</v>
      </c>
      <c r="Z253" s="33"/>
      <c r="AA253" s="33"/>
      <c r="AB253" s="438"/>
      <c r="AC253" s="33"/>
    </row>
    <row r="254" spans="1:29" x14ac:dyDescent="0.3">
      <c r="A254" s="682">
        <v>44415.892361111109</v>
      </c>
      <c r="B254" s="682">
        <v>44418.291666666664</v>
      </c>
      <c r="C254" s="23"/>
      <c r="D254" s="14"/>
      <c r="E254" s="35" t="s">
        <v>507</v>
      </c>
      <c r="F254" s="25" t="s">
        <v>328</v>
      </c>
      <c r="G254" s="433">
        <v>51884</v>
      </c>
      <c r="H254" s="433"/>
      <c r="I254" s="433">
        <v>83200</v>
      </c>
      <c r="J254" s="26">
        <f t="shared" si="113"/>
        <v>-31316</v>
      </c>
      <c r="K254" s="636">
        <f t="shared" si="124"/>
        <v>2.3993055555547471</v>
      </c>
      <c r="L254" s="27">
        <f>'[251]CEMTEX HUNTER'!$F$105</f>
        <v>0.99826388891475892</v>
      </c>
      <c r="M254" s="434">
        <f t="shared" si="129"/>
        <v>21624.590448632469</v>
      </c>
      <c r="N254" s="434">
        <f t="shared" si="115"/>
        <v>51974.233042131345</v>
      </c>
      <c r="O254" s="434">
        <v>30000</v>
      </c>
      <c r="P254" s="69">
        <f>(172160/10000)*8.7</f>
        <v>149.7792</v>
      </c>
      <c r="Q254" s="69">
        <f>(161390/10000)*8.7</f>
        <v>140.40929999999997</v>
      </c>
      <c r="R254" s="69">
        <f t="shared" si="126"/>
        <v>9.3699000000000296</v>
      </c>
      <c r="S254" s="435">
        <f t="shared" si="118"/>
        <v>0.20757844422172606</v>
      </c>
      <c r="T254" s="435">
        <f t="shared" si="119"/>
        <v>0.21246264290929606</v>
      </c>
      <c r="U254" s="435"/>
      <c r="V254" s="436"/>
      <c r="W254" s="437"/>
      <c r="X254" s="33">
        <v>2.64</v>
      </c>
      <c r="Y254" s="33">
        <f t="shared" si="130"/>
        <v>136973.76000000001</v>
      </c>
      <c r="Z254" s="33"/>
      <c r="AA254" s="33"/>
      <c r="AB254" s="438"/>
      <c r="AC254" s="33"/>
    </row>
    <row r="255" spans="1:29" x14ac:dyDescent="0.3">
      <c r="A255" s="682">
        <v>44418.520833333336</v>
      </c>
      <c r="B255" s="682">
        <v>44419.215277777781</v>
      </c>
      <c r="C255" s="23"/>
      <c r="D255" s="14"/>
      <c r="E255" s="35" t="s">
        <v>907</v>
      </c>
      <c r="F255" s="36" t="s">
        <v>328</v>
      </c>
      <c r="G255" s="433">
        <f>28613</f>
        <v>28613</v>
      </c>
      <c r="H255" s="433"/>
      <c r="I255" s="26">
        <v>77000</v>
      </c>
      <c r="J255" s="26">
        <f>G255-I255</f>
        <v>-48387</v>
      </c>
      <c r="K255" s="636">
        <f t="shared" si="124"/>
        <v>0.69444444444525288</v>
      </c>
      <c r="L255" s="27">
        <f>'[251]STAR PEACE'!$F$44</f>
        <v>0.54861111110949423</v>
      </c>
      <c r="M255" s="434">
        <f>(G255)/K255</f>
        <v>41202.719999952031</v>
      </c>
      <c r="N255" s="434">
        <f t="shared" si="115"/>
        <v>52155.341772305612</v>
      </c>
      <c r="O255" s="434">
        <v>30000</v>
      </c>
      <c r="P255" s="69">
        <f>(161140/10000)*8.7</f>
        <v>140.1918</v>
      </c>
      <c r="Q255" s="69">
        <f>(157480/10000)*8.7</f>
        <v>137.0076</v>
      </c>
      <c r="R255" s="69">
        <f t="shared" si="126"/>
        <v>3.1842000000000041</v>
      </c>
      <c r="S255" s="435">
        <f t="shared" si="118"/>
        <v>0.12791388529689318</v>
      </c>
      <c r="T255" s="435">
        <f t="shared" si="119"/>
        <v>0.13092362377446717</v>
      </c>
      <c r="U255" s="435"/>
      <c r="V255" s="436"/>
      <c r="W255" s="437"/>
      <c r="X255" s="33">
        <v>2.64</v>
      </c>
      <c r="Y255" s="33">
        <f t="shared" si="130"/>
        <v>75538.320000000007</v>
      </c>
      <c r="Z255" s="33"/>
      <c r="AA255" s="33"/>
      <c r="AB255" s="438"/>
      <c r="AC255" s="33"/>
    </row>
    <row r="256" spans="1:29" x14ac:dyDescent="0.3">
      <c r="A256" s="682">
        <v>44419.493055555555</v>
      </c>
      <c r="B256" s="682">
        <v>44420.75</v>
      </c>
      <c r="C256" s="23"/>
      <c r="D256" s="14"/>
      <c r="E256" s="35" t="s">
        <v>936</v>
      </c>
      <c r="F256" s="110" t="s">
        <v>328</v>
      </c>
      <c r="G256" s="487">
        <f>27834</f>
        <v>27834</v>
      </c>
      <c r="H256" s="433"/>
      <c r="I256" s="433">
        <v>77000</v>
      </c>
      <c r="J256" s="26">
        <f t="shared" si="113"/>
        <v>-49166</v>
      </c>
      <c r="K256" s="636">
        <f t="shared" si="124"/>
        <v>1.2569444444452529</v>
      </c>
      <c r="L256" s="27">
        <f>'[251]SEA EXPRESS'!$F$52</f>
        <v>0.56249999999514932</v>
      </c>
      <c r="M256" s="434">
        <f t="shared" ref="M256:M260" si="131">(G256)/K256</f>
        <v>22144.176795565869</v>
      </c>
      <c r="N256" s="434">
        <f t="shared" si="115"/>
        <v>49482.666667093377</v>
      </c>
      <c r="O256" s="434">
        <v>30000</v>
      </c>
      <c r="P256" s="69">
        <f>(157100/10000)*8.7</f>
        <v>136.67699999999999</v>
      </c>
      <c r="Q256" s="69">
        <f>(152350/10000)*8.7</f>
        <v>132.54449999999997</v>
      </c>
      <c r="R256" s="69">
        <f t="shared" si="126"/>
        <v>4.1325000000000216</v>
      </c>
      <c r="S256" s="435">
        <f t="shared" si="118"/>
        <v>0.1706545950995195</v>
      </c>
      <c r="T256" s="435">
        <f t="shared" si="119"/>
        <v>0.17466999733715524</v>
      </c>
      <c r="U256" s="435"/>
      <c r="V256" s="436"/>
      <c r="W256" s="32"/>
      <c r="X256" s="33">
        <v>2.64</v>
      </c>
      <c r="Y256" s="33">
        <f t="shared" si="130"/>
        <v>73481.760000000009</v>
      </c>
      <c r="Z256" s="33"/>
      <c r="AA256" s="33"/>
      <c r="AB256" s="438"/>
      <c r="AC256" s="33"/>
    </row>
    <row r="257" spans="1:29" x14ac:dyDescent="0.3">
      <c r="A257" s="682">
        <v>44421.020833333336</v>
      </c>
      <c r="B257" s="682">
        <v>44422.204861111109</v>
      </c>
      <c r="C257" s="23"/>
      <c r="D257" s="14"/>
      <c r="E257" s="35" t="s">
        <v>975</v>
      </c>
      <c r="F257" s="36" t="s">
        <v>328</v>
      </c>
      <c r="G257" s="433">
        <v>33624</v>
      </c>
      <c r="H257" s="433"/>
      <c r="I257" s="433">
        <v>71800</v>
      </c>
      <c r="J257" s="26">
        <f t="shared" si="113"/>
        <v>-38176</v>
      </c>
      <c r="K257" s="636">
        <f t="shared" si="124"/>
        <v>1.1840277777737356</v>
      </c>
      <c r="L257" s="27">
        <f>[251]ELVA!$F$64</f>
        <v>0.73784722222505172</v>
      </c>
      <c r="M257" s="434">
        <f t="shared" si="131"/>
        <v>28397.982404789032</v>
      </c>
      <c r="N257" s="434">
        <f>(G257)/L257</f>
        <v>45570.40941158995</v>
      </c>
      <c r="O257" s="434">
        <v>30000</v>
      </c>
      <c r="P257" s="69">
        <f>(151880/10000)*8.7</f>
        <v>132.13559999999998</v>
      </c>
      <c r="Q257" s="69">
        <f>(145770/10000)*8.7</f>
        <v>126.81989999999999</v>
      </c>
      <c r="R257" s="69">
        <f t="shared" si="126"/>
        <v>5.3156999999999925</v>
      </c>
      <c r="S257" s="435">
        <f t="shared" si="118"/>
        <v>0.1817154413514154</v>
      </c>
      <c r="T257" s="435">
        <f t="shared" si="119"/>
        <v>0.1859910987949781</v>
      </c>
      <c r="U257" s="435"/>
      <c r="V257" s="31"/>
      <c r="W257" s="32"/>
      <c r="X257" s="33">
        <v>2.64</v>
      </c>
      <c r="Y257" s="33">
        <f t="shared" si="130"/>
        <v>88767.360000000001</v>
      </c>
      <c r="Z257" s="33"/>
      <c r="AA257" s="33"/>
      <c r="AB257" s="438"/>
      <c r="AC257" s="33"/>
    </row>
    <row r="258" spans="1:29" x14ac:dyDescent="0.3">
      <c r="A258" s="682">
        <v>44422.729166666664</v>
      </c>
      <c r="B258" s="439">
        <v>44423.520833333336</v>
      </c>
      <c r="C258" s="23"/>
      <c r="D258" s="23"/>
      <c r="E258" s="35" t="s">
        <v>756</v>
      </c>
      <c r="F258" s="25" t="s">
        <v>328</v>
      </c>
      <c r="G258" s="433">
        <v>29353</v>
      </c>
      <c r="H258" s="433"/>
      <c r="I258" s="433">
        <v>71500</v>
      </c>
      <c r="J258" s="26">
        <f t="shared" si="113"/>
        <v>-42147</v>
      </c>
      <c r="K258" s="636">
        <f t="shared" si="124"/>
        <v>0.79166666667151731</v>
      </c>
      <c r="L258" s="27">
        <f>'[251]JIAN MING'!$F$48</f>
        <v>0.57986111110585625</v>
      </c>
      <c r="M258" s="434">
        <f t="shared" si="131"/>
        <v>37077.473683983349</v>
      </c>
      <c r="N258" s="434">
        <f t="shared" si="115"/>
        <v>50620.742515428799</v>
      </c>
      <c r="O258" s="434">
        <v>30000</v>
      </c>
      <c r="P258" s="69">
        <f>(145070/10000)*8.7</f>
        <v>126.21089999999998</v>
      </c>
      <c r="Q258" s="69">
        <f>(140830/10000)*8.7</f>
        <v>122.52209999999999</v>
      </c>
      <c r="R258" s="69">
        <f t="shared" si="126"/>
        <v>3.6887999999999863</v>
      </c>
      <c r="S258" s="435">
        <f t="shared" si="118"/>
        <v>0.14444860831942169</v>
      </c>
      <c r="T258" s="435">
        <f t="shared" si="119"/>
        <v>0.14784739910340805</v>
      </c>
      <c r="U258" s="69"/>
      <c r="V258" s="436"/>
      <c r="W258" s="437"/>
      <c r="X258" s="33">
        <v>2.64</v>
      </c>
      <c r="Y258" s="33">
        <f t="shared" si="130"/>
        <v>77491.92</v>
      </c>
      <c r="Z258" s="33"/>
      <c r="AA258" s="33"/>
      <c r="AB258" s="438"/>
      <c r="AC258" s="33"/>
    </row>
    <row r="259" spans="1:29" x14ac:dyDescent="0.3">
      <c r="A259" s="682">
        <v>44423.756944444445</v>
      </c>
      <c r="B259" s="439">
        <v>44426.277777777781</v>
      </c>
      <c r="C259" s="23"/>
      <c r="D259" s="23"/>
      <c r="E259" s="35" t="s">
        <v>976</v>
      </c>
      <c r="F259" s="25" t="s">
        <v>328</v>
      </c>
      <c r="G259" s="433">
        <f>74280</f>
        <v>74280</v>
      </c>
      <c r="H259" s="433"/>
      <c r="I259" s="433">
        <v>74280</v>
      </c>
      <c r="J259" s="26">
        <f t="shared" si="113"/>
        <v>0</v>
      </c>
      <c r="K259" s="636">
        <f t="shared" si="124"/>
        <v>2.5208333333357587</v>
      </c>
      <c r="L259" s="27">
        <f>'[251]SHANDONG HAI WANG'!$F$121</f>
        <v>1.3090277777506951</v>
      </c>
      <c r="M259" s="434">
        <f t="shared" si="131"/>
        <v>29466.446280963384</v>
      </c>
      <c r="N259" s="434">
        <f t="shared" si="115"/>
        <v>56744.403184197865</v>
      </c>
      <c r="O259" s="434">
        <v>30000</v>
      </c>
      <c r="P259" s="69">
        <f>(139940/10000)*8.7</f>
        <v>121.74779999999998</v>
      </c>
      <c r="Q259" s="69">
        <f>(127940/10000)*8.7</f>
        <v>111.3078</v>
      </c>
      <c r="R259" s="69">
        <f t="shared" si="126"/>
        <v>10.439999999999984</v>
      </c>
      <c r="S259" s="435">
        <f t="shared" si="118"/>
        <v>0.16155088852988667</v>
      </c>
      <c r="T259" s="435">
        <f>R259/8.5*10000/(G259)</f>
        <v>0.16535208590706046</v>
      </c>
      <c r="U259" s="69"/>
      <c r="V259" s="436"/>
      <c r="W259" s="437"/>
      <c r="X259" s="33">
        <v>2.64</v>
      </c>
      <c r="Y259" s="33">
        <f t="shared" si="130"/>
        <v>196099.20000000001</v>
      </c>
      <c r="Z259" s="33"/>
      <c r="AA259" s="33"/>
      <c r="AB259" s="438"/>
      <c r="AC259" s="33"/>
    </row>
    <row r="260" spans="1:29" x14ac:dyDescent="0.3">
      <c r="A260" s="682">
        <v>44427.652777777781</v>
      </c>
      <c r="B260" s="439">
        <v>44428.590277777781</v>
      </c>
      <c r="C260" s="23"/>
      <c r="D260" s="23"/>
      <c r="E260" s="35" t="s">
        <v>951</v>
      </c>
      <c r="F260" s="25" t="s">
        <v>328</v>
      </c>
      <c r="G260" s="433">
        <v>27339</v>
      </c>
      <c r="H260" s="433"/>
      <c r="I260" s="433">
        <v>86270</v>
      </c>
      <c r="J260" s="26">
        <f t="shared" si="113"/>
        <v>-58931</v>
      </c>
      <c r="K260" s="636">
        <f t="shared" si="124"/>
        <v>0.9375</v>
      </c>
      <c r="L260" s="27">
        <f>'[251]OCEAN DIAMOND'!$F$47</f>
        <v>0.5</v>
      </c>
      <c r="M260" s="434">
        <f t="shared" si="131"/>
        <v>29161.599999999999</v>
      </c>
      <c r="N260" s="434">
        <f t="shared" si="115"/>
        <v>54678</v>
      </c>
      <c r="O260" s="434">
        <v>30000</v>
      </c>
      <c r="P260" s="69">
        <f>(126060/10000)*8.7</f>
        <v>109.67219999999999</v>
      </c>
      <c r="Q260" s="69">
        <f>(121170/10000)*8.7</f>
        <v>105.4179</v>
      </c>
      <c r="R260" s="69">
        <f t="shared" si="126"/>
        <v>4.2542999999999864</v>
      </c>
      <c r="S260" s="435">
        <f t="shared" si="118"/>
        <v>0.17886535718204705</v>
      </c>
      <c r="T260" s="435">
        <f t="shared" si="119"/>
        <v>0.18307395382162464</v>
      </c>
      <c r="U260" s="69"/>
      <c r="V260" s="436"/>
      <c r="W260" s="437"/>
      <c r="X260" s="33">
        <v>2.64</v>
      </c>
      <c r="Y260" s="33">
        <f t="shared" si="130"/>
        <v>72174.960000000006</v>
      </c>
      <c r="Z260" s="33"/>
      <c r="AA260" s="33"/>
      <c r="AB260" s="438"/>
      <c r="AC260" s="33"/>
    </row>
    <row r="261" spans="1:29" x14ac:dyDescent="0.3">
      <c r="A261" s="682">
        <v>44435.916666666664</v>
      </c>
      <c r="B261" s="439">
        <v>44438.677083333336</v>
      </c>
      <c r="C261" s="23"/>
      <c r="D261" s="23"/>
      <c r="E261" s="35" t="s">
        <v>977</v>
      </c>
      <c r="F261" s="25" t="s">
        <v>328</v>
      </c>
      <c r="G261" s="433">
        <f>74300</f>
        <v>74300</v>
      </c>
      <c r="H261" s="433"/>
      <c r="I261" s="433">
        <v>74300</v>
      </c>
      <c r="J261" s="26">
        <f t="shared" si="113"/>
        <v>0</v>
      </c>
      <c r="K261" s="636">
        <f t="shared" si="124"/>
        <v>2.7604166666715173</v>
      </c>
      <c r="L261" s="27">
        <f>'[251]GUO YUAN 16'!$F$120</f>
        <v>1.402777777776161</v>
      </c>
      <c r="M261" s="434">
        <f>(G261)/K261</f>
        <v>26916.226415047044</v>
      </c>
      <c r="N261" s="434">
        <f t="shared" si="115"/>
        <v>52966.336633724415</v>
      </c>
      <c r="O261" s="434">
        <v>30000</v>
      </c>
      <c r="P261" s="69">
        <f>(110000/10000)*8.7</f>
        <v>95.699999999999989</v>
      </c>
      <c r="Q261" s="69">
        <f>(95650/10000)*8.7</f>
        <v>83.215499999999992</v>
      </c>
      <c r="R261" s="69">
        <f t="shared" si="126"/>
        <v>12.484499999999997</v>
      </c>
      <c r="S261" s="435">
        <f>R261/8.7*10000/(G261)</f>
        <v>0.19313593539703899</v>
      </c>
      <c r="T261" s="435">
        <f t="shared" si="119"/>
        <v>0.19768031034755756</v>
      </c>
      <c r="U261" s="69"/>
      <c r="V261" s="436"/>
      <c r="W261" s="437"/>
      <c r="X261" s="33">
        <v>2.64</v>
      </c>
      <c r="Y261" s="33">
        <f t="shared" si="130"/>
        <v>196152</v>
      </c>
      <c r="Z261" s="33"/>
      <c r="AA261" s="33"/>
      <c r="AB261" s="438"/>
      <c r="AC261" s="33"/>
    </row>
    <row r="262" spans="1:29" x14ac:dyDescent="0.3">
      <c r="A262" s="682">
        <v>44442.902777777781</v>
      </c>
      <c r="B262" s="682">
        <v>44444.871527777781</v>
      </c>
      <c r="C262" s="23"/>
      <c r="D262" s="14"/>
      <c r="E262" s="35" t="s">
        <v>947</v>
      </c>
      <c r="F262" s="36" t="s">
        <v>328</v>
      </c>
      <c r="G262" s="433">
        <f>54933</f>
        <v>54933</v>
      </c>
      <c r="H262" s="433"/>
      <c r="I262" s="433">
        <v>87450</v>
      </c>
      <c r="J262" s="26">
        <f t="shared" si="113"/>
        <v>-32517</v>
      </c>
      <c r="K262" s="636">
        <f t="shared" si="124"/>
        <v>1.96875</v>
      </c>
      <c r="L262" s="27">
        <f>[252]LEVANTE!$F$91</f>
        <v>1.0885416666812187</v>
      </c>
      <c r="M262" s="434">
        <f t="shared" ref="M262:M268" si="132">(G262)/K262</f>
        <v>27902.476190476191</v>
      </c>
      <c r="N262" s="434">
        <f t="shared" si="115"/>
        <v>50464.765549564603</v>
      </c>
      <c r="O262" s="434">
        <v>30000</v>
      </c>
      <c r="P262" s="69">
        <f>(90320/10000)*8.7</f>
        <v>78.578399999999988</v>
      </c>
      <c r="Q262" s="69">
        <f>(80690/10000)*8.7</f>
        <v>70.200299999999999</v>
      </c>
      <c r="R262" s="69">
        <f t="shared" si="126"/>
        <v>8.3780999999999892</v>
      </c>
      <c r="S262" s="435">
        <f t="shared" si="118"/>
        <v>0.17530446179891848</v>
      </c>
      <c r="T262" s="435">
        <f t="shared" si="119"/>
        <v>0.17942927266477535</v>
      </c>
      <c r="U262" s="435"/>
      <c r="V262" s="436"/>
      <c r="W262" s="32"/>
      <c r="X262" s="33">
        <v>2.64</v>
      </c>
      <c r="Y262" s="33">
        <f t="shared" ref="Y262:Y269" si="133">G262*X262</f>
        <v>145023.12</v>
      </c>
      <c r="Z262" s="33"/>
      <c r="AA262" s="33"/>
      <c r="AB262" s="438"/>
      <c r="AC262" s="33"/>
    </row>
    <row r="263" spans="1:29" x14ac:dyDescent="0.3">
      <c r="A263" s="682">
        <v>44446.861111111109</v>
      </c>
      <c r="B263" s="682">
        <v>44447.395833333336</v>
      </c>
      <c r="C263" s="23"/>
      <c r="D263" s="14"/>
      <c r="E263" s="35" t="s">
        <v>978</v>
      </c>
      <c r="F263" s="36" t="s">
        <v>328</v>
      </c>
      <c r="G263" s="433">
        <v>15682</v>
      </c>
      <c r="H263" s="433"/>
      <c r="I263" s="433">
        <v>81670</v>
      </c>
      <c r="J263" s="26">
        <f>G263-I263</f>
        <v>-65988</v>
      </c>
      <c r="K263" s="636">
        <f t="shared" si="124"/>
        <v>0.53472222222626442</v>
      </c>
      <c r="L263" s="27">
        <f>'[252]YARRA STAR'!$F$41</f>
        <v>0.26215277778101154</v>
      </c>
      <c r="M263" s="434">
        <f t="shared" si="132"/>
        <v>29327.376623154923</v>
      </c>
      <c r="N263" s="434">
        <f t="shared" si="115"/>
        <v>59820.079469460768</v>
      </c>
      <c r="O263" s="434">
        <v>30000</v>
      </c>
      <c r="P263" s="69">
        <f>(77700/10000)*8.7</f>
        <v>67.59899999999999</v>
      </c>
      <c r="Q263" s="69">
        <f>(74760/10000)*8.7</f>
        <v>65.041199999999989</v>
      </c>
      <c r="R263" s="69">
        <f t="shared" si="126"/>
        <v>2.5578000000000003</v>
      </c>
      <c r="S263" s="435">
        <f t="shared" si="118"/>
        <v>0.18747608723377124</v>
      </c>
      <c r="T263" s="435">
        <f t="shared" si="119"/>
        <v>0.19188728928633053</v>
      </c>
      <c r="U263" s="435"/>
      <c r="V263" s="31"/>
      <c r="W263" s="32"/>
      <c r="X263" s="33">
        <v>2.64</v>
      </c>
      <c r="Y263" s="33">
        <f t="shared" si="133"/>
        <v>41400.480000000003</v>
      </c>
      <c r="Z263" s="33"/>
      <c r="AA263" s="33"/>
      <c r="AB263" s="438"/>
      <c r="AC263" s="33"/>
    </row>
    <row r="264" spans="1:29" x14ac:dyDescent="0.3">
      <c r="A264" s="682">
        <v>44447.604166666664</v>
      </c>
      <c r="B264" s="439">
        <v>44448.8125</v>
      </c>
      <c r="C264" s="23"/>
      <c r="D264" s="23"/>
      <c r="E264" s="35" t="s">
        <v>949</v>
      </c>
      <c r="F264" s="110" t="s">
        <v>328</v>
      </c>
      <c r="G264" s="487">
        <v>34843</v>
      </c>
      <c r="H264" s="433"/>
      <c r="I264" s="433">
        <v>75060</v>
      </c>
      <c r="J264" s="26">
        <f t="shared" si="113"/>
        <v>-40217</v>
      </c>
      <c r="K264" s="636">
        <f t="shared" si="124"/>
        <v>1.2083333333357587</v>
      </c>
      <c r="L264" s="27">
        <f>'[252]PAN ELDORADO'!$F$82</f>
        <v>0.68576388889293105</v>
      </c>
      <c r="M264" s="434">
        <f t="shared" si="132"/>
        <v>28835.586206838674</v>
      </c>
      <c r="N264" s="434">
        <f>(G264)/L264</f>
        <v>50809.032911092916</v>
      </c>
      <c r="O264" s="434">
        <v>30000</v>
      </c>
      <c r="P264" s="69">
        <f>(74500/10000)*8.7</f>
        <v>64.814999999999998</v>
      </c>
      <c r="Q264" s="69">
        <f>(68100/10000)*8.7</f>
        <v>59.246999999999993</v>
      </c>
      <c r="R264" s="69">
        <f t="shared" si="126"/>
        <v>5.5680000000000049</v>
      </c>
      <c r="S264" s="435">
        <f t="shared" si="118"/>
        <v>0.18368108371839409</v>
      </c>
      <c r="T264" s="435">
        <f t="shared" si="119"/>
        <v>0.18800299157059161</v>
      </c>
      <c r="U264" s="69"/>
      <c r="V264" s="436"/>
      <c r="W264" s="437"/>
      <c r="X264" s="33">
        <v>2.64</v>
      </c>
      <c r="Y264" s="33">
        <f t="shared" si="133"/>
        <v>91985.52</v>
      </c>
      <c r="Z264" s="33"/>
      <c r="AA264" s="33"/>
      <c r="AB264" s="438"/>
      <c r="AC264" s="33"/>
    </row>
    <row r="265" spans="1:29" x14ac:dyDescent="0.3">
      <c r="A265" s="682">
        <v>44452.166666666664</v>
      </c>
      <c r="B265" s="439">
        <v>44453.288194444445</v>
      </c>
      <c r="C265" s="23"/>
      <c r="D265" s="23"/>
      <c r="E265" s="35" t="s">
        <v>951</v>
      </c>
      <c r="F265" s="25" t="s">
        <v>328</v>
      </c>
      <c r="G265" s="433">
        <f>38261</f>
        <v>38261</v>
      </c>
      <c r="H265" s="433"/>
      <c r="I265" s="433">
        <v>87300</v>
      </c>
      <c r="J265" s="26">
        <f>G265-I265</f>
        <v>-49039</v>
      </c>
      <c r="K265" s="636">
        <f t="shared" si="124"/>
        <v>1.1215277777810115</v>
      </c>
      <c r="L265" s="27">
        <f>'[252]OCEAN DIAMOND'!$F$61</f>
        <v>0.74305555557900027</v>
      </c>
      <c r="M265" s="434">
        <f t="shared" si="132"/>
        <v>34115.071207331974</v>
      </c>
      <c r="N265" s="434">
        <f>(G265)/L265</f>
        <v>51491.439250711803</v>
      </c>
      <c r="O265" s="434">
        <v>30000</v>
      </c>
      <c r="P265" s="69">
        <f>(62880/10000)*8.7</f>
        <v>54.705599999999997</v>
      </c>
      <c r="Q265" s="69">
        <f>(57000/10000)*8.7</f>
        <v>49.589999999999996</v>
      </c>
      <c r="R265" s="69">
        <f t="shared" si="126"/>
        <v>5.1156000000000006</v>
      </c>
      <c r="S265" s="435">
        <f t="shared" si="118"/>
        <v>0.15368129426831501</v>
      </c>
      <c r="T265" s="435">
        <f t="shared" si="119"/>
        <v>0.15729732472168712</v>
      </c>
      <c r="U265" s="69"/>
      <c r="V265" s="436"/>
      <c r="W265" s="437"/>
      <c r="X265" s="33">
        <v>2.64</v>
      </c>
      <c r="Y265" s="33">
        <f t="shared" si="133"/>
        <v>101009.04000000001</v>
      </c>
      <c r="Z265" s="33"/>
      <c r="AA265" s="33"/>
      <c r="AB265" s="438"/>
      <c r="AC265" s="33"/>
    </row>
    <row r="266" spans="1:29" x14ac:dyDescent="0.3">
      <c r="A266" s="682">
        <v>44453.993055555555</v>
      </c>
      <c r="B266" s="439">
        <v>44455.434027777781</v>
      </c>
      <c r="C266" s="23"/>
      <c r="D266" s="23"/>
      <c r="E266" s="35" t="s">
        <v>952</v>
      </c>
      <c r="F266" s="25" t="s">
        <v>328</v>
      </c>
      <c r="G266" s="433">
        <v>50541</v>
      </c>
      <c r="H266" s="433"/>
      <c r="I266" s="433">
        <v>88000</v>
      </c>
      <c r="J266" s="26">
        <f t="shared" si="113"/>
        <v>-37459</v>
      </c>
      <c r="K266" s="636">
        <f t="shared" ref="K266:K297" si="134">B266-A266</f>
        <v>1.4409722222262644</v>
      </c>
      <c r="L266" s="27">
        <f>[252]WELPROFIT!$F$85</f>
        <v>0.91319444444040221</v>
      </c>
      <c r="M266" s="434">
        <f t="shared" si="132"/>
        <v>35074.236144479924</v>
      </c>
      <c r="N266" s="434">
        <f t="shared" ref="N266:N284" si="135">(G266)/L266</f>
        <v>55345.277566784906</v>
      </c>
      <c r="O266" s="434">
        <v>30000</v>
      </c>
      <c r="P266" s="69">
        <f>(56090/10000)*8.7</f>
        <v>48.798299999999998</v>
      </c>
      <c r="Q266" s="69">
        <f>(48320/10000)*8.7</f>
        <v>42.038399999999996</v>
      </c>
      <c r="R266" s="69">
        <f t="shared" si="126"/>
        <v>6.7599000000000018</v>
      </c>
      <c r="S266" s="435">
        <f t="shared" si="118"/>
        <v>0.15373657030925392</v>
      </c>
      <c r="T266" s="435">
        <f t="shared" si="119"/>
        <v>0.15735390137535402</v>
      </c>
      <c r="U266" s="69"/>
      <c r="V266" s="436"/>
      <c r="W266" s="437"/>
      <c r="X266" s="33">
        <v>2.64</v>
      </c>
      <c r="Y266" s="33">
        <f t="shared" si="133"/>
        <v>133428.24000000002</v>
      </c>
      <c r="Z266" s="33"/>
      <c r="AA266" s="33"/>
      <c r="AB266" s="438"/>
      <c r="AC266" s="33"/>
    </row>
    <row r="267" spans="1:29" x14ac:dyDescent="0.3">
      <c r="A267" s="682">
        <v>44456.142361111109</v>
      </c>
      <c r="B267" s="439">
        <v>44459.993055555555</v>
      </c>
      <c r="C267" s="23"/>
      <c r="D267" s="23"/>
      <c r="E267" s="35" t="s">
        <v>979</v>
      </c>
      <c r="F267" s="25" t="s">
        <v>328</v>
      </c>
      <c r="G267" s="433">
        <f>77001</f>
        <v>77001</v>
      </c>
      <c r="H267" s="433"/>
      <c r="I267" s="433">
        <v>77000</v>
      </c>
      <c r="J267" s="26">
        <f t="shared" si="113"/>
        <v>1</v>
      </c>
      <c r="K267" s="636">
        <f t="shared" si="134"/>
        <v>3.8506944444452529</v>
      </c>
      <c r="L267" s="27">
        <f>'[252]PAN TOPAZ'!$F$116</f>
        <v>1.449652777772523</v>
      </c>
      <c r="M267" s="434">
        <f t="shared" si="132"/>
        <v>19996.652840392555</v>
      </c>
      <c r="N267" s="434">
        <f t="shared" si="135"/>
        <v>53116.857485222485</v>
      </c>
      <c r="O267" s="434">
        <v>30000</v>
      </c>
      <c r="P267" s="69">
        <f>(170260/10000)*8.7</f>
        <v>148.12619999999998</v>
      </c>
      <c r="Q267" s="69">
        <f>(155320/10000)*8.7</f>
        <v>135.1284</v>
      </c>
      <c r="R267" s="69">
        <f t="shared" si="126"/>
        <v>12.997799999999984</v>
      </c>
      <c r="S267" s="435">
        <f t="shared" si="118"/>
        <v>0.19402345424085377</v>
      </c>
      <c r="T267" s="435">
        <f t="shared" si="119"/>
        <v>0.1985887119876974</v>
      </c>
      <c r="U267" s="69"/>
      <c r="V267" s="436"/>
      <c r="W267" s="437"/>
      <c r="X267" s="33">
        <v>2.64</v>
      </c>
      <c r="Y267" s="33">
        <f t="shared" si="133"/>
        <v>203282.64</v>
      </c>
      <c r="Z267" s="33"/>
      <c r="AA267" s="33"/>
      <c r="AB267" s="438"/>
      <c r="AC267" s="33"/>
    </row>
    <row r="268" spans="1:29" x14ac:dyDescent="0.3">
      <c r="A268" s="682">
        <v>44461.881944444445</v>
      </c>
      <c r="B268" s="439">
        <v>44465.684027777781</v>
      </c>
      <c r="C268" s="23"/>
      <c r="D268" s="23"/>
      <c r="E268" s="35" t="s">
        <v>947</v>
      </c>
      <c r="F268" s="25" t="s">
        <v>328</v>
      </c>
      <c r="G268" s="433">
        <v>87800</v>
      </c>
      <c r="H268" s="433"/>
      <c r="I268" s="433">
        <v>87800</v>
      </c>
      <c r="J268" s="26">
        <f t="shared" si="113"/>
        <v>0</v>
      </c>
      <c r="K268" s="636">
        <f t="shared" si="134"/>
        <v>3.8020833333357587</v>
      </c>
      <c r="L268" s="27">
        <f>'[253]LEVANTE (2)'!$F$126</f>
        <v>1.5781249999987874</v>
      </c>
      <c r="M268" s="434">
        <f t="shared" si="132"/>
        <v>23092.602739711296</v>
      </c>
      <c r="N268" s="434">
        <f t="shared" si="135"/>
        <v>55635.643564399186</v>
      </c>
      <c r="O268" s="434">
        <v>30000</v>
      </c>
      <c r="P268" s="69">
        <f>(152530/10000)*8.7</f>
        <v>132.7011</v>
      </c>
      <c r="Q268" s="69">
        <f>(136910/10000)*8.7</f>
        <v>119.1117</v>
      </c>
      <c r="R268" s="69">
        <f t="shared" si="126"/>
        <v>13.589399999999998</v>
      </c>
      <c r="S268" s="435">
        <f t="shared" si="118"/>
        <v>0.1779043280182232</v>
      </c>
      <c r="T268" s="435">
        <f t="shared" si="119"/>
        <v>0.18209031220688726</v>
      </c>
      <c r="U268" s="69"/>
      <c r="V268" s="436"/>
      <c r="W268" s="437"/>
      <c r="X268" s="33">
        <v>2.64</v>
      </c>
      <c r="Y268" s="33">
        <f t="shared" si="133"/>
        <v>231792</v>
      </c>
      <c r="Z268" s="33"/>
      <c r="AA268" s="33"/>
      <c r="AB268" s="438"/>
      <c r="AC268" s="33"/>
    </row>
    <row r="269" spans="1:29" x14ac:dyDescent="0.3">
      <c r="A269" s="682">
        <v>44465.940972222219</v>
      </c>
      <c r="B269" s="439">
        <v>44469.635416666664</v>
      </c>
      <c r="C269" s="23"/>
      <c r="D269" s="23"/>
      <c r="E269" s="35" t="s">
        <v>980</v>
      </c>
      <c r="F269" s="25" t="s">
        <v>328</v>
      </c>
      <c r="G269" s="433">
        <f>83911</f>
        <v>83911</v>
      </c>
      <c r="H269" s="433"/>
      <c r="I269" s="433">
        <v>83911</v>
      </c>
      <c r="J269" s="26">
        <f t="shared" si="113"/>
        <v>0</v>
      </c>
      <c r="K269" s="636">
        <f t="shared" si="134"/>
        <v>3.6944444444452529</v>
      </c>
      <c r="L269" s="27">
        <f>[253]RUBICON!$F$149</f>
        <v>1.4079861111337475</v>
      </c>
      <c r="M269" s="434">
        <f>(G269)/K269</f>
        <v>22712.751879694279</v>
      </c>
      <c r="N269" s="434">
        <f t="shared" si="135"/>
        <v>59596.468556378481</v>
      </c>
      <c r="O269" s="434">
        <v>30000</v>
      </c>
      <c r="P269" s="69">
        <f>(136590/10000)*8.7</f>
        <v>118.83329999999999</v>
      </c>
      <c r="Q269" s="69">
        <f>(121040/10000)*8.7</f>
        <v>105.30479999999999</v>
      </c>
      <c r="R269" s="69">
        <f t="shared" si="126"/>
        <v>13.528500000000008</v>
      </c>
      <c r="S269" s="435">
        <f t="shared" si="118"/>
        <v>0.18531539369093458</v>
      </c>
      <c r="T269" s="435">
        <f t="shared" si="119"/>
        <v>0.18967575589542712</v>
      </c>
      <c r="U269" s="69"/>
      <c r="V269" s="436"/>
      <c r="W269" s="437"/>
      <c r="X269" s="33">
        <v>2.64</v>
      </c>
      <c r="Y269" s="33">
        <f t="shared" si="133"/>
        <v>221525.04</v>
      </c>
      <c r="Z269" s="33"/>
      <c r="AA269" s="33"/>
      <c r="AB269" s="438"/>
      <c r="AC269" s="33"/>
    </row>
    <row r="270" spans="1:29" x14ac:dyDescent="0.3">
      <c r="A270" s="682">
        <v>44471.645833333336</v>
      </c>
      <c r="B270" s="682">
        <v>44474.597222222219</v>
      </c>
      <c r="C270" s="23"/>
      <c r="D270" s="14"/>
      <c r="E270" s="35" t="s">
        <v>981</v>
      </c>
      <c r="F270" s="36" t="s">
        <v>328</v>
      </c>
      <c r="G270" s="433">
        <f>72100</f>
        <v>72100</v>
      </c>
      <c r="H270" s="433"/>
      <c r="I270" s="433">
        <v>72100</v>
      </c>
      <c r="J270" s="26">
        <f t="shared" si="113"/>
        <v>0</v>
      </c>
      <c r="K270" s="636">
        <f t="shared" si="134"/>
        <v>2.9513888888832298</v>
      </c>
      <c r="L270" s="27">
        <f>'[254]XIANG MING'!$F$113</f>
        <v>1.2291666666812187</v>
      </c>
      <c r="M270" s="434">
        <f t="shared" ref="M270:M275" si="136">(G270)/K270</f>
        <v>24429.176470635077</v>
      </c>
      <c r="N270" s="434">
        <f t="shared" si="135"/>
        <v>58657.627117949625</v>
      </c>
      <c r="O270" s="434">
        <v>30000</v>
      </c>
      <c r="P270" s="69">
        <f>(117900/10000)*8.7</f>
        <v>102.57299999999998</v>
      </c>
      <c r="Q270" s="69">
        <f>(105100/10000)*8.7</f>
        <v>91.436999999999998</v>
      </c>
      <c r="R270" s="69">
        <f t="shared" si="126"/>
        <v>11.135999999999981</v>
      </c>
      <c r="S270" s="435">
        <f t="shared" si="118"/>
        <v>0.17753120665741998</v>
      </c>
      <c r="T270" s="435">
        <f t="shared" si="119"/>
        <v>0.18170841151994749</v>
      </c>
      <c r="U270" s="435"/>
      <c r="V270" s="436"/>
      <c r="W270" s="32"/>
      <c r="X270" s="33">
        <v>2.64</v>
      </c>
      <c r="Y270" s="33">
        <f t="shared" ref="Y270:Y275" si="137">G270*X270</f>
        <v>190344</v>
      </c>
      <c r="Z270" s="33"/>
      <c r="AA270" s="33"/>
      <c r="AB270" s="438"/>
      <c r="AC270" s="33"/>
    </row>
    <row r="271" spans="1:29" x14ac:dyDescent="0.3">
      <c r="A271" s="439">
        <v>44476.805555555555</v>
      </c>
      <c r="B271" s="439">
        <v>44482.097222222219</v>
      </c>
      <c r="C271" s="23"/>
      <c r="D271" s="23"/>
      <c r="E271" s="35" t="s">
        <v>982</v>
      </c>
      <c r="F271" s="25" t="s">
        <v>328</v>
      </c>
      <c r="G271" s="433">
        <f>83501</f>
        <v>83501</v>
      </c>
      <c r="H271" s="433"/>
      <c r="I271" s="433">
        <v>83500</v>
      </c>
      <c r="J271" s="26">
        <f t="shared" si="113"/>
        <v>1</v>
      </c>
      <c r="K271" s="636">
        <f t="shared" si="134"/>
        <v>5.2916666666642413</v>
      </c>
      <c r="L271" s="27">
        <f>[254]URMILA!$F$129</f>
        <v>1.4236111111046437</v>
      </c>
      <c r="M271" s="434">
        <f t="shared" si="136"/>
        <v>15779.716535440302</v>
      </c>
      <c r="N271" s="434">
        <f t="shared" si="135"/>
        <v>58654.360975876225</v>
      </c>
      <c r="O271" s="434">
        <v>30000</v>
      </c>
      <c r="P271" s="69">
        <f>(101790/10000)*8.7</f>
        <v>88.557299999999998</v>
      </c>
      <c r="Q271" s="69">
        <f>(83290/10000)*8.7</f>
        <v>72.462299999999999</v>
      </c>
      <c r="R271" s="69">
        <f t="shared" si="126"/>
        <v>16.094999999999999</v>
      </c>
      <c r="S271" s="435">
        <f t="shared" si="118"/>
        <v>0.22155423288343853</v>
      </c>
      <c r="T271" s="435">
        <f t="shared" si="119"/>
        <v>0.22676727365716645</v>
      </c>
      <c r="U271" s="435"/>
      <c r="V271" s="436"/>
      <c r="W271" s="437"/>
      <c r="X271" s="33">
        <v>2.64</v>
      </c>
      <c r="Y271" s="33">
        <f t="shared" si="137"/>
        <v>220442.64</v>
      </c>
      <c r="Z271" s="33"/>
      <c r="AA271" s="33"/>
      <c r="AB271" s="438"/>
      <c r="AC271" s="33"/>
    </row>
    <row r="272" spans="1:29" x14ac:dyDescent="0.3">
      <c r="A272" s="439">
        <v>44482.986111111109</v>
      </c>
      <c r="B272" s="439">
        <v>44486.222222222219</v>
      </c>
      <c r="C272" s="23"/>
      <c r="D272" s="23"/>
      <c r="E272" s="35" t="s">
        <v>792</v>
      </c>
      <c r="F272" s="25" t="s">
        <v>328</v>
      </c>
      <c r="G272" s="433">
        <v>80001</v>
      </c>
      <c r="H272" s="433"/>
      <c r="I272" s="433">
        <v>80000</v>
      </c>
      <c r="J272" s="26">
        <f t="shared" si="113"/>
        <v>1</v>
      </c>
      <c r="K272" s="636">
        <f t="shared" si="134"/>
        <v>3.2361111111094942</v>
      </c>
      <c r="L272" s="27">
        <f>'[254]MBA LIBERTY'!$F$131</f>
        <v>1.4114583333309081</v>
      </c>
      <c r="M272" s="434">
        <f t="shared" si="136"/>
        <v>24721.339055806344</v>
      </c>
      <c r="N272" s="434">
        <f t="shared" si="135"/>
        <v>56679.675276850161</v>
      </c>
      <c r="O272" s="434">
        <v>30000</v>
      </c>
      <c r="P272" s="69">
        <f>(82060/10000)*8.7</f>
        <v>71.392199999999988</v>
      </c>
      <c r="Q272" s="69">
        <f>(67790/10000)*8.7</f>
        <v>58.977299999999993</v>
      </c>
      <c r="R272" s="69">
        <f t="shared" si="126"/>
        <v>12.414899999999996</v>
      </c>
      <c r="S272" s="435">
        <f t="shared" si="118"/>
        <v>0.17837277034037069</v>
      </c>
      <c r="T272" s="435">
        <f t="shared" si="119"/>
        <v>0.18256977670132057</v>
      </c>
      <c r="U272" s="435"/>
      <c r="V272" s="436"/>
      <c r="W272" s="437"/>
      <c r="X272" s="33">
        <v>2.64</v>
      </c>
      <c r="Y272" s="33">
        <f t="shared" si="137"/>
        <v>211202.64</v>
      </c>
      <c r="Z272" s="33"/>
      <c r="AA272" s="33"/>
      <c r="AB272" s="438"/>
      <c r="AC272" s="33"/>
    </row>
    <row r="273" spans="1:29" x14ac:dyDescent="0.3">
      <c r="A273" s="439">
        <v>44486.847222222219</v>
      </c>
      <c r="B273" s="439">
        <v>44490.215277777781</v>
      </c>
      <c r="C273" s="23"/>
      <c r="D273" s="23"/>
      <c r="E273" s="35" t="s">
        <v>983</v>
      </c>
      <c r="F273" s="25" t="s">
        <v>328</v>
      </c>
      <c r="G273" s="433">
        <v>83216</v>
      </c>
      <c r="H273" s="433"/>
      <c r="I273" s="433">
        <v>83163</v>
      </c>
      <c r="J273" s="26">
        <f>G273-I273</f>
        <v>53</v>
      </c>
      <c r="K273" s="636">
        <f t="shared" si="134"/>
        <v>3.3680555555620231</v>
      </c>
      <c r="L273" s="27">
        <f>[254]ROSEWOOD!$F$149</f>
        <v>1.4947916666848566</v>
      </c>
      <c r="M273" s="434">
        <f t="shared" si="136"/>
        <v>24707.430927787605</v>
      </c>
      <c r="N273" s="434">
        <f>(G273)/L273</f>
        <v>55670.634145664015</v>
      </c>
      <c r="O273" s="434">
        <v>30000</v>
      </c>
      <c r="P273" s="69">
        <f>(188830/10000)*8.7</f>
        <v>164.28209999999999</v>
      </c>
      <c r="Q273" s="69">
        <f>(173350/10000)*8.7</f>
        <v>150.81449999999998</v>
      </c>
      <c r="R273" s="69">
        <f t="shared" si="126"/>
        <v>13.467600000000004</v>
      </c>
      <c r="S273" s="435">
        <f t="shared" si="118"/>
        <v>0.18602191886175745</v>
      </c>
      <c r="T273" s="435">
        <f>R273/8.5*10000/(G273)</f>
        <v>0.19039890518791641</v>
      </c>
      <c r="U273" s="435"/>
      <c r="V273" s="436"/>
      <c r="W273" s="437"/>
      <c r="X273" s="33">
        <v>2.64</v>
      </c>
      <c r="Y273" s="33">
        <f t="shared" si="137"/>
        <v>219690.24000000002</v>
      </c>
      <c r="Z273" s="33"/>
      <c r="AA273" s="33"/>
      <c r="AB273" s="438"/>
      <c r="AC273" s="33"/>
    </row>
    <row r="274" spans="1:29" x14ac:dyDescent="0.3">
      <c r="A274" s="439">
        <v>44491.868055555555</v>
      </c>
      <c r="B274" s="439">
        <v>44494.416666666664</v>
      </c>
      <c r="C274" s="23"/>
      <c r="D274" s="23"/>
      <c r="E274" s="35" t="s">
        <v>984</v>
      </c>
      <c r="F274" s="25" t="s">
        <v>328</v>
      </c>
      <c r="G274" s="433">
        <v>72150</v>
      </c>
      <c r="H274" s="433"/>
      <c r="I274" s="433">
        <v>72150</v>
      </c>
      <c r="J274" s="26">
        <f t="shared" si="113"/>
        <v>0</v>
      </c>
      <c r="K274" s="636">
        <f t="shared" si="134"/>
        <v>2.5486111111094942</v>
      </c>
      <c r="L274" s="27">
        <f>'[254]DA JIA'!$F$115</f>
        <v>1.2187499999951494</v>
      </c>
      <c r="M274" s="434">
        <f t="shared" si="136"/>
        <v>28309.536784759104</v>
      </c>
      <c r="N274" s="434">
        <f t="shared" si="135"/>
        <v>59200.00000023561</v>
      </c>
      <c r="O274" s="434">
        <v>30000</v>
      </c>
      <c r="P274" s="69">
        <f>(170850/10000)*8.7</f>
        <v>148.6395</v>
      </c>
      <c r="Q274" s="69">
        <f>(159360/10000)*8.7</f>
        <v>138.64319999999998</v>
      </c>
      <c r="R274" s="69">
        <f t="shared" si="126"/>
        <v>9.9963000000000193</v>
      </c>
      <c r="S274" s="435">
        <f t="shared" si="118"/>
        <v>0.15925155925155957</v>
      </c>
      <c r="T274" s="435">
        <f t="shared" si="119"/>
        <v>0.16299865476336095</v>
      </c>
      <c r="U274" s="435"/>
      <c r="V274" s="436"/>
      <c r="W274" s="437"/>
      <c r="X274" s="33">
        <v>2.64</v>
      </c>
      <c r="Y274" s="33">
        <f t="shared" si="137"/>
        <v>190476</v>
      </c>
      <c r="Z274" s="33"/>
      <c r="AA274" s="33"/>
      <c r="AB274" s="438"/>
      <c r="AC274" s="33"/>
    </row>
    <row r="275" spans="1:29" x14ac:dyDescent="0.3">
      <c r="A275" s="439">
        <v>44496.947916666664</v>
      </c>
      <c r="B275" s="439">
        <v>44499.847222222219</v>
      </c>
      <c r="C275" s="23"/>
      <c r="D275" s="23"/>
      <c r="E275" s="35" t="s">
        <v>982</v>
      </c>
      <c r="F275" s="25" t="s">
        <v>328</v>
      </c>
      <c r="G275" s="433">
        <v>83500</v>
      </c>
      <c r="H275" s="433"/>
      <c r="I275" s="433">
        <v>83500</v>
      </c>
      <c r="J275" s="26">
        <f t="shared" si="113"/>
        <v>0</v>
      </c>
      <c r="K275" s="636">
        <f t="shared" si="134"/>
        <v>2.8993055555547471</v>
      </c>
      <c r="L275" s="27">
        <f>'[254]URMILA(2)'!$F$134</f>
        <v>1.6822916666703047</v>
      </c>
      <c r="M275" s="434">
        <f t="shared" si="136"/>
        <v>28800.000000008029</v>
      </c>
      <c r="N275" s="434">
        <f t="shared" si="135"/>
        <v>49634.674922493279</v>
      </c>
      <c r="O275" s="434">
        <v>30000</v>
      </c>
      <c r="P275" s="69">
        <f>(155520/10000)*8.7</f>
        <v>135.30239999999998</v>
      </c>
      <c r="Q275" s="69">
        <f>(140660/10000)*8.7</f>
        <v>122.3742</v>
      </c>
      <c r="R275" s="69">
        <f t="shared" si="126"/>
        <v>12.928199999999975</v>
      </c>
      <c r="S275" s="435">
        <f t="shared" si="118"/>
        <v>0.1779640718562871</v>
      </c>
      <c r="T275" s="435">
        <f t="shared" si="119"/>
        <v>0.18215146178231736</v>
      </c>
      <c r="U275" s="435"/>
      <c r="V275" s="436"/>
      <c r="W275" s="437"/>
      <c r="X275" s="33">
        <v>2.64</v>
      </c>
      <c r="Y275" s="33">
        <f t="shared" si="137"/>
        <v>220440</v>
      </c>
      <c r="Z275" s="33"/>
      <c r="AA275" s="33"/>
      <c r="AB275" s="438"/>
      <c r="AC275" s="33"/>
    </row>
    <row r="276" spans="1:29" x14ac:dyDescent="0.3">
      <c r="A276" s="682">
        <v>44504.25</v>
      </c>
      <c r="B276" s="439">
        <v>44507.173611111109</v>
      </c>
      <c r="C276" s="23"/>
      <c r="D276" s="23"/>
      <c r="E276" s="35" t="s">
        <v>985</v>
      </c>
      <c r="F276" s="25" t="s">
        <v>328</v>
      </c>
      <c r="G276" s="433">
        <f>88808</f>
        <v>88808</v>
      </c>
      <c r="H276" s="433"/>
      <c r="I276" s="433">
        <v>88808</v>
      </c>
      <c r="J276" s="26">
        <f t="shared" ref="J276:J284" si="138">G276-I276</f>
        <v>0</v>
      </c>
      <c r="K276" s="636">
        <f t="shared" si="134"/>
        <v>2.9236111111094942</v>
      </c>
      <c r="L276" s="27">
        <f>'[255]KMAX LEADER'!$F$142</f>
        <v>1.4357638888892932</v>
      </c>
      <c r="M276" s="434">
        <f>(G276)/K276</f>
        <v>30376.133016643878</v>
      </c>
      <c r="N276" s="434">
        <f t="shared" si="135"/>
        <v>61854.181378459005</v>
      </c>
      <c r="O276" s="434">
        <v>30000</v>
      </c>
      <c r="P276" s="69">
        <f>(134050/10000)*8.7</f>
        <v>116.62349999999998</v>
      </c>
      <c r="Q276" s="69">
        <f>(119170/10000)*8.7</f>
        <v>103.67789999999999</v>
      </c>
      <c r="R276" s="69">
        <f t="shared" si="126"/>
        <v>12.945599999999985</v>
      </c>
      <c r="S276" s="435">
        <f t="shared" si="118"/>
        <v>0.16755247275020249</v>
      </c>
      <c r="T276" s="435">
        <f t="shared" si="119"/>
        <v>0.17149488387373665</v>
      </c>
      <c r="U276" s="69"/>
      <c r="V276" s="436"/>
      <c r="W276" s="437"/>
      <c r="X276" s="33">
        <v>2.64</v>
      </c>
      <c r="Y276" s="33">
        <f t="shared" ref="Y276:Y280" si="139">G276*X276</f>
        <v>234453.12000000002</v>
      </c>
      <c r="Z276" s="33"/>
      <c r="AA276" s="33"/>
      <c r="AB276" s="438"/>
      <c r="AC276" s="33"/>
    </row>
    <row r="277" spans="1:29" x14ac:dyDescent="0.3">
      <c r="A277" s="682">
        <v>44507.732638888891</v>
      </c>
      <c r="B277" s="439">
        <v>44511.135416666664</v>
      </c>
      <c r="C277" s="23"/>
      <c r="D277" s="23"/>
      <c r="E277" s="35" t="s">
        <v>205</v>
      </c>
      <c r="F277" s="25" t="s">
        <v>328</v>
      </c>
      <c r="G277" s="433">
        <f>89950</f>
        <v>89950</v>
      </c>
      <c r="H277" s="433"/>
      <c r="I277" s="433">
        <v>89900</v>
      </c>
      <c r="J277" s="26">
        <f t="shared" si="138"/>
        <v>50</v>
      </c>
      <c r="K277" s="636">
        <f t="shared" si="134"/>
        <v>3.4027777777737356</v>
      </c>
      <c r="L277" s="27">
        <f>'[255]TAIPOWER PROSPERITY V'!$F$166</f>
        <v>1.5746527777943509</v>
      </c>
      <c r="M277" s="434">
        <f t="shared" ref="M277:M283" si="140">(G277)/K277</f>
        <v>26434.285714317117</v>
      </c>
      <c r="N277" s="434">
        <f t="shared" si="135"/>
        <v>57123.70451979569</v>
      </c>
      <c r="O277" s="434">
        <v>30000</v>
      </c>
      <c r="P277" s="69">
        <f>(118390/10000)*8.7</f>
        <v>102.99929999999999</v>
      </c>
      <c r="Q277" s="69">
        <f>(101980/10000)*8.7</f>
        <v>88.7226</v>
      </c>
      <c r="R277" s="69">
        <f t="shared" si="126"/>
        <v>14.276699999999991</v>
      </c>
      <c r="S277" s="435">
        <f t="shared" si="118"/>
        <v>0.18243468593663137</v>
      </c>
      <c r="T277" s="435">
        <f t="shared" si="119"/>
        <v>0.18672726678219911</v>
      </c>
      <c r="U277" s="69"/>
      <c r="V277" s="436"/>
      <c r="W277" s="437"/>
      <c r="X277" s="33">
        <v>2.64</v>
      </c>
      <c r="Y277" s="33">
        <f t="shared" si="139"/>
        <v>237468</v>
      </c>
      <c r="Z277" s="33"/>
      <c r="AA277" s="33"/>
      <c r="AB277" s="438"/>
      <c r="AC277" s="33"/>
    </row>
    <row r="278" spans="1:29" x14ac:dyDescent="0.3">
      <c r="A278" s="682">
        <v>44512.940972222219</v>
      </c>
      <c r="B278" s="439">
        <v>44515.65625</v>
      </c>
      <c r="C278" s="23"/>
      <c r="D278" s="23"/>
      <c r="E278" s="35" t="s">
        <v>986</v>
      </c>
      <c r="F278" s="25" t="s">
        <v>328</v>
      </c>
      <c r="G278" s="433">
        <v>77000</v>
      </c>
      <c r="H278" s="433"/>
      <c r="I278" s="433">
        <v>77000</v>
      </c>
      <c r="J278" s="26">
        <f t="shared" si="138"/>
        <v>0</v>
      </c>
      <c r="K278" s="636">
        <f t="shared" si="134"/>
        <v>2.7152777777810115</v>
      </c>
      <c r="L278" s="27">
        <f>'[255]IKAN BELANAK'!$F$133</f>
        <v>1.3836805555680864</v>
      </c>
      <c r="M278" s="434">
        <f t="shared" si="140"/>
        <v>28358.056265950883</v>
      </c>
      <c r="N278" s="434">
        <f t="shared" si="135"/>
        <v>55648.68255909453</v>
      </c>
      <c r="O278" s="434">
        <v>30000</v>
      </c>
      <c r="P278" s="69">
        <f>(99120/10000)*8.7</f>
        <v>86.234399999999994</v>
      </c>
      <c r="Q278" s="69">
        <f>(86020/10000)*8.7</f>
        <v>74.837400000000002</v>
      </c>
      <c r="R278" s="69">
        <f t="shared" si="126"/>
        <v>11.396999999999991</v>
      </c>
      <c r="S278" s="435">
        <f t="shared" si="118"/>
        <v>0.17012987012987002</v>
      </c>
      <c r="T278" s="435">
        <f t="shared" si="119"/>
        <v>0.17413292589763163</v>
      </c>
      <c r="U278" s="69"/>
      <c r="V278" s="436"/>
      <c r="W278" s="437"/>
      <c r="X278" s="33">
        <v>2.64</v>
      </c>
      <c r="Y278" s="33">
        <f t="shared" si="139"/>
        <v>203280</v>
      </c>
      <c r="Z278" s="33"/>
      <c r="AA278" s="33"/>
      <c r="AB278" s="438"/>
      <c r="AC278" s="33"/>
    </row>
    <row r="279" spans="1:29" x14ac:dyDescent="0.3">
      <c r="A279" s="682">
        <v>44518.833333333336</v>
      </c>
      <c r="B279" s="439">
        <v>44521.513888888891</v>
      </c>
      <c r="C279" s="23"/>
      <c r="D279" s="23"/>
      <c r="E279" s="35" t="s">
        <v>987</v>
      </c>
      <c r="F279" s="25" t="s">
        <v>328</v>
      </c>
      <c r="G279" s="433">
        <f>94293</f>
        <v>94293</v>
      </c>
      <c r="H279" s="433"/>
      <c r="I279" s="433">
        <v>95603</v>
      </c>
      <c r="J279" s="26">
        <f t="shared" si="138"/>
        <v>-1310</v>
      </c>
      <c r="K279" s="636">
        <f t="shared" si="134"/>
        <v>2.6805555555547471</v>
      </c>
      <c r="L279" s="27">
        <f>'[255]CEMTEX ORIENT'!$F$145</f>
        <v>1.5937500000060634</v>
      </c>
      <c r="M279" s="434">
        <f t="shared" si="140"/>
        <v>35176.663212445841</v>
      </c>
      <c r="N279" s="434">
        <f t="shared" si="135"/>
        <v>59164.235293892561</v>
      </c>
      <c r="O279" s="434">
        <v>30000</v>
      </c>
      <c r="P279" s="69">
        <f>(80540/10000)*8.7</f>
        <v>70.069800000000001</v>
      </c>
      <c r="Q279" s="69">
        <f>(67350/10000)*8.7</f>
        <v>58.594499999999996</v>
      </c>
      <c r="R279" s="69">
        <f t="shared" si="126"/>
        <v>11.475300000000004</v>
      </c>
      <c r="S279" s="435">
        <f t="shared" si="118"/>
        <v>0.13988313024296614</v>
      </c>
      <c r="T279" s="435">
        <f t="shared" si="119"/>
        <v>0.14317449801338888</v>
      </c>
      <c r="U279" s="69"/>
      <c r="V279" s="436"/>
      <c r="W279" s="437"/>
      <c r="X279" s="33">
        <v>2.64</v>
      </c>
      <c r="Y279" s="33">
        <f t="shared" si="139"/>
        <v>248933.52000000002</v>
      </c>
      <c r="Z279" s="33"/>
      <c r="AA279" s="33"/>
      <c r="AB279" s="438"/>
      <c r="AC279" s="33"/>
    </row>
    <row r="280" spans="1:29" x14ac:dyDescent="0.3">
      <c r="A280" s="682">
        <v>44525.888888888891</v>
      </c>
      <c r="B280" s="439">
        <v>44528.666666666664</v>
      </c>
      <c r="E280" s="35" t="s">
        <v>887</v>
      </c>
      <c r="F280" s="25" t="s">
        <v>328</v>
      </c>
      <c r="G280" s="433">
        <v>67008</v>
      </c>
      <c r="H280" s="433"/>
      <c r="I280" s="433">
        <v>67000</v>
      </c>
      <c r="J280" s="26">
        <f>G280-I280</f>
        <v>8</v>
      </c>
      <c r="K280" s="636">
        <f t="shared" si="134"/>
        <v>2.7777777777737356</v>
      </c>
      <c r="L280" s="27">
        <f>'[255]ANDHIKA ATHALIA'!$F$173</f>
        <v>1.1076388889002071</v>
      </c>
      <c r="M280" s="434">
        <f t="shared" si="140"/>
        <v>24122.880000035104</v>
      </c>
      <c r="N280" s="434">
        <f>(G280)/L280</f>
        <v>60496.25078308089</v>
      </c>
      <c r="O280" s="434">
        <v>30000</v>
      </c>
      <c r="P280" s="69">
        <f>((60950+123150)/10000)*8.7</f>
        <v>160.167</v>
      </c>
      <c r="Q280" s="69">
        <f>(171660/10000)*8.7</f>
        <v>149.3442</v>
      </c>
      <c r="R280" s="69">
        <f t="shared" si="126"/>
        <v>10.822800000000001</v>
      </c>
      <c r="S280" s="435">
        <f t="shared" si="118"/>
        <v>0.18564947468958934</v>
      </c>
      <c r="T280" s="435">
        <f t="shared" si="119"/>
        <v>0.19001769762346202</v>
      </c>
      <c r="X280" s="33">
        <v>2.64</v>
      </c>
      <c r="Y280" s="33">
        <f t="shared" si="139"/>
        <v>176901.12</v>
      </c>
      <c r="AC280" s="3"/>
    </row>
    <row r="281" spans="1:29" x14ac:dyDescent="0.3">
      <c r="A281" s="682">
        <v>44538.791666666664</v>
      </c>
      <c r="B281" s="439">
        <v>44541.888888888891</v>
      </c>
      <c r="C281" s="23"/>
      <c r="D281" s="23"/>
      <c r="E281" s="35" t="s">
        <v>120</v>
      </c>
      <c r="F281" s="25" t="s">
        <v>32</v>
      </c>
      <c r="G281" s="433">
        <f>90002</f>
        <v>90002</v>
      </c>
      <c r="H281" s="433"/>
      <c r="I281" s="433">
        <v>90000</v>
      </c>
      <c r="J281" s="26">
        <f t="shared" si="138"/>
        <v>2</v>
      </c>
      <c r="K281" s="636">
        <f t="shared" si="134"/>
        <v>3.0972222222262644</v>
      </c>
      <c r="L281" s="27">
        <f>'[256]TAIPOWER PROSPERITY VI'!$F$152</f>
        <v>1.6545138888820172</v>
      </c>
      <c r="M281" s="434">
        <f t="shared" si="140"/>
        <v>29058.941703997949</v>
      </c>
      <c r="N281" s="434">
        <f t="shared" si="135"/>
        <v>54397.850997077978</v>
      </c>
      <c r="O281" s="434">
        <v>30000</v>
      </c>
      <c r="P281" s="69">
        <f>(156510/10000)*8.7</f>
        <v>136.16369999999998</v>
      </c>
      <c r="Q281" s="69">
        <f>(141620/10000)*8.7</f>
        <v>123.2094</v>
      </c>
      <c r="R281" s="69">
        <f t="shared" si="126"/>
        <v>12.954299999999975</v>
      </c>
      <c r="S281" s="435">
        <f t="shared" si="118"/>
        <v>0.16544076798293342</v>
      </c>
      <c r="T281" s="435">
        <f t="shared" si="119"/>
        <v>0.16933349193547301</v>
      </c>
      <c r="U281" s="69"/>
      <c r="V281" s="436"/>
      <c r="W281" s="437"/>
      <c r="X281" s="33">
        <v>2.64</v>
      </c>
      <c r="Y281" s="33">
        <f t="shared" ref="Y281:Y284" si="141">G281*X281</f>
        <v>237605.28</v>
      </c>
      <c r="Z281" s="33"/>
      <c r="AA281" s="33"/>
      <c r="AB281" s="438"/>
      <c r="AC281" s="33"/>
    </row>
    <row r="282" spans="1:29" x14ac:dyDescent="0.3">
      <c r="A282" s="682">
        <v>44543.975694444445</v>
      </c>
      <c r="B282" s="439">
        <v>44548.229166666664</v>
      </c>
      <c r="C282" s="23"/>
      <c r="D282" s="23"/>
      <c r="E282" s="35" t="s">
        <v>988</v>
      </c>
      <c r="F282" s="25" t="s">
        <v>328</v>
      </c>
      <c r="G282" s="433">
        <f>79600</f>
        <v>79600</v>
      </c>
      <c r="H282" s="433"/>
      <c r="I282" s="433">
        <v>78770</v>
      </c>
      <c r="J282" s="26">
        <f t="shared" si="138"/>
        <v>830</v>
      </c>
      <c r="K282" s="636">
        <f t="shared" si="134"/>
        <v>4.2534722222189885</v>
      </c>
      <c r="L282" s="27">
        <f>'[256]NURI BEY'!$F$138</f>
        <v>1.3732638888856552</v>
      </c>
      <c r="M282" s="434">
        <f t="shared" si="140"/>
        <v>18714.122448993821</v>
      </c>
      <c r="N282" s="434">
        <f t="shared" si="135"/>
        <v>57964.09608104673</v>
      </c>
      <c r="O282" s="434">
        <v>30000</v>
      </c>
      <c r="P282" s="69">
        <f>(138500/10000)*8.7</f>
        <v>120.49499999999999</v>
      </c>
      <c r="Q282" s="69">
        <f>(122460/10000)*8.7</f>
        <v>106.5402</v>
      </c>
      <c r="R282" s="69">
        <f t="shared" si="126"/>
        <v>13.954799999999992</v>
      </c>
      <c r="S282" s="435">
        <f t="shared" si="118"/>
        <v>0.20150753768844212</v>
      </c>
      <c r="T282" s="435">
        <f t="shared" si="119"/>
        <v>0.20624889151640541</v>
      </c>
      <c r="U282" s="435"/>
      <c r="V282" s="436"/>
      <c r="W282" s="437"/>
      <c r="X282" s="33">
        <v>2.64</v>
      </c>
      <c r="Y282" s="33">
        <f t="shared" si="141"/>
        <v>210144</v>
      </c>
      <c r="Z282" s="33"/>
      <c r="AA282" s="33"/>
      <c r="AB282" s="438"/>
      <c r="AC282" s="33"/>
    </row>
    <row r="283" spans="1:29" x14ac:dyDescent="0.3">
      <c r="A283" s="682">
        <v>44548.840277777781</v>
      </c>
      <c r="B283" s="439">
        <v>44551.503472222219</v>
      </c>
      <c r="C283" s="23"/>
      <c r="D283" s="23"/>
      <c r="E283" s="35" t="s">
        <v>989</v>
      </c>
      <c r="F283" s="25" t="s">
        <v>328</v>
      </c>
      <c r="G283" s="433">
        <f>77600</f>
        <v>77600</v>
      </c>
      <c r="H283" s="433"/>
      <c r="I283" s="433">
        <v>77535</v>
      </c>
      <c r="J283" s="26">
        <f t="shared" si="138"/>
        <v>65</v>
      </c>
      <c r="K283" s="636">
        <f t="shared" si="134"/>
        <v>2.6631944444379769</v>
      </c>
      <c r="L283" s="27">
        <f>'[256]GOLDEN ENTERPRISE'!$F$133</f>
        <v>1.3506944444367643</v>
      </c>
      <c r="M283" s="434">
        <f t="shared" si="140"/>
        <v>29137.940026146382</v>
      </c>
      <c r="N283" s="434">
        <f t="shared" si="135"/>
        <v>57451.928020892228</v>
      </c>
      <c r="O283" s="434">
        <v>30000</v>
      </c>
      <c r="P283" s="69">
        <f>(121580/10000)*8.7</f>
        <v>105.77459999999999</v>
      </c>
      <c r="Q283" s="69">
        <f>(107910/10000)*8.7</f>
        <v>93.881699999999995</v>
      </c>
      <c r="R283" s="69">
        <f t="shared" si="126"/>
        <v>11.892899999999997</v>
      </c>
      <c r="S283" s="435">
        <f t="shared" ref="S283:S284" si="142">R283/8.7*10000/(G283)</f>
        <v>0.17615979381443297</v>
      </c>
      <c r="T283" s="435">
        <f t="shared" ref="T283:T284" si="143">R283/8.5*10000/(G283)</f>
        <v>0.18030473013947843</v>
      </c>
      <c r="U283" s="435"/>
      <c r="V283" s="436"/>
      <c r="W283" s="437"/>
      <c r="X283" s="33">
        <v>2.64</v>
      </c>
      <c r="Y283" s="33">
        <f t="shared" si="141"/>
        <v>204864</v>
      </c>
      <c r="Z283" s="33"/>
      <c r="AA283" s="33"/>
      <c r="AB283" s="438"/>
      <c r="AC283" s="33"/>
    </row>
    <row r="284" spans="1:29" x14ac:dyDescent="0.3">
      <c r="A284" s="682">
        <v>44552.020833333336</v>
      </c>
      <c r="B284" s="439">
        <v>44557.118055555555</v>
      </c>
      <c r="C284" s="23"/>
      <c r="D284" s="23"/>
      <c r="E284" s="35" t="s">
        <v>783</v>
      </c>
      <c r="F284" s="25" t="s">
        <v>328</v>
      </c>
      <c r="G284" s="433">
        <f>88000</f>
        <v>88000</v>
      </c>
      <c r="H284" s="433"/>
      <c r="I284" s="433">
        <v>38754</v>
      </c>
      <c r="J284" s="26">
        <f t="shared" si="138"/>
        <v>49246</v>
      </c>
      <c r="K284" s="636">
        <f t="shared" si="134"/>
        <v>5.0972222222189885</v>
      </c>
      <c r="L284" s="27">
        <f>'[256]W-PEARL'!$F$141</f>
        <v>1.5538194444112985</v>
      </c>
      <c r="M284" s="434">
        <f>(G284)/K284</f>
        <v>17264.305177122671</v>
      </c>
      <c r="N284" s="434">
        <f t="shared" si="135"/>
        <v>56634.636872716503</v>
      </c>
      <c r="O284" s="434">
        <v>30000</v>
      </c>
      <c r="P284" s="69">
        <f>(107220/10000)*8.7</f>
        <v>93.281399999999991</v>
      </c>
      <c r="Q284" s="69">
        <f>(88380/10000)*8.7</f>
        <v>76.890599999999992</v>
      </c>
      <c r="R284" s="69">
        <f t="shared" si="126"/>
        <v>16.390799999999999</v>
      </c>
      <c r="S284" s="435">
        <f t="shared" si="142"/>
        <v>0.21409090909090908</v>
      </c>
      <c r="T284" s="435">
        <f t="shared" si="143"/>
        <v>0.21912834224598926</v>
      </c>
      <c r="U284" s="435"/>
      <c r="V284" s="436"/>
      <c r="W284" s="437"/>
      <c r="X284" s="33">
        <v>2.64</v>
      </c>
      <c r="Y284" s="33">
        <f t="shared" si="141"/>
        <v>232320</v>
      </c>
      <c r="Z284" s="33"/>
      <c r="AA284" s="33"/>
      <c r="AB284" s="438"/>
      <c r="AC284" s="33"/>
    </row>
    <row r="285" spans="1:29" x14ac:dyDescent="0.3">
      <c r="A285" s="689">
        <v>44560.145833333336</v>
      </c>
      <c r="B285" s="689">
        <v>44564.354166666664</v>
      </c>
      <c r="C285" s="50"/>
      <c r="D285" s="676"/>
      <c r="E285" s="35" t="s">
        <v>1119</v>
      </c>
      <c r="F285" s="25" t="s">
        <v>328</v>
      </c>
      <c r="G285" s="433">
        <v>70310</v>
      </c>
      <c r="H285" s="433"/>
      <c r="I285" s="433">
        <v>70310</v>
      </c>
      <c r="J285" s="26">
        <f>G285-I285</f>
        <v>0</v>
      </c>
      <c r="K285" s="636">
        <f t="shared" si="134"/>
        <v>4.2083333333284827</v>
      </c>
      <c r="L285" s="565">
        <f>'[257]YIN XING HU'!$F$114</f>
        <v>1.326388888914759</v>
      </c>
      <c r="M285" s="434">
        <f>(G285)/K285</f>
        <v>16707.326732692523</v>
      </c>
      <c r="N285" s="434">
        <f>(G285)/L285</f>
        <v>53008.586386400668</v>
      </c>
      <c r="O285" s="434">
        <v>30000</v>
      </c>
      <c r="P285" s="648">
        <v>84610</v>
      </c>
      <c r="Q285" s="648">
        <v>70360</v>
      </c>
      <c r="R285" s="648">
        <f t="shared" si="126"/>
        <v>14250</v>
      </c>
      <c r="S285" s="435">
        <f>R285/(G285)</f>
        <v>0.20267387284881241</v>
      </c>
      <c r="T285" s="435">
        <f>R285/(G285)</f>
        <v>0.20267387284881241</v>
      </c>
      <c r="U285" s="675"/>
      <c r="V285" s="443"/>
      <c r="W285" s="32"/>
      <c r="X285" s="54">
        <v>2.64</v>
      </c>
      <c r="Y285" s="54">
        <f>G285*X285</f>
        <v>185618.40000000002</v>
      </c>
      <c r="Z285" s="33"/>
      <c r="AA285" s="33"/>
      <c r="AB285" s="438"/>
      <c r="AC285" s="33"/>
    </row>
    <row r="286" spans="1:29" x14ac:dyDescent="0.3">
      <c r="A286" s="689">
        <v>44581.743055555555</v>
      </c>
      <c r="B286" s="689">
        <v>44584.0625</v>
      </c>
      <c r="C286" s="50"/>
      <c r="D286" s="676"/>
      <c r="E286" s="35" t="s">
        <v>1120</v>
      </c>
      <c r="F286" s="36" t="s">
        <v>328</v>
      </c>
      <c r="G286" s="433">
        <f>77000</f>
        <v>77000</v>
      </c>
      <c r="H286" s="433"/>
      <c r="I286" s="433">
        <v>77000</v>
      </c>
      <c r="J286" s="26">
        <f t="shared" ref="J286:J301" si="144">G286-I286</f>
        <v>0</v>
      </c>
      <c r="K286" s="636">
        <f t="shared" si="134"/>
        <v>2.3194444444452529</v>
      </c>
      <c r="L286" s="565">
        <f>'[257]HUI XIN 8'!$F$107</f>
        <v>1.3003472222177759</v>
      </c>
      <c r="M286" s="434">
        <f t="shared" ref="M286:M349" si="145">(G286)/K286</f>
        <v>33197.604790407589</v>
      </c>
      <c r="N286" s="434">
        <f t="shared" ref="N286:N349" si="146">(G286)/L286</f>
        <v>59214.953271230515</v>
      </c>
      <c r="O286" s="434">
        <v>30000</v>
      </c>
      <c r="P286" s="648">
        <v>166310</v>
      </c>
      <c r="Q286" s="648">
        <v>154340</v>
      </c>
      <c r="R286" s="648">
        <f t="shared" si="126"/>
        <v>11970</v>
      </c>
      <c r="S286" s="435">
        <f t="shared" ref="S286:S349" si="147">R286/(G286)</f>
        <v>0.15545454545454546</v>
      </c>
      <c r="T286" s="435">
        <f t="shared" ref="T286:T349" si="148">R286/(G286)</f>
        <v>0.15545454545454546</v>
      </c>
      <c r="U286" s="675"/>
      <c r="V286" s="31"/>
      <c r="W286" s="32"/>
      <c r="X286" s="54">
        <v>2.64</v>
      </c>
      <c r="Y286" s="54">
        <f t="shared" ref="Y286:Y288" si="149">G286*X286</f>
        <v>203280</v>
      </c>
      <c r="Z286" s="33"/>
      <c r="AA286" s="33"/>
      <c r="AB286" s="438"/>
      <c r="AC286" s="33"/>
    </row>
    <row r="287" spans="1:29" x14ac:dyDescent="0.3">
      <c r="A287" s="678">
        <v>44584.604166666664</v>
      </c>
      <c r="B287" s="678">
        <v>44586.722222222219</v>
      </c>
      <c r="C287" s="50"/>
      <c r="D287" s="50"/>
      <c r="E287" s="35" t="s">
        <v>1121</v>
      </c>
      <c r="F287" s="36" t="s">
        <v>328</v>
      </c>
      <c r="G287" s="433">
        <f>74951</f>
        <v>74951</v>
      </c>
      <c r="H287" s="433"/>
      <c r="I287" s="433">
        <v>74680</v>
      </c>
      <c r="J287" s="26">
        <f t="shared" si="144"/>
        <v>271</v>
      </c>
      <c r="K287" s="636">
        <f t="shared" si="134"/>
        <v>2.1180555555547471</v>
      </c>
      <c r="L287" s="565">
        <f>[257]SELINA!$F$120</f>
        <v>1.3038194444367643</v>
      </c>
      <c r="M287" s="434">
        <f t="shared" si="145"/>
        <v>35386.701639357772</v>
      </c>
      <c r="N287" s="434">
        <f t="shared" si="146"/>
        <v>57485.720373174838</v>
      </c>
      <c r="O287" s="434">
        <v>30000</v>
      </c>
      <c r="P287" s="648">
        <v>153272</v>
      </c>
      <c r="Q287" s="648">
        <v>142252</v>
      </c>
      <c r="R287" s="648">
        <f t="shared" si="126"/>
        <v>11020</v>
      </c>
      <c r="S287" s="435">
        <f t="shared" si="147"/>
        <v>0.14702939253645717</v>
      </c>
      <c r="T287" s="435">
        <f t="shared" si="148"/>
        <v>0.14702939253645717</v>
      </c>
      <c r="U287" s="675"/>
      <c r="V287" s="443"/>
      <c r="W287" s="677"/>
      <c r="X287" s="54">
        <v>2.64</v>
      </c>
      <c r="Y287" s="54">
        <f t="shared" si="149"/>
        <v>197870.64</v>
      </c>
      <c r="Z287" s="33"/>
      <c r="AA287" s="33"/>
      <c r="AB287" s="438"/>
      <c r="AC287" s="33"/>
    </row>
    <row r="288" spans="1:29" x14ac:dyDescent="0.3">
      <c r="A288" s="678">
        <v>44587.868055555555</v>
      </c>
      <c r="B288" s="678">
        <v>44592.208333333336</v>
      </c>
      <c r="C288" s="50"/>
      <c r="D288" s="50"/>
      <c r="E288" s="35" t="s">
        <v>973</v>
      </c>
      <c r="F288" s="36" t="s">
        <v>328</v>
      </c>
      <c r="G288" s="433">
        <f>90900</f>
        <v>90900</v>
      </c>
      <c r="H288" s="433"/>
      <c r="I288" s="433">
        <v>90900</v>
      </c>
      <c r="J288" s="26">
        <f t="shared" si="144"/>
        <v>0</v>
      </c>
      <c r="K288" s="636">
        <f t="shared" si="134"/>
        <v>4.3402777777810115</v>
      </c>
      <c r="L288" s="565">
        <f>'[257]JUPITER N'!$F$136</f>
        <v>2.8645833333563742</v>
      </c>
      <c r="M288" s="434">
        <f t="shared" si="145"/>
        <v>20943.359999984397</v>
      </c>
      <c r="N288" s="434">
        <f t="shared" si="146"/>
        <v>31732.363636108403</v>
      </c>
      <c r="O288" s="434">
        <v>30000</v>
      </c>
      <c r="P288" s="648">
        <v>140562</v>
      </c>
      <c r="Q288" s="648">
        <v>122507</v>
      </c>
      <c r="R288" s="648">
        <f t="shared" si="126"/>
        <v>18055</v>
      </c>
      <c r="S288" s="435">
        <f t="shared" si="147"/>
        <v>0.19862486248624864</v>
      </c>
      <c r="T288" s="435">
        <f t="shared" si="148"/>
        <v>0.19862486248624864</v>
      </c>
      <c r="U288" s="675"/>
      <c r="V288" s="443"/>
      <c r="W288" s="677"/>
      <c r="X288" s="54">
        <v>2.64</v>
      </c>
      <c r="Y288" s="54">
        <f t="shared" si="149"/>
        <v>239976</v>
      </c>
      <c r="Z288" s="33"/>
      <c r="AA288" s="33"/>
      <c r="AB288" s="438"/>
      <c r="AC288" s="33"/>
    </row>
    <row r="289" spans="1:29" x14ac:dyDescent="0.3">
      <c r="A289" s="678">
        <v>44592.430555555555</v>
      </c>
      <c r="B289" s="678">
        <v>44594.902777777781</v>
      </c>
      <c r="C289" s="50"/>
      <c r="D289" s="50"/>
      <c r="E289" s="35" t="s">
        <v>205</v>
      </c>
      <c r="F289" s="36" t="s">
        <v>32</v>
      </c>
      <c r="G289" s="433">
        <v>90024</v>
      </c>
      <c r="H289" s="433"/>
      <c r="I289" s="433">
        <v>90000</v>
      </c>
      <c r="J289" s="26">
        <f t="shared" si="144"/>
        <v>24</v>
      </c>
      <c r="K289" s="636">
        <f t="shared" si="134"/>
        <v>2.4722222222262644</v>
      </c>
      <c r="L289" s="565">
        <f>'[258]TAIPOWER PROSPERITY V'!$F$138</f>
        <v>1.5086805555608105</v>
      </c>
      <c r="M289" s="434">
        <f t="shared" si="145"/>
        <v>36414.20224713147</v>
      </c>
      <c r="N289" s="434">
        <f t="shared" si="146"/>
        <v>59670.683544095955</v>
      </c>
      <c r="O289" s="434">
        <v>30000</v>
      </c>
      <c r="P289" s="648">
        <v>122312</v>
      </c>
      <c r="Q289" s="648">
        <v>109352</v>
      </c>
      <c r="R289" s="648">
        <f t="shared" si="126"/>
        <v>12960</v>
      </c>
      <c r="S289" s="435">
        <f t="shared" si="147"/>
        <v>0.14396161023727005</v>
      </c>
      <c r="T289" s="435">
        <f t="shared" si="148"/>
        <v>0.14396161023727005</v>
      </c>
      <c r="U289" s="675"/>
      <c r="V289" s="443"/>
      <c r="W289" s="32"/>
      <c r="X289" s="54">
        <v>2.64</v>
      </c>
      <c r="Y289" s="54">
        <f t="shared" ref="Y289:Y294" si="150">G289*X289</f>
        <v>237663.36000000002</v>
      </c>
      <c r="Z289" s="33"/>
      <c r="AA289" s="33"/>
      <c r="AB289" s="438"/>
      <c r="AC289" s="33"/>
    </row>
    <row r="290" spans="1:29" x14ac:dyDescent="0.3">
      <c r="A290" s="689">
        <v>44595.128472222219</v>
      </c>
      <c r="B290" s="689">
        <v>44597.875</v>
      </c>
      <c r="C290" s="50"/>
      <c r="D290" s="676"/>
      <c r="E290" s="35" t="s">
        <v>507</v>
      </c>
      <c r="F290" s="36" t="s">
        <v>328</v>
      </c>
      <c r="G290" s="433">
        <v>83505</v>
      </c>
      <c r="H290" s="433"/>
      <c r="I290" s="433">
        <v>83500</v>
      </c>
      <c r="J290" s="26">
        <f t="shared" si="144"/>
        <v>5</v>
      </c>
      <c r="K290" s="636">
        <f t="shared" si="134"/>
        <v>2.7465277777810115</v>
      </c>
      <c r="L290" s="565">
        <f>'[258]CEMTEX HUNTER'!$F$136</f>
        <v>1.5625000000060634</v>
      </c>
      <c r="M290" s="434">
        <f t="shared" si="145"/>
        <v>30403.84323637381</v>
      </c>
      <c r="N290" s="434">
        <f t="shared" si="146"/>
        <v>53443.19999979261</v>
      </c>
      <c r="O290" s="434">
        <v>30000</v>
      </c>
      <c r="P290" s="648">
        <v>109092</v>
      </c>
      <c r="Q290" s="648">
        <v>94934</v>
      </c>
      <c r="R290" s="648">
        <f t="shared" si="126"/>
        <v>14158</v>
      </c>
      <c r="S290" s="435">
        <f t="shared" si="147"/>
        <v>0.16954673372851925</v>
      </c>
      <c r="T290" s="435">
        <f t="shared" si="148"/>
        <v>0.16954673372851925</v>
      </c>
      <c r="U290" s="675"/>
      <c r="V290" s="31"/>
      <c r="W290" s="32"/>
      <c r="X290" s="54">
        <v>2.64</v>
      </c>
      <c r="Y290" s="54">
        <f t="shared" si="150"/>
        <v>220453.2</v>
      </c>
      <c r="Z290" s="33"/>
      <c r="AA290" s="33"/>
      <c r="AB290" s="438"/>
      <c r="AC290" s="33"/>
    </row>
    <row r="291" spans="1:29" x14ac:dyDescent="0.3">
      <c r="A291" s="689">
        <v>44601.243055555555</v>
      </c>
      <c r="B291" s="678">
        <v>44603.791666666664</v>
      </c>
      <c r="C291" s="50"/>
      <c r="D291" s="50"/>
      <c r="E291" s="35" t="s">
        <v>1122</v>
      </c>
      <c r="F291" s="36" t="s">
        <v>328</v>
      </c>
      <c r="G291" s="433">
        <v>88000</v>
      </c>
      <c r="H291" s="433"/>
      <c r="I291" s="433">
        <v>88000</v>
      </c>
      <c r="J291" s="26">
        <f t="shared" si="144"/>
        <v>0</v>
      </c>
      <c r="K291" s="636">
        <f t="shared" si="134"/>
        <v>2.5486111111094942</v>
      </c>
      <c r="L291" s="565">
        <f>'[258]KMAX RULER'!$F$131</f>
        <v>1.4600694444476783</v>
      </c>
      <c r="M291" s="434">
        <f t="shared" si="145"/>
        <v>34528.610354245342</v>
      </c>
      <c r="N291" s="434">
        <f t="shared" si="146"/>
        <v>60271.105826263658</v>
      </c>
      <c r="O291" s="434">
        <v>30000</v>
      </c>
      <c r="P291" s="648">
        <v>90260</v>
      </c>
      <c r="Q291" s="648">
        <v>76252</v>
      </c>
      <c r="R291" s="648">
        <f t="shared" si="126"/>
        <v>14008</v>
      </c>
      <c r="S291" s="435">
        <f t="shared" si="147"/>
        <v>0.15918181818181817</v>
      </c>
      <c r="T291" s="435">
        <f t="shared" si="148"/>
        <v>0.15918181818181817</v>
      </c>
      <c r="U291" s="69"/>
      <c r="V291" s="443"/>
      <c r="W291" s="677"/>
      <c r="X291" s="54">
        <v>2.64</v>
      </c>
      <c r="Y291" s="54">
        <f t="shared" si="150"/>
        <v>232320</v>
      </c>
      <c r="Z291" s="33"/>
      <c r="AA291" s="33"/>
      <c r="AB291" s="438"/>
      <c r="AC291" s="33"/>
    </row>
    <row r="292" spans="1:29" x14ac:dyDescent="0.3">
      <c r="A292" s="689">
        <v>44607.902777777781</v>
      </c>
      <c r="B292" s="689">
        <v>44610.28125</v>
      </c>
      <c r="C292" s="50"/>
      <c r="D292" s="50"/>
      <c r="E292" s="35" t="s">
        <v>1123</v>
      </c>
      <c r="F292" s="36" t="s">
        <v>328</v>
      </c>
      <c r="G292" s="433">
        <f>73850</f>
        <v>73850</v>
      </c>
      <c r="H292" s="433"/>
      <c r="I292" s="433">
        <v>73850</v>
      </c>
      <c r="J292" s="26">
        <f t="shared" si="144"/>
        <v>0</v>
      </c>
      <c r="K292" s="636">
        <f t="shared" si="134"/>
        <v>2.3784722222189885</v>
      </c>
      <c r="L292" s="565">
        <f>[258]GLEAMSTAR!$F$128</f>
        <v>1.2274305555389826</v>
      </c>
      <c r="M292" s="434">
        <f t="shared" si="145"/>
        <v>31049.343065735644</v>
      </c>
      <c r="N292" s="434">
        <f t="shared" si="146"/>
        <v>60166.336634475738</v>
      </c>
      <c r="O292" s="434">
        <v>30000</v>
      </c>
      <c r="P292" s="648">
        <v>70000</v>
      </c>
      <c r="Q292" s="648">
        <v>57551</v>
      </c>
      <c r="R292" s="648">
        <f t="shared" si="126"/>
        <v>12449</v>
      </c>
      <c r="S292" s="435">
        <f t="shared" si="147"/>
        <v>0.16857142857142857</v>
      </c>
      <c r="T292" s="435">
        <f t="shared" si="148"/>
        <v>0.16857142857142857</v>
      </c>
      <c r="U292" s="675"/>
      <c r="V292" s="443"/>
      <c r="W292" s="677"/>
      <c r="X292" s="54">
        <v>2.64</v>
      </c>
      <c r="Y292" s="54">
        <f t="shared" si="150"/>
        <v>194964</v>
      </c>
      <c r="Z292" s="33"/>
      <c r="AA292" s="33"/>
      <c r="AB292" s="438"/>
      <c r="AC292" s="33"/>
    </row>
    <row r="293" spans="1:29" x14ac:dyDescent="0.3">
      <c r="A293" s="689">
        <v>44612.923611111109</v>
      </c>
      <c r="B293" s="689">
        <v>44614.743055555555</v>
      </c>
      <c r="C293" s="50"/>
      <c r="D293" s="50"/>
      <c r="E293" s="35" t="s">
        <v>133</v>
      </c>
      <c r="F293" s="36" t="s">
        <v>328</v>
      </c>
      <c r="G293" s="433">
        <f>66000</f>
        <v>66000</v>
      </c>
      <c r="H293" s="433"/>
      <c r="I293" s="433">
        <v>66000</v>
      </c>
      <c r="J293" s="26">
        <f t="shared" si="144"/>
        <v>0</v>
      </c>
      <c r="K293" s="636">
        <f t="shared" si="134"/>
        <v>1.8194444444452529</v>
      </c>
      <c r="L293" s="565">
        <f>'[258]YUE DIAN 82'!$F$110</f>
        <v>1.1041666666703047</v>
      </c>
      <c r="M293" s="434">
        <f t="shared" si="145"/>
        <v>36274.809160289224</v>
      </c>
      <c r="N293" s="434">
        <f t="shared" si="146"/>
        <v>59773.584905463431</v>
      </c>
      <c r="O293" s="434">
        <v>30000</v>
      </c>
      <c r="P293" s="648">
        <v>52525</v>
      </c>
      <c r="Q293" s="648">
        <v>44285</v>
      </c>
      <c r="R293" s="648">
        <f t="shared" si="126"/>
        <v>8240</v>
      </c>
      <c r="S293" s="435">
        <f t="shared" si="147"/>
        <v>0.12484848484848485</v>
      </c>
      <c r="T293" s="435">
        <f t="shared" si="148"/>
        <v>0.12484848484848485</v>
      </c>
      <c r="U293" s="675"/>
      <c r="V293" s="443"/>
      <c r="W293" s="677"/>
      <c r="X293" s="54">
        <v>2.64</v>
      </c>
      <c r="Y293" s="54">
        <f t="shared" si="150"/>
        <v>174240</v>
      </c>
      <c r="Z293" s="33"/>
      <c r="AA293" s="33"/>
      <c r="AB293" s="438"/>
      <c r="AC293" s="33"/>
    </row>
    <row r="294" spans="1:29" x14ac:dyDescent="0.3">
      <c r="A294" s="689">
        <v>44615.055555555555</v>
      </c>
      <c r="B294" s="689">
        <v>44618.03125</v>
      </c>
      <c r="C294" s="50"/>
      <c r="D294" s="50"/>
      <c r="E294" s="35" t="s">
        <v>1124</v>
      </c>
      <c r="F294" s="36" t="s">
        <v>328</v>
      </c>
      <c r="G294" s="433">
        <f>71422</f>
        <v>71422</v>
      </c>
      <c r="H294" s="433"/>
      <c r="I294" s="433">
        <v>71112</v>
      </c>
      <c r="J294" s="26">
        <f t="shared" si="144"/>
        <v>310</v>
      </c>
      <c r="K294" s="636">
        <f t="shared" si="134"/>
        <v>2.9756944444452529</v>
      </c>
      <c r="L294" s="565">
        <f>[258]SIANA!$F$131</f>
        <v>1.1354166666812187</v>
      </c>
      <c r="M294" s="434">
        <f t="shared" si="145"/>
        <v>24001.792298709934</v>
      </c>
      <c r="N294" s="434">
        <f t="shared" si="146"/>
        <v>62903.779815707559</v>
      </c>
      <c r="O294" s="434">
        <v>30000</v>
      </c>
      <c r="P294" s="648">
        <f>43895+124482</f>
        <v>168377</v>
      </c>
      <c r="Q294" s="648">
        <v>155802</v>
      </c>
      <c r="R294" s="648">
        <f t="shared" si="126"/>
        <v>12575</v>
      </c>
      <c r="S294" s="435">
        <f t="shared" si="147"/>
        <v>0.17606619809022431</v>
      </c>
      <c r="T294" s="435">
        <f t="shared" si="148"/>
        <v>0.17606619809022431</v>
      </c>
      <c r="U294" s="675"/>
      <c r="V294" s="443"/>
      <c r="W294" s="677"/>
      <c r="X294" s="54">
        <v>2.64</v>
      </c>
      <c r="Y294" s="54">
        <f t="shared" si="150"/>
        <v>188554.08000000002</v>
      </c>
      <c r="Z294" s="33"/>
      <c r="AA294" s="33"/>
      <c r="AB294" s="438"/>
      <c r="AC294" s="33"/>
    </row>
    <row r="295" spans="1:29" x14ac:dyDescent="0.3">
      <c r="A295" s="689">
        <v>44619.729166666664</v>
      </c>
      <c r="B295" s="689">
        <v>44622.590277777781</v>
      </c>
      <c r="C295" s="50"/>
      <c r="D295" s="676"/>
      <c r="E295" s="35" t="s">
        <v>527</v>
      </c>
      <c r="F295" s="40" t="s">
        <v>328</v>
      </c>
      <c r="G295" s="433">
        <f>67003</f>
        <v>67003</v>
      </c>
      <c r="H295" s="433"/>
      <c r="I295" s="433">
        <v>67000</v>
      </c>
      <c r="J295" s="26">
        <f t="shared" si="144"/>
        <v>3</v>
      </c>
      <c r="K295" s="636">
        <f t="shared" si="134"/>
        <v>2.8611111111167702</v>
      </c>
      <c r="L295" s="565">
        <f>'[258]YUE DIAN 82'!$F$110</f>
        <v>1.1041666666703047</v>
      </c>
      <c r="M295" s="434">
        <f t="shared" si="145"/>
        <v>23418.524271798338</v>
      </c>
      <c r="N295" s="434">
        <f t="shared" si="146"/>
        <v>60681.962263951005</v>
      </c>
      <c r="O295" s="434">
        <v>30000</v>
      </c>
      <c r="P295" s="648">
        <v>153057</v>
      </c>
      <c r="Q295" s="648">
        <v>139929</v>
      </c>
      <c r="R295" s="648">
        <f t="shared" si="126"/>
        <v>13128</v>
      </c>
      <c r="S295" s="435">
        <f t="shared" si="147"/>
        <v>0.19593152545408415</v>
      </c>
      <c r="T295" s="435">
        <f t="shared" si="148"/>
        <v>0.19593152545408415</v>
      </c>
      <c r="U295" s="675"/>
      <c r="V295" s="443"/>
      <c r="W295" s="677"/>
      <c r="X295" s="54">
        <v>2.64</v>
      </c>
      <c r="Y295" s="54">
        <f t="shared" ref="Y295:Y301" si="151">G295*X295</f>
        <v>176887.92</v>
      </c>
      <c r="Z295" s="54"/>
      <c r="AA295" s="33"/>
      <c r="AB295" s="438"/>
      <c r="AC295" s="33"/>
    </row>
    <row r="296" spans="1:29" x14ac:dyDescent="0.3">
      <c r="A296" s="689">
        <v>44624.965277777781</v>
      </c>
      <c r="B296" s="689">
        <v>44627.618055555555</v>
      </c>
      <c r="C296" s="50"/>
      <c r="D296" s="676"/>
      <c r="E296" s="35" t="s">
        <v>714</v>
      </c>
      <c r="F296" s="36" t="s">
        <v>328</v>
      </c>
      <c r="G296" s="433">
        <f>88000</f>
        <v>88000</v>
      </c>
      <c r="H296" s="433"/>
      <c r="I296" s="433">
        <v>88000</v>
      </c>
      <c r="J296" s="26">
        <f t="shared" si="144"/>
        <v>0</v>
      </c>
      <c r="K296" s="636">
        <f t="shared" si="134"/>
        <v>2.6527777777737356</v>
      </c>
      <c r="L296" s="565">
        <f>'[259]OCEAN TREASURE'!$F$130</f>
        <v>1.4461805555244307</v>
      </c>
      <c r="M296" s="434">
        <f t="shared" si="145"/>
        <v>33172.774869160494</v>
      </c>
      <c r="N296" s="434">
        <f t="shared" si="146"/>
        <v>60849.939977300019</v>
      </c>
      <c r="O296" s="434">
        <v>30000</v>
      </c>
      <c r="P296" s="648">
        <v>136254</v>
      </c>
      <c r="Q296" s="648">
        <v>122634</v>
      </c>
      <c r="R296" s="648">
        <f t="shared" si="126"/>
        <v>13620</v>
      </c>
      <c r="S296" s="435">
        <f t="shared" si="147"/>
        <v>0.15477272727272728</v>
      </c>
      <c r="T296" s="435">
        <f t="shared" si="148"/>
        <v>0.15477272727272728</v>
      </c>
      <c r="U296" s="675"/>
      <c r="V296" s="443"/>
      <c r="W296" s="677"/>
      <c r="X296" s="54">
        <v>2.64</v>
      </c>
      <c r="Y296" s="54">
        <f t="shared" si="151"/>
        <v>232320</v>
      </c>
      <c r="Z296" s="54"/>
      <c r="AA296" s="33"/>
      <c r="AB296" s="438"/>
      <c r="AC296" s="33"/>
    </row>
    <row r="297" spans="1:29" x14ac:dyDescent="0.3">
      <c r="A297" s="689">
        <v>44628.0625</v>
      </c>
      <c r="B297" s="689">
        <v>44630.708333333336</v>
      </c>
      <c r="C297" s="50"/>
      <c r="D297" s="676"/>
      <c r="E297" s="35" t="s">
        <v>1125</v>
      </c>
      <c r="F297" s="36" t="s">
        <v>328</v>
      </c>
      <c r="G297" s="433">
        <f>75328</f>
        <v>75328</v>
      </c>
      <c r="H297" s="433"/>
      <c r="I297" s="433">
        <v>75328</v>
      </c>
      <c r="J297" s="26">
        <f t="shared" si="144"/>
        <v>0</v>
      </c>
      <c r="K297" s="636">
        <f t="shared" si="134"/>
        <v>2.6458333333357587</v>
      </c>
      <c r="L297" s="565">
        <f>'[259]G B CORRADO'!$F$116</f>
        <v>1.2586805555717244</v>
      </c>
      <c r="M297" s="434">
        <f t="shared" si="145"/>
        <v>28470.425196824297</v>
      </c>
      <c r="N297" s="434">
        <f t="shared" si="146"/>
        <v>59846.797240610525</v>
      </c>
      <c r="O297" s="434">
        <v>30000</v>
      </c>
      <c r="P297" s="648">
        <v>122123</v>
      </c>
      <c r="Q297" s="648">
        <v>109068</v>
      </c>
      <c r="R297" s="648">
        <f t="shared" si="126"/>
        <v>13055</v>
      </c>
      <c r="S297" s="435">
        <f t="shared" si="147"/>
        <v>0.1733087298215803</v>
      </c>
      <c r="T297" s="435">
        <f t="shared" si="148"/>
        <v>0.1733087298215803</v>
      </c>
      <c r="U297" s="675"/>
      <c r="V297" s="443"/>
      <c r="W297" s="32"/>
      <c r="X297" s="54">
        <v>2.64</v>
      </c>
      <c r="Y297" s="54">
        <f t="shared" si="151"/>
        <v>198865.92000000001</v>
      </c>
      <c r="Z297" s="54"/>
      <c r="AA297" s="33"/>
      <c r="AB297" s="438"/>
      <c r="AC297" s="33"/>
    </row>
    <row r="298" spans="1:29" x14ac:dyDescent="0.3">
      <c r="A298" s="689">
        <v>44630.958333333336</v>
      </c>
      <c r="B298" s="689">
        <v>44634.208333333336</v>
      </c>
      <c r="C298" s="50"/>
      <c r="D298" s="676"/>
      <c r="E298" s="35" t="s">
        <v>133</v>
      </c>
      <c r="F298" s="36" t="s">
        <v>328</v>
      </c>
      <c r="G298" s="433">
        <f>71200</f>
        <v>71200</v>
      </c>
      <c r="H298" s="433"/>
      <c r="I298" s="433">
        <v>71000</v>
      </c>
      <c r="J298" s="26">
        <f t="shared" si="144"/>
        <v>200</v>
      </c>
      <c r="K298" s="636">
        <f t="shared" ref="K298:K324" si="152">B298-A298</f>
        <v>3.25</v>
      </c>
      <c r="L298" s="565">
        <f>'[259]YUE DIAN 82'!$F$117</f>
        <v>1.177083333352736</v>
      </c>
      <c r="M298" s="434">
        <f t="shared" si="145"/>
        <v>21907.692307692309</v>
      </c>
      <c r="N298" s="434">
        <f t="shared" si="146"/>
        <v>60488.495574224165</v>
      </c>
      <c r="O298" s="434">
        <v>30000</v>
      </c>
      <c r="P298" s="648">
        <v>108808</v>
      </c>
      <c r="Q298" s="648">
        <v>96358</v>
      </c>
      <c r="R298" s="648">
        <f t="shared" si="126"/>
        <v>12450</v>
      </c>
      <c r="S298" s="435">
        <f t="shared" si="147"/>
        <v>0.17485955056179775</v>
      </c>
      <c r="T298" s="435">
        <f t="shared" si="148"/>
        <v>0.17485955056179775</v>
      </c>
      <c r="U298" s="675"/>
      <c r="V298" s="31"/>
      <c r="W298" s="32"/>
      <c r="X298" s="54">
        <v>2.64</v>
      </c>
      <c r="Y298" s="54">
        <f t="shared" si="151"/>
        <v>187968</v>
      </c>
      <c r="Z298" s="54"/>
      <c r="AA298" s="33"/>
      <c r="AB298" s="438"/>
      <c r="AC298" s="33"/>
    </row>
    <row r="299" spans="1:29" x14ac:dyDescent="0.3">
      <c r="A299" s="678">
        <v>44634.725694444445</v>
      </c>
      <c r="B299" s="678">
        <v>44638.402777777781</v>
      </c>
      <c r="C299" s="50"/>
      <c r="D299" s="50"/>
      <c r="E299" s="35" t="s">
        <v>1126</v>
      </c>
      <c r="F299" s="36" t="s">
        <v>328</v>
      </c>
      <c r="G299" s="433">
        <f>83500</f>
        <v>83500</v>
      </c>
      <c r="H299" s="433"/>
      <c r="I299" s="433">
        <v>83500</v>
      </c>
      <c r="J299" s="26">
        <f t="shared" si="144"/>
        <v>0</v>
      </c>
      <c r="K299" s="636">
        <f t="shared" si="152"/>
        <v>3.6770833333357587</v>
      </c>
      <c r="L299" s="565">
        <f>'[259]XIN DONG GUAN 12'!$F$116</f>
        <v>1.6927083333345461</v>
      </c>
      <c r="M299" s="434">
        <f t="shared" si="145"/>
        <v>22708.215297435447</v>
      </c>
      <c r="N299" s="434">
        <f t="shared" si="146"/>
        <v>49329.230769195427</v>
      </c>
      <c r="O299" s="434">
        <v>30000</v>
      </c>
      <c r="P299" s="648">
        <v>95708</v>
      </c>
      <c r="Q299" s="648">
        <v>79852</v>
      </c>
      <c r="R299" s="648">
        <f t="shared" si="126"/>
        <v>15856</v>
      </c>
      <c r="S299" s="435">
        <f t="shared" si="147"/>
        <v>0.18989221556886227</v>
      </c>
      <c r="T299" s="435">
        <f t="shared" si="148"/>
        <v>0.18989221556886227</v>
      </c>
      <c r="U299" s="675"/>
      <c r="V299" s="443"/>
      <c r="W299" s="677"/>
      <c r="X299" s="54">
        <v>2.64</v>
      </c>
      <c r="Y299" s="54">
        <f t="shared" si="151"/>
        <v>220440</v>
      </c>
      <c r="Z299" s="54"/>
      <c r="AA299" s="33"/>
      <c r="AB299" s="438"/>
      <c r="AC299" s="33"/>
    </row>
    <row r="300" spans="1:29" x14ac:dyDescent="0.3">
      <c r="A300" s="678">
        <v>44639.020833333336</v>
      </c>
      <c r="B300" s="678">
        <v>44644.083333333336</v>
      </c>
      <c r="C300" s="50"/>
      <c r="D300" s="50"/>
      <c r="E300" s="35" t="s">
        <v>1127</v>
      </c>
      <c r="F300" s="36" t="s">
        <v>328</v>
      </c>
      <c r="G300" s="433">
        <f>88000</f>
        <v>88000</v>
      </c>
      <c r="H300" s="433"/>
      <c r="I300" s="433">
        <v>88000</v>
      </c>
      <c r="J300" s="26">
        <f t="shared" si="144"/>
        <v>0</v>
      </c>
      <c r="K300" s="636">
        <f t="shared" si="152"/>
        <v>5.0625</v>
      </c>
      <c r="L300" s="565">
        <f>[259]FUXING!$F$139</f>
        <v>1.4999999999842355</v>
      </c>
      <c r="M300" s="434">
        <f t="shared" si="145"/>
        <v>17382.716049382718</v>
      </c>
      <c r="N300" s="434">
        <f t="shared" si="146"/>
        <v>58666.666667283236</v>
      </c>
      <c r="O300" s="434">
        <v>30000</v>
      </c>
      <c r="P300" s="648">
        <v>78942</v>
      </c>
      <c r="Q300" s="648">
        <v>60282</v>
      </c>
      <c r="R300" s="648">
        <f t="shared" si="126"/>
        <v>18660</v>
      </c>
      <c r="S300" s="435">
        <f t="shared" si="147"/>
        <v>0.21204545454545454</v>
      </c>
      <c r="T300" s="435">
        <f t="shared" si="148"/>
        <v>0.21204545454545454</v>
      </c>
      <c r="U300" s="675"/>
      <c r="V300" s="443"/>
      <c r="W300" s="677"/>
      <c r="X300" s="54">
        <v>2.64</v>
      </c>
      <c r="Y300" s="54">
        <f t="shared" si="151"/>
        <v>232320</v>
      </c>
      <c r="Z300" s="54"/>
      <c r="AA300" s="33"/>
      <c r="AB300" s="438"/>
      <c r="AC300" s="33"/>
    </row>
    <row r="301" spans="1:29" x14ac:dyDescent="0.3">
      <c r="A301" s="678">
        <v>44645.145833333336</v>
      </c>
      <c r="B301" s="678">
        <v>44649.083333333336</v>
      </c>
      <c r="C301" s="50"/>
      <c r="D301" s="50"/>
      <c r="E301" s="35" t="s">
        <v>524</v>
      </c>
      <c r="F301" s="36" t="s">
        <v>328</v>
      </c>
      <c r="G301" s="433">
        <v>67011</v>
      </c>
      <c r="H301" s="433"/>
      <c r="I301" s="433">
        <v>67000</v>
      </c>
      <c r="J301" s="26">
        <f t="shared" si="144"/>
        <v>11</v>
      </c>
      <c r="K301" s="636">
        <f t="shared" si="152"/>
        <v>3.9375</v>
      </c>
      <c r="L301" s="565">
        <f>'[259]KARTINI SAMUDRA'!$F$159</f>
        <v>0.74826388888201711</v>
      </c>
      <c r="M301" s="434">
        <f t="shared" si="145"/>
        <v>17018.666666666668</v>
      </c>
      <c r="N301" s="434">
        <f t="shared" si="146"/>
        <v>89555.303945137988</v>
      </c>
      <c r="O301" s="434">
        <v>30000</v>
      </c>
      <c r="P301" s="648">
        <v>182654</v>
      </c>
      <c r="Q301" s="648">
        <v>168834</v>
      </c>
      <c r="R301" s="648">
        <f t="shared" si="126"/>
        <v>13820</v>
      </c>
      <c r="S301" s="435">
        <f t="shared" si="147"/>
        <v>0.20623479727208965</v>
      </c>
      <c r="T301" s="435">
        <f t="shared" si="148"/>
        <v>0.20623479727208965</v>
      </c>
      <c r="U301" s="675"/>
      <c r="V301" s="443"/>
      <c r="W301" s="677"/>
      <c r="X301" s="54">
        <v>2.64</v>
      </c>
      <c r="Y301" s="54">
        <f t="shared" si="151"/>
        <v>176909.04</v>
      </c>
      <c r="Z301" s="54"/>
      <c r="AA301" s="33"/>
      <c r="AB301" s="438"/>
      <c r="AC301" s="33"/>
    </row>
    <row r="302" spans="1:29" x14ac:dyDescent="0.3">
      <c r="A302" s="678">
        <v>44652.916666666664</v>
      </c>
      <c r="B302" s="678">
        <v>44654.961805555555</v>
      </c>
      <c r="C302" s="50"/>
      <c r="D302" s="50"/>
      <c r="E302" s="35" t="s">
        <v>416</v>
      </c>
      <c r="F302" s="36" t="s">
        <v>328</v>
      </c>
      <c r="G302" s="433">
        <v>67800</v>
      </c>
      <c r="H302" s="433"/>
      <c r="I302" s="433">
        <v>67800</v>
      </c>
      <c r="J302" s="31">
        <f t="shared" ref="J302:J356" si="153">G302-I302</f>
        <v>0</v>
      </c>
      <c r="K302" s="636">
        <f t="shared" si="152"/>
        <v>2.0451388888905058</v>
      </c>
      <c r="L302" s="565">
        <f>'[260]RONG YUAN'!$F$117</f>
        <v>1.1631944444549542</v>
      </c>
      <c r="M302" s="434">
        <f t="shared" si="145"/>
        <v>33151.782682486526</v>
      </c>
      <c r="N302" s="434">
        <f t="shared" si="146"/>
        <v>58287.761193503204</v>
      </c>
      <c r="O302" s="434">
        <v>30000</v>
      </c>
      <c r="P302" s="648">
        <v>163252</v>
      </c>
      <c r="Q302" s="648">
        <v>152847</v>
      </c>
      <c r="R302" s="648">
        <f t="shared" si="126"/>
        <v>10405</v>
      </c>
      <c r="S302" s="435">
        <f t="shared" si="147"/>
        <v>0.15346607669616519</v>
      </c>
      <c r="T302" s="435">
        <f t="shared" si="148"/>
        <v>0.15346607669616519</v>
      </c>
      <c r="U302" s="675"/>
      <c r="V302" s="443"/>
      <c r="W302" s="677"/>
      <c r="X302" s="54">
        <v>2.64</v>
      </c>
      <c r="Y302" s="54">
        <f t="shared" ref="Y302:Y308" si="154">G302*X302</f>
        <v>178992</v>
      </c>
      <c r="Z302" s="54"/>
      <c r="AA302" s="33"/>
      <c r="AB302" s="438"/>
      <c r="AC302" s="33"/>
    </row>
    <row r="303" spans="1:29" x14ac:dyDescent="0.3">
      <c r="A303" s="678">
        <v>44657.111111111109</v>
      </c>
      <c r="B303" s="678">
        <v>44659.375</v>
      </c>
      <c r="C303" s="50"/>
      <c r="D303" s="50"/>
      <c r="E303" s="35" t="s">
        <v>970</v>
      </c>
      <c r="F303" s="36" t="s">
        <v>32</v>
      </c>
      <c r="G303" s="433">
        <v>51210</v>
      </c>
      <c r="H303" s="433"/>
      <c r="I303" s="433">
        <v>72400</v>
      </c>
      <c r="J303" s="31">
        <f t="shared" si="153"/>
        <v>-21190</v>
      </c>
      <c r="K303" s="636">
        <f t="shared" si="152"/>
        <v>2.2638888888905058</v>
      </c>
      <c r="L303" s="565">
        <f>'[260]SEA POWER II'!$F$87</f>
        <v>1.3472222222396038</v>
      </c>
      <c r="M303" s="434">
        <f t="shared" si="145"/>
        <v>22620.368098143354</v>
      </c>
      <c r="N303" s="434">
        <f t="shared" si="146"/>
        <v>38011.546391262164</v>
      </c>
      <c r="O303" s="434">
        <v>30000</v>
      </c>
      <c r="P303" s="648">
        <v>149884</v>
      </c>
      <c r="Q303" s="648">
        <v>137619</v>
      </c>
      <c r="R303" s="648">
        <f t="shared" si="126"/>
        <v>12265</v>
      </c>
      <c r="S303" s="435">
        <f t="shared" si="147"/>
        <v>0.23950400312438977</v>
      </c>
      <c r="T303" s="435">
        <f t="shared" si="148"/>
        <v>0.23950400312438977</v>
      </c>
      <c r="U303" s="675"/>
      <c r="V303" s="443"/>
      <c r="W303" s="677"/>
      <c r="X303" s="54">
        <v>2.64</v>
      </c>
      <c r="Y303" s="54">
        <f t="shared" si="154"/>
        <v>135194.4</v>
      </c>
      <c r="Z303" s="54"/>
      <c r="AA303" s="33"/>
      <c r="AB303" s="438"/>
      <c r="AC303" s="33"/>
    </row>
    <row r="304" spans="1:29" x14ac:dyDescent="0.3">
      <c r="A304" s="678">
        <v>44659.916666666664</v>
      </c>
      <c r="B304" s="678">
        <v>44660.954861111109</v>
      </c>
      <c r="C304" s="50"/>
      <c r="D304" s="50"/>
      <c r="E304" s="35" t="s">
        <v>1128</v>
      </c>
      <c r="F304" s="36" t="s">
        <v>328</v>
      </c>
      <c r="G304" s="433">
        <v>24646</v>
      </c>
      <c r="H304" s="433"/>
      <c r="I304" s="433">
        <v>73900</v>
      </c>
      <c r="J304" s="31">
        <f t="shared" si="153"/>
        <v>-49254</v>
      </c>
      <c r="K304" s="636">
        <f t="shared" si="152"/>
        <v>1.0381944444452529</v>
      </c>
      <c r="L304" s="565">
        <f>'[260]W-RAPTOR'!$F$61</f>
        <v>0.47048611109372968</v>
      </c>
      <c r="M304" s="434">
        <f t="shared" si="145"/>
        <v>23739.290969881178</v>
      </c>
      <c r="N304" s="434">
        <f t="shared" si="146"/>
        <v>52384.118083116067</v>
      </c>
      <c r="O304" s="434">
        <v>30000</v>
      </c>
      <c r="P304" s="648">
        <v>137021</v>
      </c>
      <c r="Q304" s="648">
        <v>132321</v>
      </c>
      <c r="R304" s="648">
        <f t="shared" ref="R304:R356" si="155">P304-Q304</f>
        <v>4700</v>
      </c>
      <c r="S304" s="435">
        <f t="shared" si="147"/>
        <v>0.19070031648137628</v>
      </c>
      <c r="T304" s="435">
        <f t="shared" si="148"/>
        <v>0.19070031648137628</v>
      </c>
      <c r="U304" s="675"/>
      <c r="V304" s="443"/>
      <c r="W304" s="677"/>
      <c r="X304" s="54">
        <v>2.64</v>
      </c>
      <c r="Y304" s="54">
        <f t="shared" si="154"/>
        <v>65065.440000000002</v>
      </c>
      <c r="Z304" s="54"/>
      <c r="AA304" s="33"/>
      <c r="AB304" s="438"/>
      <c r="AC304" s="33"/>
    </row>
    <row r="305" spans="1:29" x14ac:dyDescent="0.3">
      <c r="A305" s="679">
        <v>44661.25</v>
      </c>
      <c r="B305" s="678">
        <v>44664.659722222219</v>
      </c>
      <c r="C305" s="50"/>
      <c r="D305" s="50"/>
      <c r="E305" s="35" t="s">
        <v>769</v>
      </c>
      <c r="F305" s="36" t="s">
        <v>328</v>
      </c>
      <c r="G305" s="433">
        <f>88000</f>
        <v>88000</v>
      </c>
      <c r="H305" s="433"/>
      <c r="I305" s="433">
        <v>88000</v>
      </c>
      <c r="J305" s="31">
        <f t="shared" si="153"/>
        <v>0</v>
      </c>
      <c r="K305" s="636">
        <f t="shared" si="152"/>
        <v>3.4097222222189885</v>
      </c>
      <c r="L305" s="565">
        <f>'[260]TW HAMBURG'!$F$127</f>
        <v>1.574652777765247</v>
      </c>
      <c r="M305" s="434">
        <f t="shared" si="145"/>
        <v>25808.553971511239</v>
      </c>
      <c r="N305" s="434">
        <f t="shared" si="146"/>
        <v>55885.33627387361</v>
      </c>
      <c r="O305" s="434">
        <v>30000</v>
      </c>
      <c r="P305" s="648">
        <v>132020</v>
      </c>
      <c r="Q305" s="648">
        <v>117076</v>
      </c>
      <c r="R305" s="648">
        <f t="shared" si="155"/>
        <v>14944</v>
      </c>
      <c r="S305" s="435">
        <f t="shared" si="147"/>
        <v>0.16981818181818181</v>
      </c>
      <c r="T305" s="435">
        <f t="shared" si="148"/>
        <v>0.16981818181818181</v>
      </c>
      <c r="U305" s="675"/>
      <c r="V305" s="443"/>
      <c r="W305" s="677"/>
      <c r="X305" s="54">
        <v>2.64</v>
      </c>
      <c r="Y305" s="54">
        <f t="shared" si="154"/>
        <v>232320</v>
      </c>
      <c r="Z305" s="54"/>
      <c r="AA305" s="33"/>
      <c r="AB305" s="438"/>
      <c r="AC305" s="33"/>
    </row>
    <row r="306" spans="1:29" x14ac:dyDescent="0.3">
      <c r="A306" s="678">
        <v>44665.40625</v>
      </c>
      <c r="B306" s="678">
        <v>44668.111111111109</v>
      </c>
      <c r="C306" s="50"/>
      <c r="D306" s="50"/>
      <c r="E306" s="35" t="s">
        <v>1129</v>
      </c>
      <c r="F306" s="36" t="s">
        <v>328</v>
      </c>
      <c r="G306" s="433">
        <v>87050</v>
      </c>
      <c r="H306" s="433"/>
      <c r="I306" s="433">
        <v>87050</v>
      </c>
      <c r="J306" s="31">
        <f t="shared" si="153"/>
        <v>0</v>
      </c>
      <c r="K306" s="636">
        <f t="shared" si="152"/>
        <v>2.7048611111094942</v>
      </c>
      <c r="L306" s="565">
        <f>[260]THALIA!$F$139</f>
        <v>1.4947916666521148</v>
      </c>
      <c r="M306" s="434">
        <f t="shared" si="145"/>
        <v>32182.79845958278</v>
      </c>
      <c r="N306" s="434">
        <f t="shared" si="146"/>
        <v>58235.540070253337</v>
      </c>
      <c r="O306" s="434">
        <v>30000</v>
      </c>
      <c r="P306" s="648">
        <v>115879</v>
      </c>
      <c r="Q306" s="648">
        <v>102233</v>
      </c>
      <c r="R306" s="648">
        <f t="shared" si="155"/>
        <v>13646</v>
      </c>
      <c r="S306" s="435">
        <f t="shared" si="147"/>
        <v>0.15676048248133256</v>
      </c>
      <c r="T306" s="435">
        <f t="shared" si="148"/>
        <v>0.15676048248133256</v>
      </c>
      <c r="U306" s="675"/>
      <c r="V306" s="443"/>
      <c r="W306" s="677"/>
      <c r="X306" s="54">
        <v>2.64</v>
      </c>
      <c r="Y306" s="54">
        <f t="shared" si="154"/>
        <v>229812</v>
      </c>
      <c r="Z306" s="54"/>
      <c r="AA306" s="33"/>
      <c r="AB306" s="438"/>
      <c r="AC306" s="33"/>
    </row>
    <row r="307" spans="1:29" x14ac:dyDescent="0.3">
      <c r="A307" s="678">
        <v>44671.958333333336</v>
      </c>
      <c r="B307" s="678">
        <v>44674.368055555555</v>
      </c>
      <c r="C307" s="50"/>
      <c r="D307" s="50"/>
      <c r="E307" s="35" t="s">
        <v>1130</v>
      </c>
      <c r="F307" s="36" t="s">
        <v>328</v>
      </c>
      <c r="G307" s="433">
        <f>77000</f>
        <v>77000</v>
      </c>
      <c r="H307" s="433"/>
      <c r="I307" s="433">
        <v>77000</v>
      </c>
      <c r="J307" s="31">
        <f t="shared" si="153"/>
        <v>0</v>
      </c>
      <c r="K307" s="636">
        <f t="shared" si="152"/>
        <v>2.4097222222189885</v>
      </c>
      <c r="L307" s="565">
        <f>[260]ELECTRA!$F$128</f>
        <v>1.4236111110937297</v>
      </c>
      <c r="M307" s="434">
        <f t="shared" si="145"/>
        <v>31953.890489956426</v>
      </c>
      <c r="N307" s="434">
        <f t="shared" si="146"/>
        <v>54087.804878709161</v>
      </c>
      <c r="O307" s="434">
        <v>30000</v>
      </c>
      <c r="P307" s="648">
        <v>96500</v>
      </c>
      <c r="Q307" s="648">
        <v>84026</v>
      </c>
      <c r="R307" s="648">
        <f t="shared" si="155"/>
        <v>12474</v>
      </c>
      <c r="S307" s="435">
        <f t="shared" si="147"/>
        <v>0.16200000000000001</v>
      </c>
      <c r="T307" s="435">
        <f t="shared" si="148"/>
        <v>0.16200000000000001</v>
      </c>
      <c r="U307" s="675"/>
      <c r="V307" s="443"/>
      <c r="W307" s="677"/>
      <c r="X307" s="54">
        <v>2.64</v>
      </c>
      <c r="Y307" s="54">
        <f t="shared" si="154"/>
        <v>203280</v>
      </c>
      <c r="Z307" s="54"/>
      <c r="AA307" s="33"/>
      <c r="AB307" s="438"/>
      <c r="AC307" s="33"/>
    </row>
    <row r="308" spans="1:29" x14ac:dyDescent="0.3">
      <c r="A308" s="678">
        <v>44676.09375</v>
      </c>
      <c r="B308" s="678">
        <v>44679.364583333336</v>
      </c>
      <c r="C308" s="50"/>
      <c r="D308" s="50"/>
      <c r="E308" s="35" t="s">
        <v>782</v>
      </c>
      <c r="F308" s="36" t="s">
        <v>328</v>
      </c>
      <c r="G308" s="433">
        <v>67008</v>
      </c>
      <c r="H308" s="433"/>
      <c r="I308" s="433">
        <v>67000</v>
      </c>
      <c r="J308" s="31">
        <f t="shared" si="153"/>
        <v>8</v>
      </c>
      <c r="K308" s="636">
        <f t="shared" si="152"/>
        <v>3.2708333333357587</v>
      </c>
      <c r="L308" s="565">
        <f>'[260]LUMOSO PRATAMA'!$F$162</f>
        <v>1.0781250000242533</v>
      </c>
      <c r="M308" s="434">
        <f t="shared" si="145"/>
        <v>20486.52229297844</v>
      </c>
      <c r="N308" s="434">
        <f t="shared" si="146"/>
        <v>62152.34782468879</v>
      </c>
      <c r="O308" s="434">
        <v>30000</v>
      </c>
      <c r="P308" s="648">
        <v>81426</v>
      </c>
      <c r="Q308" s="648">
        <v>68247</v>
      </c>
      <c r="R308" s="648">
        <f t="shared" si="155"/>
        <v>13179</v>
      </c>
      <c r="S308" s="435">
        <f t="shared" si="147"/>
        <v>0.19667800859598855</v>
      </c>
      <c r="T308" s="435">
        <f t="shared" si="148"/>
        <v>0.19667800859598855</v>
      </c>
      <c r="U308" s="675"/>
      <c r="V308" s="443"/>
      <c r="W308" s="677"/>
      <c r="X308" s="54">
        <v>2.64</v>
      </c>
      <c r="Y308" s="54">
        <f t="shared" si="154"/>
        <v>176901.12</v>
      </c>
      <c r="Z308" s="54"/>
      <c r="AA308" s="33"/>
      <c r="AB308" s="438"/>
      <c r="AC308" s="33"/>
    </row>
    <row r="309" spans="1:29" x14ac:dyDescent="0.3">
      <c r="A309" s="689">
        <v>44685.847222222219</v>
      </c>
      <c r="B309" s="689">
        <v>44688.527777777781</v>
      </c>
      <c r="C309" s="50"/>
      <c r="D309" s="676"/>
      <c r="E309" s="35" t="s">
        <v>719</v>
      </c>
      <c r="F309" s="36" t="s">
        <v>328</v>
      </c>
      <c r="G309" s="433">
        <f>77000</f>
        <v>77000</v>
      </c>
      <c r="H309" s="433"/>
      <c r="I309" s="31">
        <v>77000</v>
      </c>
      <c r="J309" s="31">
        <f>G309-I309</f>
        <v>0</v>
      </c>
      <c r="K309" s="636">
        <f t="shared" si="152"/>
        <v>2.6805555555620231</v>
      </c>
      <c r="L309" s="565">
        <f>'[261]DUTA AZZAM'!$F$117</f>
        <v>1.3680555555680864</v>
      </c>
      <c r="M309" s="434">
        <f t="shared" si="145"/>
        <v>28725.388600966962</v>
      </c>
      <c r="N309" s="434">
        <f t="shared" si="146"/>
        <v>56284.263958875323</v>
      </c>
      <c r="O309" s="434">
        <v>30000</v>
      </c>
      <c r="P309" s="648">
        <v>183493</v>
      </c>
      <c r="Q309" s="648">
        <v>171357</v>
      </c>
      <c r="R309" s="648">
        <f t="shared" si="155"/>
        <v>12136</v>
      </c>
      <c r="S309" s="435">
        <f t="shared" si="147"/>
        <v>0.15761038961038962</v>
      </c>
      <c r="T309" s="435">
        <f t="shared" si="148"/>
        <v>0.15761038961038962</v>
      </c>
      <c r="U309" s="675"/>
      <c r="V309" s="443"/>
      <c r="W309" s="32"/>
      <c r="X309" s="54">
        <v>2.64</v>
      </c>
      <c r="Y309" s="54">
        <f t="shared" ref="Y309:Y312" si="156">G309*X309</f>
        <v>203280</v>
      </c>
      <c r="Z309" s="54"/>
      <c r="AA309" s="33"/>
      <c r="AB309" s="438"/>
      <c r="AC309" s="33"/>
    </row>
    <row r="310" spans="1:29" x14ac:dyDescent="0.3">
      <c r="A310" s="689">
        <v>44690.965277777781</v>
      </c>
      <c r="B310" s="689">
        <v>44693.104166666664</v>
      </c>
      <c r="C310" s="50"/>
      <c r="D310" s="676"/>
      <c r="E310" s="35" t="s">
        <v>709</v>
      </c>
      <c r="F310" s="36" t="s">
        <v>328</v>
      </c>
      <c r="G310" s="433">
        <f>79010</f>
        <v>79010</v>
      </c>
      <c r="H310" s="433"/>
      <c r="I310" s="433">
        <v>78860</v>
      </c>
      <c r="J310" s="31">
        <f t="shared" si="153"/>
        <v>150</v>
      </c>
      <c r="K310" s="636">
        <f t="shared" si="152"/>
        <v>2.1388888888832298</v>
      </c>
      <c r="L310" s="565">
        <f>'[261]KM SYDNEY'!$F$121</f>
        <v>1.2256944444476783</v>
      </c>
      <c r="M310" s="434">
        <f t="shared" si="145"/>
        <v>36939.740259837992</v>
      </c>
      <c r="N310" s="434">
        <f t="shared" si="146"/>
        <v>64461.416430424826</v>
      </c>
      <c r="O310" s="434">
        <v>30000</v>
      </c>
      <c r="P310" s="648">
        <v>167543</v>
      </c>
      <c r="Q310" s="648">
        <v>156410</v>
      </c>
      <c r="R310" s="648">
        <f t="shared" si="155"/>
        <v>11133</v>
      </c>
      <c r="S310" s="435">
        <f t="shared" si="147"/>
        <v>0.14090621440324011</v>
      </c>
      <c r="T310" s="435">
        <f t="shared" si="148"/>
        <v>0.14090621440324011</v>
      </c>
      <c r="U310" s="675"/>
      <c r="V310" s="31"/>
      <c r="W310" s="32"/>
      <c r="X310" s="54">
        <v>2.64</v>
      </c>
      <c r="Y310" s="54">
        <f t="shared" si="156"/>
        <v>208586.40000000002</v>
      </c>
      <c r="Z310" s="54"/>
      <c r="AA310" s="33"/>
      <c r="AB310" s="438"/>
      <c r="AC310" s="33"/>
    </row>
    <row r="311" spans="1:29" x14ac:dyDescent="0.3">
      <c r="A311" s="689">
        <v>44694.138888888891</v>
      </c>
      <c r="B311" s="689">
        <v>44696.697916666664</v>
      </c>
      <c r="C311" s="50"/>
      <c r="D311" s="676"/>
      <c r="E311" s="35" t="s">
        <v>1131</v>
      </c>
      <c r="F311" s="36" t="s">
        <v>328</v>
      </c>
      <c r="G311" s="433">
        <v>87550</v>
      </c>
      <c r="H311" s="433"/>
      <c r="I311" s="433">
        <v>87550</v>
      </c>
      <c r="J311" s="31">
        <f t="shared" si="153"/>
        <v>0</v>
      </c>
      <c r="K311" s="636">
        <f t="shared" si="152"/>
        <v>2.5590277777737356</v>
      </c>
      <c r="L311" s="565">
        <f>[261]PIAVIA!$F$120</f>
        <v>1.5416666666666667</v>
      </c>
      <c r="M311" s="434">
        <f t="shared" si="145"/>
        <v>34212.211668982127</v>
      </c>
      <c r="N311" s="434">
        <f t="shared" si="146"/>
        <v>56789.189189189186</v>
      </c>
      <c r="O311" s="434">
        <v>30000</v>
      </c>
      <c r="P311" s="648">
        <v>154398</v>
      </c>
      <c r="Q311" s="648">
        <v>140958</v>
      </c>
      <c r="R311" s="648">
        <f t="shared" si="155"/>
        <v>13440</v>
      </c>
      <c r="S311" s="435">
        <f t="shared" si="147"/>
        <v>0.15351227869788692</v>
      </c>
      <c r="T311" s="435">
        <f t="shared" si="148"/>
        <v>0.15351227869788692</v>
      </c>
      <c r="U311" s="675"/>
      <c r="V311" s="31"/>
      <c r="W311" s="32"/>
      <c r="X311" s="54">
        <v>2.64</v>
      </c>
      <c r="Y311" s="54">
        <f t="shared" si="156"/>
        <v>231132</v>
      </c>
      <c r="Z311" s="54"/>
      <c r="AA311" s="33"/>
      <c r="AB311" s="438"/>
      <c r="AC311" s="33"/>
    </row>
    <row r="312" spans="1:29" x14ac:dyDescent="0.3">
      <c r="A312" s="689">
        <v>44701.913194444445</v>
      </c>
      <c r="B312" s="678">
        <v>44707.680555555555</v>
      </c>
      <c r="C312" s="50"/>
      <c r="D312" s="50"/>
      <c r="E312" s="35" t="s">
        <v>735</v>
      </c>
      <c r="F312" s="36" t="s">
        <v>328</v>
      </c>
      <c r="G312" s="433">
        <f>77000</f>
        <v>77000</v>
      </c>
      <c r="H312" s="433"/>
      <c r="I312" s="433">
        <v>77000</v>
      </c>
      <c r="J312" s="31">
        <f t="shared" si="153"/>
        <v>0</v>
      </c>
      <c r="K312" s="636">
        <f t="shared" si="152"/>
        <v>5.7673611111094942</v>
      </c>
      <c r="L312" s="565">
        <f>'[261]THERESA SHANDONG'!$F$120</f>
        <v>1.8090277777870749</v>
      </c>
      <c r="M312" s="434">
        <f t="shared" si="145"/>
        <v>13350.993377487186</v>
      </c>
      <c r="N312" s="434">
        <f t="shared" si="146"/>
        <v>42564.299423965509</v>
      </c>
      <c r="O312" s="434">
        <v>30000</v>
      </c>
      <c r="P312" s="648">
        <v>129483</v>
      </c>
      <c r="Q312" s="648">
        <v>110738</v>
      </c>
      <c r="R312" s="648">
        <f t="shared" si="155"/>
        <v>18745</v>
      </c>
      <c r="S312" s="435">
        <f t="shared" si="147"/>
        <v>0.24344155844155843</v>
      </c>
      <c r="T312" s="435">
        <f t="shared" si="148"/>
        <v>0.24344155844155843</v>
      </c>
      <c r="U312" s="69"/>
      <c r="V312" s="443"/>
      <c r="W312" s="677"/>
      <c r="X312" s="54">
        <v>2.64</v>
      </c>
      <c r="Y312" s="54">
        <f t="shared" si="156"/>
        <v>203280</v>
      </c>
      <c r="Z312" s="54"/>
      <c r="AA312" s="33"/>
      <c r="AB312" s="438"/>
      <c r="AC312" s="33"/>
    </row>
    <row r="313" spans="1:29" x14ac:dyDescent="0.3">
      <c r="A313" s="689">
        <v>44718.8125</v>
      </c>
      <c r="B313" s="678">
        <v>44721.239583333336</v>
      </c>
      <c r="C313" s="50"/>
      <c r="D313" s="50"/>
      <c r="E313" s="35" t="s">
        <v>1132</v>
      </c>
      <c r="F313" s="36" t="s">
        <v>328</v>
      </c>
      <c r="G313" s="433">
        <f>80200</f>
        <v>80200</v>
      </c>
      <c r="H313" s="433"/>
      <c r="I313" s="433">
        <v>80200</v>
      </c>
      <c r="J313" s="31">
        <f t="shared" si="153"/>
        <v>0</v>
      </c>
      <c r="K313" s="636">
        <f t="shared" si="152"/>
        <v>2.4270833333357587</v>
      </c>
      <c r="L313" s="565">
        <f>[262]AMARYLLIS!$F$134</f>
        <v>1.3038194444840581</v>
      </c>
      <c r="M313" s="434">
        <f t="shared" si="145"/>
        <v>33043.776824001317</v>
      </c>
      <c r="N313" s="434">
        <f t="shared" si="146"/>
        <v>61511.584552059205</v>
      </c>
      <c r="O313" s="434">
        <v>30000</v>
      </c>
      <c r="P313" s="648">
        <v>218041</v>
      </c>
      <c r="Q313" s="648">
        <v>205881</v>
      </c>
      <c r="R313" s="648">
        <f t="shared" si="155"/>
        <v>12160</v>
      </c>
      <c r="S313" s="435">
        <f t="shared" si="147"/>
        <v>0.15162094763092268</v>
      </c>
      <c r="T313" s="435">
        <f t="shared" si="148"/>
        <v>0.15162094763092268</v>
      </c>
      <c r="U313" s="176"/>
      <c r="V313" s="678"/>
      <c r="W313" s="50"/>
      <c r="X313" s="54">
        <v>2.64</v>
      </c>
      <c r="Y313" s="54">
        <f t="shared" ref="Y313:Y317" si="157">G313*X313</f>
        <v>211728</v>
      </c>
      <c r="Z313" s="36"/>
      <c r="AA313" s="433"/>
      <c r="AB313" s="433"/>
      <c r="AC313" s="433"/>
    </row>
    <row r="314" spans="1:29" x14ac:dyDescent="0.3">
      <c r="A314" s="689">
        <v>44725.03125</v>
      </c>
      <c r="B314" s="689">
        <v>44727.819444444445</v>
      </c>
      <c r="C314" s="50"/>
      <c r="D314" s="50"/>
      <c r="E314" s="35" t="s">
        <v>1133</v>
      </c>
      <c r="F314" s="36" t="s">
        <v>328</v>
      </c>
      <c r="G314" s="433">
        <v>76200</v>
      </c>
      <c r="H314" s="433"/>
      <c r="I314" s="433">
        <v>76200</v>
      </c>
      <c r="J314" s="31">
        <f t="shared" si="153"/>
        <v>0</v>
      </c>
      <c r="K314" s="636">
        <f t="shared" si="152"/>
        <v>2.7881944444452529</v>
      </c>
      <c r="L314" s="565">
        <f>'[262]SEA HOPE'!$F$137</f>
        <v>1.230902777779799</v>
      </c>
      <c r="M314" s="434">
        <f t="shared" si="145"/>
        <v>27329.514321287221</v>
      </c>
      <c r="N314" s="434">
        <f t="shared" si="146"/>
        <v>61905.782792564074</v>
      </c>
      <c r="O314" s="434">
        <v>30000</v>
      </c>
      <c r="P314" s="648">
        <v>200040</v>
      </c>
      <c r="Q314" s="648">
        <v>186855</v>
      </c>
      <c r="R314" s="648">
        <f t="shared" si="155"/>
        <v>13185</v>
      </c>
      <c r="S314" s="435">
        <f t="shared" si="147"/>
        <v>0.17303149606299212</v>
      </c>
      <c r="T314" s="435">
        <f t="shared" si="148"/>
        <v>0.17303149606299212</v>
      </c>
      <c r="U314" s="675"/>
      <c r="V314" s="443"/>
      <c r="W314" s="677"/>
      <c r="X314" s="54">
        <v>2.64</v>
      </c>
      <c r="Y314" s="54">
        <f t="shared" si="157"/>
        <v>201168</v>
      </c>
      <c r="Z314" s="54"/>
      <c r="AA314" s="33"/>
      <c r="AB314" s="438"/>
      <c r="AC314" s="33"/>
    </row>
    <row r="315" spans="1:29" x14ac:dyDescent="0.3">
      <c r="A315" s="689">
        <v>44729.815972222219</v>
      </c>
      <c r="B315" s="689">
        <v>44730.625</v>
      </c>
      <c r="C315" s="50"/>
      <c r="D315" s="50"/>
      <c r="E315" s="35" t="s">
        <v>1134</v>
      </c>
      <c r="F315" s="36" t="s">
        <v>328</v>
      </c>
      <c r="G315" s="433">
        <v>25029</v>
      </c>
      <c r="H315" s="433"/>
      <c r="I315" s="433">
        <v>75750</v>
      </c>
      <c r="J315" s="31">
        <f t="shared" si="153"/>
        <v>-50721</v>
      </c>
      <c r="K315" s="636">
        <f t="shared" si="152"/>
        <v>0.80902777778101154</v>
      </c>
      <c r="L315" s="565">
        <f>'[262]KMAX EVDOKIA'!$F$67</f>
        <v>0.49999999999878736</v>
      </c>
      <c r="M315" s="434">
        <f t="shared" si="145"/>
        <v>30937.133047086641</v>
      </c>
      <c r="N315" s="434">
        <f t="shared" si="146"/>
        <v>50058.000000121407</v>
      </c>
      <c r="O315" s="434">
        <v>30000</v>
      </c>
      <c r="P315" s="648">
        <v>183655</v>
      </c>
      <c r="Q315" s="648">
        <v>179245</v>
      </c>
      <c r="R315" s="648">
        <f t="shared" si="155"/>
        <v>4410</v>
      </c>
      <c r="S315" s="435">
        <f t="shared" si="147"/>
        <v>0.17619561308881698</v>
      </c>
      <c r="T315" s="435">
        <f t="shared" si="148"/>
        <v>0.17619561308881698</v>
      </c>
      <c r="U315" s="675"/>
      <c r="V315" s="443"/>
      <c r="W315" s="677"/>
      <c r="X315" s="54">
        <v>2.64</v>
      </c>
      <c r="Y315" s="54">
        <f t="shared" si="157"/>
        <v>66076.56</v>
      </c>
      <c r="Z315" s="54"/>
      <c r="AA315" s="33"/>
      <c r="AB315" s="438"/>
      <c r="AC315" s="33"/>
    </row>
    <row r="316" spans="1:29" x14ac:dyDescent="0.3">
      <c r="A316" s="689">
        <v>44733.020833333336</v>
      </c>
      <c r="B316" s="689">
        <v>44735.993055555555</v>
      </c>
      <c r="C316" s="50"/>
      <c r="D316" s="50"/>
      <c r="E316" s="35" t="s">
        <v>35</v>
      </c>
      <c r="F316" s="36" t="s">
        <v>328</v>
      </c>
      <c r="G316" s="433">
        <f>65500</f>
        <v>65500</v>
      </c>
      <c r="H316" s="433"/>
      <c r="I316" s="433">
        <v>65500</v>
      </c>
      <c r="J316" s="31">
        <f>G316-I316</f>
        <v>0</v>
      </c>
      <c r="K316" s="636">
        <f t="shared" si="152"/>
        <v>2.9722222222189885</v>
      </c>
      <c r="L316" s="565">
        <f>'[262]ANDHIKA NARESWARI'!$F$179</f>
        <v>0.9565972222286897</v>
      </c>
      <c r="M316" s="434">
        <f t="shared" si="145"/>
        <v>22037.383177594071</v>
      </c>
      <c r="N316" s="434">
        <f t="shared" si="146"/>
        <v>68471.86932803072</v>
      </c>
      <c r="O316" s="434">
        <v>30000</v>
      </c>
      <c r="P316" s="648">
        <v>175565</v>
      </c>
      <c r="Q316" s="648">
        <v>162350</v>
      </c>
      <c r="R316" s="648">
        <f t="shared" si="155"/>
        <v>13215</v>
      </c>
      <c r="S316" s="435">
        <f t="shared" si="147"/>
        <v>0.2017557251908397</v>
      </c>
      <c r="T316" s="435">
        <f t="shared" si="148"/>
        <v>0.2017557251908397</v>
      </c>
      <c r="U316" s="675"/>
      <c r="V316" s="443"/>
      <c r="W316" s="677"/>
      <c r="X316" s="54">
        <v>2.64</v>
      </c>
      <c r="Y316" s="54">
        <f t="shared" si="157"/>
        <v>172920</v>
      </c>
      <c r="Z316" s="54"/>
      <c r="AA316" s="33"/>
      <c r="AB316" s="438"/>
      <c r="AC316" s="33"/>
    </row>
    <row r="317" spans="1:29" x14ac:dyDescent="0.3">
      <c r="A317" s="689">
        <v>44737.638888888891</v>
      </c>
      <c r="B317" s="689">
        <v>44741.333333333336</v>
      </c>
      <c r="C317" s="50"/>
      <c r="D317" s="50"/>
      <c r="E317" s="35" t="s">
        <v>1121</v>
      </c>
      <c r="F317" s="36" t="s">
        <v>328</v>
      </c>
      <c r="G317" s="433">
        <f>71345</f>
        <v>71345</v>
      </c>
      <c r="H317" s="433"/>
      <c r="I317" s="433">
        <v>71345</v>
      </c>
      <c r="J317" s="31">
        <f t="shared" si="153"/>
        <v>0</v>
      </c>
      <c r="K317" s="636">
        <f t="shared" si="152"/>
        <v>3.6944444444452529</v>
      </c>
      <c r="L317" s="565">
        <f>[262]SELINA!$F$121</f>
        <v>1.3645833333782018</v>
      </c>
      <c r="M317" s="434">
        <f t="shared" si="145"/>
        <v>19311.428571424345</v>
      </c>
      <c r="N317" s="434">
        <f t="shared" si="146"/>
        <v>52283.35877690684</v>
      </c>
      <c r="O317" s="434">
        <v>30000</v>
      </c>
      <c r="P317" s="648">
        <v>159669</v>
      </c>
      <c r="Q317" s="648">
        <v>145639</v>
      </c>
      <c r="R317" s="648">
        <f t="shared" si="155"/>
        <v>14030</v>
      </c>
      <c r="S317" s="435">
        <f t="shared" si="147"/>
        <v>0.19665008059429531</v>
      </c>
      <c r="T317" s="435">
        <f t="shared" si="148"/>
        <v>0.19665008059429531</v>
      </c>
      <c r="U317" s="675"/>
      <c r="V317" s="443"/>
      <c r="W317" s="677"/>
      <c r="X317" s="54">
        <v>2.64</v>
      </c>
      <c r="Y317" s="54">
        <f t="shared" si="157"/>
        <v>188350.80000000002</v>
      </c>
      <c r="Z317" s="54"/>
      <c r="AA317" s="33"/>
      <c r="AB317" s="438"/>
      <c r="AC317" s="33"/>
    </row>
    <row r="318" spans="1:29" x14ac:dyDescent="0.3">
      <c r="A318" s="682">
        <v>44741.631944444445</v>
      </c>
      <c r="B318" s="682">
        <v>44745.666666666664</v>
      </c>
      <c r="C318" s="23"/>
      <c r="D318" s="14"/>
      <c r="E318" s="35" t="s">
        <v>1135</v>
      </c>
      <c r="F318" s="36" t="s">
        <v>328</v>
      </c>
      <c r="G318" s="433">
        <v>82500</v>
      </c>
      <c r="H318" s="433"/>
      <c r="I318" s="433">
        <v>82500</v>
      </c>
      <c r="J318" s="31">
        <f t="shared" si="153"/>
        <v>0</v>
      </c>
      <c r="K318" s="636">
        <f t="shared" si="152"/>
        <v>4.0347222222189885</v>
      </c>
      <c r="L318" s="565">
        <f>'[263]INDUS PROSPERITY'!$F$130</f>
        <v>1.4427083333018043</v>
      </c>
      <c r="M318" s="434">
        <f t="shared" si="145"/>
        <v>20447.50430294238</v>
      </c>
      <c r="N318" s="434">
        <f t="shared" si="146"/>
        <v>57184.115524715409</v>
      </c>
      <c r="O318" s="434">
        <v>30000</v>
      </c>
      <c r="P318" s="648">
        <v>145184</v>
      </c>
      <c r="Q318" s="648">
        <v>129890</v>
      </c>
      <c r="R318" s="648">
        <f t="shared" si="155"/>
        <v>15294</v>
      </c>
      <c r="S318" s="435">
        <f t="shared" si="147"/>
        <v>0.18538181818181818</v>
      </c>
      <c r="T318" s="435">
        <f t="shared" si="148"/>
        <v>0.18538181818181818</v>
      </c>
      <c r="U318" s="435"/>
      <c r="V318" s="436"/>
      <c r="W318" s="32"/>
      <c r="X318" s="54">
        <v>2.64</v>
      </c>
      <c r="Y318" s="54">
        <f t="shared" ref="Y318:Y325" si="158">G318*X318</f>
        <v>217800</v>
      </c>
      <c r="Z318" s="33"/>
      <c r="AA318" s="33"/>
      <c r="AB318" s="438"/>
      <c r="AC318" s="33"/>
    </row>
    <row r="319" spans="1:29" x14ac:dyDescent="0.3">
      <c r="A319" s="682">
        <v>44746.90625</v>
      </c>
      <c r="B319" s="682">
        <v>44748.763888888891</v>
      </c>
      <c r="C319" s="23"/>
      <c r="D319" s="14"/>
      <c r="E319" s="35" t="s">
        <v>1136</v>
      </c>
      <c r="F319" s="36" t="s">
        <v>328</v>
      </c>
      <c r="G319" s="433">
        <f>60834</f>
        <v>60834</v>
      </c>
      <c r="H319" s="433"/>
      <c r="I319" s="433">
        <v>73045</v>
      </c>
      <c r="J319" s="31">
        <f t="shared" si="153"/>
        <v>-12211</v>
      </c>
      <c r="K319" s="636">
        <f t="shared" si="152"/>
        <v>1.8576388888905058</v>
      </c>
      <c r="L319" s="27">
        <f>'[263]MAGIC RAINBOW '!$F$96</f>
        <v>1.0885416666739427</v>
      </c>
      <c r="M319" s="434">
        <f t="shared" si="145"/>
        <v>32748.022429878038</v>
      </c>
      <c r="N319" s="434">
        <f t="shared" si="146"/>
        <v>55885.779903932671</v>
      </c>
      <c r="O319" s="434">
        <v>30000</v>
      </c>
      <c r="P319" s="648">
        <v>128004</v>
      </c>
      <c r="Q319" s="648">
        <v>118390</v>
      </c>
      <c r="R319" s="648">
        <f t="shared" si="155"/>
        <v>9614</v>
      </c>
      <c r="S319" s="435">
        <f t="shared" si="147"/>
        <v>0.15803662425617254</v>
      </c>
      <c r="T319" s="435">
        <f t="shared" si="148"/>
        <v>0.15803662425617254</v>
      </c>
      <c r="U319" s="435"/>
      <c r="V319" s="31"/>
      <c r="W319" s="32"/>
      <c r="X319" s="54">
        <v>2.64</v>
      </c>
      <c r="Y319" s="54">
        <f t="shared" si="158"/>
        <v>160601.76</v>
      </c>
      <c r="Z319" s="33"/>
      <c r="AA319" s="33"/>
      <c r="AB319" s="438"/>
      <c r="AC319" s="33"/>
    </row>
    <row r="320" spans="1:29" x14ac:dyDescent="0.3">
      <c r="A320" s="682">
        <v>44750.902777777781</v>
      </c>
      <c r="B320" s="682">
        <v>44751.381944444445</v>
      </c>
      <c r="C320" s="23"/>
      <c r="D320" s="14"/>
      <c r="E320" s="35" t="s">
        <v>1137</v>
      </c>
      <c r="F320" s="36" t="s">
        <v>328</v>
      </c>
      <c r="G320" s="433">
        <f>14336</f>
        <v>14336</v>
      </c>
      <c r="H320" s="433"/>
      <c r="I320" s="433">
        <v>74170</v>
      </c>
      <c r="J320" s="31">
        <f t="shared" si="153"/>
        <v>-59834</v>
      </c>
      <c r="K320" s="636">
        <f t="shared" si="152"/>
        <v>0.47916666666424135</v>
      </c>
      <c r="L320" s="27">
        <f>'[263]VAN CONTINENT'!$F$39</f>
        <v>0.25868055555474712</v>
      </c>
      <c r="M320" s="434">
        <f t="shared" si="145"/>
        <v>29918.608695803607</v>
      </c>
      <c r="N320" s="434">
        <f t="shared" si="146"/>
        <v>55419.704698159774</v>
      </c>
      <c r="O320" s="434">
        <v>30000</v>
      </c>
      <c r="P320" s="648">
        <v>115205</v>
      </c>
      <c r="Q320" s="648">
        <v>112265</v>
      </c>
      <c r="R320" s="648">
        <f t="shared" si="155"/>
        <v>2940</v>
      </c>
      <c r="S320" s="435">
        <f t="shared" si="147"/>
        <v>0.205078125</v>
      </c>
      <c r="T320" s="435">
        <f t="shared" si="148"/>
        <v>0.205078125</v>
      </c>
      <c r="U320" s="435"/>
      <c r="V320" s="31"/>
      <c r="W320" s="32"/>
      <c r="X320" s="54">
        <v>2.64</v>
      </c>
      <c r="Y320" s="54">
        <f t="shared" si="158"/>
        <v>37847.040000000001</v>
      </c>
      <c r="Z320" s="33"/>
      <c r="AA320" s="33"/>
      <c r="AB320" s="438"/>
      <c r="AC320" s="33"/>
    </row>
    <row r="321" spans="1:29" x14ac:dyDescent="0.3">
      <c r="A321" s="682">
        <v>44753.75</v>
      </c>
      <c r="B321" s="682">
        <v>44756.215277777781</v>
      </c>
      <c r="C321" s="23"/>
      <c r="D321" s="14"/>
      <c r="E321" s="35" t="s">
        <v>45</v>
      </c>
      <c r="F321" s="36" t="s">
        <v>328</v>
      </c>
      <c r="G321" s="433">
        <f>88000</f>
        <v>88000</v>
      </c>
      <c r="H321" s="433"/>
      <c r="I321" s="433">
        <v>88000</v>
      </c>
      <c r="J321" s="31">
        <f t="shared" si="153"/>
        <v>0</v>
      </c>
      <c r="K321" s="636">
        <f t="shared" si="152"/>
        <v>2.4652777777810115</v>
      </c>
      <c r="L321" s="27">
        <f>'[263]OCEAN LUCKY '!$F$121</f>
        <v>1.6805555555717244</v>
      </c>
      <c r="M321" s="434">
        <f t="shared" si="145"/>
        <v>35695.774647840502</v>
      </c>
      <c r="N321" s="434">
        <f t="shared" si="146"/>
        <v>52363.636363132566</v>
      </c>
      <c r="O321" s="434">
        <v>30000</v>
      </c>
      <c r="P321" s="648">
        <v>108690</v>
      </c>
      <c r="Q321" s="648">
        <v>95892</v>
      </c>
      <c r="R321" s="648">
        <f t="shared" si="155"/>
        <v>12798</v>
      </c>
      <c r="S321" s="435">
        <f t="shared" si="147"/>
        <v>0.14543181818181819</v>
      </c>
      <c r="T321" s="435">
        <f t="shared" si="148"/>
        <v>0.14543181818181819</v>
      </c>
      <c r="U321" s="435"/>
      <c r="V321" s="31"/>
      <c r="W321" s="32"/>
      <c r="X321" s="54">
        <v>2.64</v>
      </c>
      <c r="Y321" s="54">
        <f t="shared" si="158"/>
        <v>232320</v>
      </c>
      <c r="Z321" s="33"/>
      <c r="AA321" s="33"/>
      <c r="AB321" s="438"/>
      <c r="AC321" s="33"/>
    </row>
    <row r="322" spans="1:29" x14ac:dyDescent="0.3">
      <c r="A322" s="682">
        <v>44756.847222222219</v>
      </c>
      <c r="B322" s="682">
        <v>44761.0625</v>
      </c>
      <c r="C322" s="23"/>
      <c r="D322" s="23"/>
      <c r="E322" s="35" t="s">
        <v>1138</v>
      </c>
      <c r="F322" s="25" t="s">
        <v>328</v>
      </c>
      <c r="G322" s="433">
        <f>88000</f>
        <v>88000</v>
      </c>
      <c r="H322" s="433"/>
      <c r="I322" s="433">
        <v>88000</v>
      </c>
      <c r="J322" s="31">
        <f t="shared" si="153"/>
        <v>0</v>
      </c>
      <c r="K322" s="636">
        <f t="shared" si="152"/>
        <v>4.2152777777810115</v>
      </c>
      <c r="L322" s="27">
        <f>'[263]ANGLO MARIMAR'!$F$134</f>
        <v>1.5138888889038451</v>
      </c>
      <c r="M322" s="434">
        <f t="shared" si="145"/>
        <v>20876.441515634728</v>
      </c>
      <c r="N322" s="434">
        <f t="shared" si="146"/>
        <v>58128.440366398208</v>
      </c>
      <c r="O322" s="434">
        <v>30000</v>
      </c>
      <c r="P322" s="648">
        <v>94982</v>
      </c>
      <c r="Q322" s="648">
        <v>78165</v>
      </c>
      <c r="R322" s="648">
        <f t="shared" si="155"/>
        <v>16817</v>
      </c>
      <c r="S322" s="435">
        <f t="shared" si="147"/>
        <v>0.19110227272727273</v>
      </c>
      <c r="T322" s="435">
        <f t="shared" si="148"/>
        <v>0.19110227272727273</v>
      </c>
      <c r="U322" s="69"/>
      <c r="V322" s="436"/>
      <c r="W322" s="437"/>
      <c r="X322" s="54">
        <v>2.64</v>
      </c>
      <c r="Y322" s="54">
        <f t="shared" si="158"/>
        <v>232320</v>
      </c>
      <c r="Z322" s="33"/>
      <c r="AA322" s="33"/>
      <c r="AB322" s="438"/>
      <c r="AC322" s="33"/>
    </row>
    <row r="323" spans="1:29" x14ac:dyDescent="0.3">
      <c r="A323" s="682">
        <v>44763.347222222219</v>
      </c>
      <c r="B323" s="682">
        <v>44765.847222222219</v>
      </c>
      <c r="C323" s="23"/>
      <c r="D323" s="23"/>
      <c r="E323" s="71" t="s">
        <v>1139</v>
      </c>
      <c r="F323" s="229" t="s">
        <v>328</v>
      </c>
      <c r="G323" s="512">
        <v>40074</v>
      </c>
      <c r="H323" s="512"/>
      <c r="I323" s="512">
        <v>81482</v>
      </c>
      <c r="J323" s="31">
        <f t="shared" si="153"/>
        <v>-41408</v>
      </c>
      <c r="K323" s="636">
        <f t="shared" si="152"/>
        <v>2.5</v>
      </c>
      <c r="L323" s="27">
        <f>'[263]CHOLA UNITY'!$F$92</f>
        <v>0.66319444444767817</v>
      </c>
      <c r="M323" s="434">
        <f t="shared" si="145"/>
        <v>16029.6</v>
      </c>
      <c r="N323" s="434">
        <f t="shared" si="146"/>
        <v>60425.717277192278</v>
      </c>
      <c r="O323" s="434">
        <v>30000</v>
      </c>
      <c r="P323" s="648">
        <v>74720</v>
      </c>
      <c r="Q323" s="648">
        <v>66192</v>
      </c>
      <c r="R323" s="648">
        <f t="shared" si="155"/>
        <v>8528</v>
      </c>
      <c r="S323" s="435">
        <f t="shared" si="147"/>
        <v>0.21280630832959027</v>
      </c>
      <c r="T323" s="435">
        <f t="shared" si="148"/>
        <v>0.21280630832959027</v>
      </c>
      <c r="U323" s="69"/>
      <c r="V323" s="436"/>
      <c r="W323" s="437"/>
      <c r="X323" s="54">
        <v>2.64</v>
      </c>
      <c r="Y323" s="54">
        <f t="shared" si="158"/>
        <v>105795.36</v>
      </c>
      <c r="Z323" s="33"/>
      <c r="AA323" s="33"/>
      <c r="AB323" s="438"/>
      <c r="AC323" s="33"/>
    </row>
    <row r="324" spans="1:29" x14ac:dyDescent="0.3">
      <c r="A324" s="682">
        <v>44767.729166666664</v>
      </c>
      <c r="B324" s="682">
        <v>44769.666666666664</v>
      </c>
      <c r="C324" s="23"/>
      <c r="D324" s="23"/>
      <c r="E324" s="35" t="s">
        <v>782</v>
      </c>
      <c r="F324" s="25" t="s">
        <v>328</v>
      </c>
      <c r="G324" s="433">
        <f>67014</f>
        <v>67014</v>
      </c>
      <c r="H324" s="433"/>
      <c r="I324" s="433">
        <v>67000</v>
      </c>
      <c r="J324" s="31">
        <f>G324-I324</f>
        <v>14</v>
      </c>
      <c r="K324" s="636">
        <f t="shared" si="152"/>
        <v>1.9375</v>
      </c>
      <c r="L324" s="27">
        <f>'[263]LUMOSO PRATAMA '!$F$156</f>
        <v>1.0208333333345461</v>
      </c>
      <c r="M324" s="434">
        <f t="shared" si="145"/>
        <v>34587.870967741932</v>
      </c>
      <c r="N324" s="434">
        <f t="shared" si="146"/>
        <v>65646.367346860789</v>
      </c>
      <c r="O324" s="434">
        <v>30000</v>
      </c>
      <c r="P324" s="648">
        <v>187654</v>
      </c>
      <c r="Q324" s="648">
        <v>177780</v>
      </c>
      <c r="R324" s="648">
        <f t="shared" si="155"/>
        <v>9874</v>
      </c>
      <c r="S324" s="435">
        <f t="shared" si="147"/>
        <v>0.14734234637538424</v>
      </c>
      <c r="T324" s="435">
        <f t="shared" si="148"/>
        <v>0.14734234637538424</v>
      </c>
      <c r="U324" s="435"/>
      <c r="V324" s="436"/>
      <c r="W324" s="437"/>
      <c r="X324" s="54">
        <v>2.64</v>
      </c>
      <c r="Y324" s="54">
        <f t="shared" si="158"/>
        <v>176916.96000000002</v>
      </c>
      <c r="Z324" s="33"/>
      <c r="AA324" s="33"/>
      <c r="AB324" s="438"/>
      <c r="AC324" s="33"/>
    </row>
    <row r="325" spans="1:29" x14ac:dyDescent="0.3">
      <c r="A325" s="682">
        <v>44771.888888888891</v>
      </c>
      <c r="B325" s="682">
        <v>44772.819444444445</v>
      </c>
      <c r="C325" s="23"/>
      <c r="D325" s="23"/>
      <c r="E325" s="35" t="s">
        <v>920</v>
      </c>
      <c r="F325" s="25" t="s">
        <v>328</v>
      </c>
      <c r="G325" s="433">
        <f>52722</f>
        <v>52722</v>
      </c>
      <c r="H325" s="433"/>
      <c r="I325" s="433">
        <v>63000</v>
      </c>
      <c r="J325" s="31">
        <f t="shared" si="153"/>
        <v>-10278</v>
      </c>
      <c r="K325" s="636">
        <f>'[263]MANALAGI DASA'!$F$112</f>
        <v>1.9305555555547471</v>
      </c>
      <c r="L325" s="27">
        <f>'[263]MANALAGI DASA'!$F$113</f>
        <v>0.9062499999987873</v>
      </c>
      <c r="M325" s="434">
        <f t="shared" si="145"/>
        <v>27309.237410083377</v>
      </c>
      <c r="N325" s="434">
        <f t="shared" si="146"/>
        <v>58176.000000077845</v>
      </c>
      <c r="O325" s="434">
        <v>30000</v>
      </c>
      <c r="P325" s="648">
        <v>174339</v>
      </c>
      <c r="Q325" s="648">
        <v>165230</v>
      </c>
      <c r="R325" s="648">
        <f t="shared" si="155"/>
        <v>9109</v>
      </c>
      <c r="S325" s="435">
        <f t="shared" si="147"/>
        <v>0.17277417396912104</v>
      </c>
      <c r="T325" s="435">
        <f t="shared" si="148"/>
        <v>0.17277417396912104</v>
      </c>
      <c r="U325" s="435"/>
      <c r="V325" s="436"/>
      <c r="W325" s="437"/>
      <c r="X325" s="54">
        <v>2.64</v>
      </c>
      <c r="Y325" s="54">
        <f t="shared" si="158"/>
        <v>139186.08000000002</v>
      </c>
      <c r="Z325" s="33"/>
      <c r="AA325" s="33"/>
      <c r="AB325" s="438"/>
      <c r="AC325" s="33"/>
    </row>
    <row r="326" spans="1:29" x14ac:dyDescent="0.3">
      <c r="A326" s="682">
        <v>44774.069444444445</v>
      </c>
      <c r="B326" s="682">
        <v>44780.006944444445</v>
      </c>
      <c r="C326" s="23"/>
      <c r="D326" s="14"/>
      <c r="E326" s="35" t="s">
        <v>45</v>
      </c>
      <c r="F326" s="36" t="s">
        <v>328</v>
      </c>
      <c r="G326" s="433">
        <f>90450</f>
        <v>90450</v>
      </c>
      <c r="H326" s="433"/>
      <c r="I326" s="26">
        <v>90450</v>
      </c>
      <c r="J326" s="31">
        <f t="shared" si="153"/>
        <v>0</v>
      </c>
      <c r="K326" s="636">
        <f>'[263]MANALAGI DASA'!$F$112</f>
        <v>1.9305555555547471</v>
      </c>
      <c r="L326" s="27">
        <f>'[264]OCEAN LUCKY'!$F$128</f>
        <v>1.5572916666630288</v>
      </c>
      <c r="M326" s="434">
        <f t="shared" si="145"/>
        <v>46851.798561170697</v>
      </c>
      <c r="N326" s="434">
        <f t="shared" si="146"/>
        <v>58081.605351306251</v>
      </c>
      <c r="O326" s="434">
        <v>30000</v>
      </c>
      <c r="P326" s="648">
        <v>164974</v>
      </c>
      <c r="Q326" s="648">
        <v>146204</v>
      </c>
      <c r="R326" s="648">
        <f t="shared" si="155"/>
        <v>18770</v>
      </c>
      <c r="S326" s="435">
        <f t="shared" si="147"/>
        <v>0.20751796572692094</v>
      </c>
      <c r="T326" s="435">
        <f t="shared" si="148"/>
        <v>0.20751796572692094</v>
      </c>
      <c r="U326" s="435"/>
      <c r="V326" s="436"/>
      <c r="W326" s="437"/>
      <c r="X326" s="54">
        <v>2.64</v>
      </c>
      <c r="Y326" s="54">
        <f t="shared" ref="Y326:Y333" si="159">G326*X326</f>
        <v>238788</v>
      </c>
      <c r="Z326" s="33"/>
      <c r="AA326" s="33"/>
      <c r="AB326" s="438"/>
      <c r="AC326" s="33"/>
    </row>
    <row r="327" spans="1:29" x14ac:dyDescent="0.3">
      <c r="A327" s="682">
        <v>44782.895833333336</v>
      </c>
      <c r="B327" s="682">
        <v>44785.416666666664</v>
      </c>
      <c r="C327" s="23"/>
      <c r="D327" s="14"/>
      <c r="E327" s="35" t="s">
        <v>120</v>
      </c>
      <c r="F327" s="25" t="s">
        <v>32</v>
      </c>
      <c r="G327" s="433">
        <v>88900</v>
      </c>
      <c r="H327" s="433"/>
      <c r="I327" s="433">
        <v>88600</v>
      </c>
      <c r="J327" s="31">
        <f t="shared" si="153"/>
        <v>300</v>
      </c>
      <c r="K327" s="636">
        <f t="shared" ref="K327:K356" si="160">B327-A327</f>
        <v>2.5208333333284827</v>
      </c>
      <c r="L327" s="27">
        <f>'[264]TAIPOWER PROSPERITY VI'!$F$122</f>
        <v>1.5711805555571725</v>
      </c>
      <c r="M327" s="434">
        <f t="shared" si="145"/>
        <v>35266.115702547198</v>
      </c>
      <c r="N327" s="434">
        <f t="shared" si="146"/>
        <v>56581.657458505309</v>
      </c>
      <c r="O327" s="434">
        <v>30000</v>
      </c>
      <c r="P327" s="648">
        <v>141974</v>
      </c>
      <c r="Q327" s="648">
        <v>129164</v>
      </c>
      <c r="R327" s="648">
        <f t="shared" si="155"/>
        <v>12810</v>
      </c>
      <c r="S327" s="435">
        <f t="shared" si="147"/>
        <v>0.14409448818897638</v>
      </c>
      <c r="T327" s="435">
        <f t="shared" si="148"/>
        <v>0.14409448818897638</v>
      </c>
      <c r="U327" s="435"/>
      <c r="V327" s="436"/>
      <c r="W327" s="437"/>
      <c r="X327" s="54">
        <v>2.64</v>
      </c>
      <c r="Y327" s="54">
        <f t="shared" si="159"/>
        <v>234696</v>
      </c>
      <c r="Z327" s="33"/>
      <c r="AA327" s="33"/>
      <c r="AB327" s="438"/>
      <c r="AC327" s="33"/>
    </row>
    <row r="328" spans="1:29" x14ac:dyDescent="0.3">
      <c r="A328" s="682">
        <v>44785.888888888891</v>
      </c>
      <c r="B328" s="682">
        <v>44787.854166666664</v>
      </c>
      <c r="C328" s="23"/>
      <c r="D328" s="14"/>
      <c r="E328" s="35" t="s">
        <v>1140</v>
      </c>
      <c r="F328" s="25" t="s">
        <v>32</v>
      </c>
      <c r="G328" s="433">
        <f>71500</f>
        <v>71500</v>
      </c>
      <c r="H328" s="433"/>
      <c r="I328" s="433">
        <v>71500</v>
      </c>
      <c r="J328" s="31">
        <f t="shared" si="153"/>
        <v>0</v>
      </c>
      <c r="K328" s="636">
        <f t="shared" si="160"/>
        <v>1.9652777777737356</v>
      </c>
      <c r="L328" s="27">
        <f>'[264]EIRINI P'!$F$117</f>
        <v>1.1961805555535345</v>
      </c>
      <c r="M328" s="434">
        <f t="shared" si="145"/>
        <v>36381.625441770942</v>
      </c>
      <c r="N328" s="434">
        <f t="shared" si="146"/>
        <v>59773.584905761367</v>
      </c>
      <c r="O328" s="434">
        <v>30000</v>
      </c>
      <c r="P328" s="648">
        <v>128368</v>
      </c>
      <c r="Q328" s="648">
        <v>118253</v>
      </c>
      <c r="R328" s="648">
        <f t="shared" si="155"/>
        <v>10115</v>
      </c>
      <c r="S328" s="435">
        <f t="shared" si="147"/>
        <v>0.14146853146853147</v>
      </c>
      <c r="T328" s="435">
        <f t="shared" si="148"/>
        <v>0.14146853146853147</v>
      </c>
      <c r="U328" s="435"/>
      <c r="V328" s="436"/>
      <c r="W328" s="437"/>
      <c r="X328" s="54">
        <v>2.64</v>
      </c>
      <c r="Y328" s="54">
        <f t="shared" si="159"/>
        <v>188760</v>
      </c>
      <c r="Z328" s="33"/>
      <c r="AA328" s="33"/>
      <c r="AB328" s="438"/>
      <c r="AC328" s="33"/>
    </row>
    <row r="329" spans="1:29" x14ac:dyDescent="0.3">
      <c r="A329" s="682">
        <v>44788.097222222219</v>
      </c>
      <c r="B329" s="682">
        <v>44790.173611111109</v>
      </c>
      <c r="C329" s="23"/>
      <c r="D329" s="14"/>
      <c r="E329" s="35" t="s">
        <v>920</v>
      </c>
      <c r="F329" s="36" t="s">
        <v>328</v>
      </c>
      <c r="G329" s="433">
        <f>67003</f>
        <v>67003</v>
      </c>
      <c r="H329" s="433"/>
      <c r="I329" s="26">
        <v>67000</v>
      </c>
      <c r="J329" s="31">
        <f t="shared" si="153"/>
        <v>3</v>
      </c>
      <c r="K329" s="636">
        <f t="shared" si="160"/>
        <v>2.0763888888905058</v>
      </c>
      <c r="L329" s="27">
        <f>'[265]MANALAGI DASA'!$F$123</f>
        <v>1.1406249999987874</v>
      </c>
      <c r="M329" s="434">
        <f t="shared" si="145"/>
        <v>32269.003344456476</v>
      </c>
      <c r="N329" s="434">
        <f t="shared" si="146"/>
        <v>58742.356164446013</v>
      </c>
      <c r="O329" s="434">
        <v>30000</v>
      </c>
      <c r="P329" s="648">
        <v>117853</v>
      </c>
      <c r="Q329" s="648">
        <v>107457</v>
      </c>
      <c r="R329" s="648">
        <f t="shared" si="155"/>
        <v>10396</v>
      </c>
      <c r="S329" s="435">
        <f t="shared" si="147"/>
        <v>0.15515723176574184</v>
      </c>
      <c r="T329" s="435">
        <f t="shared" si="148"/>
        <v>0.15515723176574184</v>
      </c>
      <c r="U329" s="435"/>
      <c r="V329" s="436"/>
      <c r="W329" s="437"/>
      <c r="X329" s="54">
        <v>2.64</v>
      </c>
      <c r="Y329" s="54">
        <f t="shared" si="159"/>
        <v>176887.92</v>
      </c>
      <c r="Z329" s="33"/>
      <c r="AA329" s="33"/>
      <c r="AB329" s="438"/>
      <c r="AC329" s="33"/>
    </row>
    <row r="330" spans="1:29" x14ac:dyDescent="0.3">
      <c r="A330" s="682">
        <v>44794.881944444445</v>
      </c>
      <c r="B330" s="682">
        <v>44795.625</v>
      </c>
      <c r="C330" s="23"/>
      <c r="D330" s="14"/>
      <c r="E330" s="71" t="s">
        <v>1141</v>
      </c>
      <c r="F330" s="229" t="s">
        <v>32</v>
      </c>
      <c r="G330" s="512">
        <f>30906</f>
        <v>30906</v>
      </c>
      <c r="H330" s="512"/>
      <c r="I330" s="512">
        <v>75993</v>
      </c>
      <c r="J330" s="31">
        <f t="shared" si="153"/>
        <v>-45087</v>
      </c>
      <c r="K330" s="636">
        <f t="shared" si="160"/>
        <v>0.74305555555474712</v>
      </c>
      <c r="L330" s="27">
        <f>'[265]MODEST SW'!$F$55</f>
        <v>0.5347222222286897</v>
      </c>
      <c r="M330" s="434">
        <f t="shared" si="145"/>
        <v>41593.121495372354</v>
      </c>
      <c r="N330" s="434">
        <f t="shared" si="146"/>
        <v>57798.233765534693</v>
      </c>
      <c r="O330" s="434">
        <v>30000</v>
      </c>
      <c r="P330" s="648">
        <v>100529</v>
      </c>
      <c r="Q330" s="648">
        <v>96425</v>
      </c>
      <c r="R330" s="648">
        <f t="shared" si="155"/>
        <v>4104</v>
      </c>
      <c r="S330" s="435">
        <f t="shared" si="147"/>
        <v>0.13278974956319162</v>
      </c>
      <c r="T330" s="435">
        <f t="shared" si="148"/>
        <v>0.13278974956319162</v>
      </c>
      <c r="U330" s="435"/>
      <c r="V330" s="436"/>
      <c r="W330" s="32"/>
      <c r="X330" s="54">
        <v>2.64</v>
      </c>
      <c r="Y330" s="54">
        <f t="shared" si="159"/>
        <v>81591.840000000011</v>
      </c>
      <c r="Z330" s="33"/>
      <c r="AA330" s="33"/>
      <c r="AB330" s="438"/>
      <c r="AC330" s="33"/>
    </row>
    <row r="331" spans="1:29" x14ac:dyDescent="0.3">
      <c r="A331" s="682">
        <v>44795.895833333336</v>
      </c>
      <c r="B331" s="682">
        <v>44798.5625</v>
      </c>
      <c r="C331" s="23"/>
      <c r="D331" s="14"/>
      <c r="E331" s="35" t="s">
        <v>1142</v>
      </c>
      <c r="F331" s="110" t="s">
        <v>328</v>
      </c>
      <c r="G331" s="487">
        <v>90503</v>
      </c>
      <c r="H331" s="433"/>
      <c r="I331" s="433">
        <v>90490</v>
      </c>
      <c r="J331" s="31">
        <f t="shared" si="153"/>
        <v>13</v>
      </c>
      <c r="K331" s="636">
        <f t="shared" si="160"/>
        <v>2.6666666666642413</v>
      </c>
      <c r="L331" s="27">
        <f>'[265]OCEAN VENUS'!$F$120</f>
        <v>1.5520833333127182</v>
      </c>
      <c r="M331" s="434">
        <f t="shared" si="145"/>
        <v>33938.625000030865</v>
      </c>
      <c r="N331" s="434">
        <f t="shared" si="146"/>
        <v>58310.657718895302</v>
      </c>
      <c r="O331" s="434">
        <v>30000</v>
      </c>
      <c r="P331" s="648">
        <v>96112</v>
      </c>
      <c r="Q331" s="648">
        <v>83548</v>
      </c>
      <c r="R331" s="648">
        <f t="shared" si="155"/>
        <v>12564</v>
      </c>
      <c r="S331" s="435">
        <f t="shared" si="147"/>
        <v>0.13882412737699304</v>
      </c>
      <c r="T331" s="435">
        <f t="shared" si="148"/>
        <v>0.13882412737699304</v>
      </c>
      <c r="U331" s="435"/>
      <c r="V331" s="436"/>
      <c r="W331" s="32"/>
      <c r="X331" s="54">
        <v>2.64</v>
      </c>
      <c r="Y331" s="54">
        <f t="shared" si="159"/>
        <v>238927.92</v>
      </c>
      <c r="Z331" s="33"/>
      <c r="AA331" s="33"/>
      <c r="AB331" s="438"/>
      <c r="AC331" s="33"/>
    </row>
    <row r="332" spans="1:29" x14ac:dyDescent="0.3">
      <c r="A332" s="682">
        <v>44798.864583333336</v>
      </c>
      <c r="B332" s="682">
        <v>44801.239583333336</v>
      </c>
      <c r="C332" s="23"/>
      <c r="D332" s="14"/>
      <c r="E332" s="35" t="s">
        <v>45</v>
      </c>
      <c r="F332" s="36" t="s">
        <v>328</v>
      </c>
      <c r="G332" s="433">
        <f>75642</f>
        <v>75642</v>
      </c>
      <c r="H332" s="433"/>
      <c r="I332" s="433">
        <v>90500</v>
      </c>
      <c r="J332" s="31">
        <f>G332-I332</f>
        <v>-14858</v>
      </c>
      <c r="K332" s="636">
        <f t="shared" si="160"/>
        <v>2.375</v>
      </c>
      <c r="L332" s="27">
        <f>'[265]OCEAN LUCKY (2)'!$F$110</f>
        <v>1.277777777768885</v>
      </c>
      <c r="M332" s="434">
        <f t="shared" si="145"/>
        <v>31849.263157894737</v>
      </c>
      <c r="N332" s="434">
        <f t="shared" si="146"/>
        <v>59198.08695693373</v>
      </c>
      <c r="O332" s="434">
        <v>30000</v>
      </c>
      <c r="P332" s="648">
        <v>82869</v>
      </c>
      <c r="Q332" s="648">
        <v>70978</v>
      </c>
      <c r="R332" s="648">
        <f t="shared" si="155"/>
        <v>11891</v>
      </c>
      <c r="S332" s="435">
        <f t="shared" si="147"/>
        <v>0.1572010258850903</v>
      </c>
      <c r="T332" s="435">
        <f t="shared" si="148"/>
        <v>0.1572010258850903</v>
      </c>
      <c r="U332" s="435"/>
      <c r="V332" s="31"/>
      <c r="W332" s="32"/>
      <c r="X332" s="54">
        <v>2.64</v>
      </c>
      <c r="Y332" s="54">
        <f t="shared" si="159"/>
        <v>199694.88</v>
      </c>
      <c r="Z332" s="33"/>
      <c r="AA332" s="33"/>
      <c r="AB332" s="438"/>
      <c r="AC332" s="33"/>
    </row>
    <row r="333" spans="1:29" x14ac:dyDescent="0.3">
      <c r="A333" s="682">
        <v>44801.673611111109</v>
      </c>
      <c r="B333" s="439">
        <v>44804.652777777781</v>
      </c>
      <c r="C333" s="23"/>
      <c r="D333" s="23"/>
      <c r="E333" s="35" t="s">
        <v>1143</v>
      </c>
      <c r="F333" s="25" t="s">
        <v>328</v>
      </c>
      <c r="G333" s="433">
        <f>60469</f>
        <v>60469</v>
      </c>
      <c r="H333" s="433"/>
      <c r="I333" s="433">
        <v>76800</v>
      </c>
      <c r="J333" s="31">
        <f t="shared" si="153"/>
        <v>-16331</v>
      </c>
      <c r="K333" s="636">
        <f t="shared" si="160"/>
        <v>2.9791666666715173</v>
      </c>
      <c r="L333" s="27">
        <f>'[265]ZHENG RUN'!$F$98</f>
        <v>1.043402777768885</v>
      </c>
      <c r="M333" s="434">
        <f t="shared" si="145"/>
        <v>20297.286713253667</v>
      </c>
      <c r="N333" s="434">
        <f t="shared" si="146"/>
        <v>57953.650582856659</v>
      </c>
      <c r="O333" s="434">
        <v>30000</v>
      </c>
      <c r="P333" s="648">
        <v>70575</v>
      </c>
      <c r="Q333" s="648">
        <v>58804</v>
      </c>
      <c r="R333" s="648">
        <f t="shared" si="155"/>
        <v>11771</v>
      </c>
      <c r="S333" s="435">
        <f t="shared" si="147"/>
        <v>0.19466172749673386</v>
      </c>
      <c r="T333" s="435">
        <f t="shared" si="148"/>
        <v>0.19466172749673386</v>
      </c>
      <c r="U333" s="69"/>
      <c r="V333" s="436"/>
      <c r="W333" s="437"/>
      <c r="X333" s="54">
        <v>2.64</v>
      </c>
      <c r="Y333" s="54">
        <f t="shared" si="159"/>
        <v>159638.16</v>
      </c>
      <c r="Z333" s="33"/>
      <c r="AA333" s="33"/>
      <c r="AB333" s="438"/>
      <c r="AC333" s="33"/>
    </row>
    <row r="334" spans="1:29" x14ac:dyDescent="0.3">
      <c r="A334" s="682">
        <v>44804.9375</v>
      </c>
      <c r="B334" s="682">
        <v>44808.833333333336</v>
      </c>
      <c r="C334" s="23"/>
      <c r="D334" s="14"/>
      <c r="E334" s="35" t="s">
        <v>1144</v>
      </c>
      <c r="F334" s="36" t="s">
        <v>91</v>
      </c>
      <c r="G334" s="433">
        <f>110000</f>
        <v>110000</v>
      </c>
      <c r="H334" s="433"/>
      <c r="I334" s="433">
        <v>110000</v>
      </c>
      <c r="J334" s="31">
        <f t="shared" si="153"/>
        <v>0</v>
      </c>
      <c r="K334" s="636">
        <f t="shared" si="160"/>
        <v>3.8958333333357587</v>
      </c>
      <c r="L334" s="27">
        <f>'[266]REDMER OLDDENDORFF'!$F$163</f>
        <v>1.9149305555753624</v>
      </c>
      <c r="M334" s="434">
        <f t="shared" si="145"/>
        <v>28235.294117629481</v>
      </c>
      <c r="N334" s="434">
        <f t="shared" si="146"/>
        <v>57443.336354800223</v>
      </c>
      <c r="O334" s="434">
        <v>30000</v>
      </c>
      <c r="P334" s="648">
        <f>58454+124268</f>
        <v>182722</v>
      </c>
      <c r="Q334" s="648">
        <v>164993</v>
      </c>
      <c r="R334" s="648">
        <f t="shared" si="155"/>
        <v>17729</v>
      </c>
      <c r="S334" s="435">
        <f t="shared" si="147"/>
        <v>0.16117272727272727</v>
      </c>
      <c r="T334" s="435">
        <f t="shared" si="148"/>
        <v>0.16117272727272727</v>
      </c>
      <c r="U334" s="435"/>
      <c r="V334" s="436"/>
      <c r="W334" s="32"/>
      <c r="X334" s="33"/>
      <c r="Y334" s="33"/>
      <c r="Z334" s="33"/>
      <c r="AA334" s="33"/>
      <c r="AB334" s="438"/>
      <c r="AC334" s="33"/>
    </row>
    <row r="335" spans="1:29" x14ac:dyDescent="0.3">
      <c r="A335" s="682">
        <v>44809.104166666664</v>
      </c>
      <c r="B335" s="682">
        <v>44811.652777777781</v>
      </c>
      <c r="C335" s="23"/>
      <c r="D335" s="14"/>
      <c r="E335" s="35" t="s">
        <v>1145</v>
      </c>
      <c r="F335" s="36" t="s">
        <v>328</v>
      </c>
      <c r="G335" s="433">
        <f>63018</f>
        <v>63018</v>
      </c>
      <c r="H335" s="433"/>
      <c r="I335" s="433">
        <v>63000</v>
      </c>
      <c r="J335" s="31">
        <f t="shared" si="153"/>
        <v>18</v>
      </c>
      <c r="K335" s="636">
        <f t="shared" si="160"/>
        <v>2.5486111111167702</v>
      </c>
      <c r="L335" s="27">
        <f>'[266]TAI HANG 1'!$F$105</f>
        <v>1.0503472222286898</v>
      </c>
      <c r="M335" s="434">
        <f t="shared" si="145"/>
        <v>24726.408719291147</v>
      </c>
      <c r="N335" s="434">
        <f t="shared" si="146"/>
        <v>59997.302478969403</v>
      </c>
      <c r="O335" s="434">
        <v>30000</v>
      </c>
      <c r="P335" s="648">
        <v>164663</v>
      </c>
      <c r="Q335" s="648">
        <v>154405</v>
      </c>
      <c r="R335" s="648">
        <f t="shared" si="155"/>
        <v>10258</v>
      </c>
      <c r="S335" s="435">
        <f t="shared" si="147"/>
        <v>0.16277888857151926</v>
      </c>
      <c r="T335" s="435">
        <f t="shared" si="148"/>
        <v>0.16277888857151926</v>
      </c>
      <c r="U335" s="435"/>
      <c r="V335" s="31"/>
      <c r="W335" s="32"/>
      <c r="X335" s="33"/>
      <c r="Y335" s="33"/>
      <c r="Z335" s="33"/>
      <c r="AA335" s="33"/>
      <c r="AB335" s="438"/>
      <c r="AC335" s="33"/>
    </row>
    <row r="336" spans="1:29" x14ac:dyDescent="0.3">
      <c r="A336" s="682">
        <v>44811.902777777781</v>
      </c>
      <c r="B336" s="439">
        <v>44815.71875</v>
      </c>
      <c r="C336" s="23"/>
      <c r="D336" s="23"/>
      <c r="E336" s="35" t="s">
        <v>1146</v>
      </c>
      <c r="F336" s="110" t="s">
        <v>91</v>
      </c>
      <c r="G336" s="645">
        <f>110000</f>
        <v>110000</v>
      </c>
      <c r="H336" s="433"/>
      <c r="I336" s="433">
        <v>110000</v>
      </c>
      <c r="J336" s="31">
        <f t="shared" si="153"/>
        <v>0</v>
      </c>
      <c r="K336" s="636">
        <f t="shared" si="160"/>
        <v>3.8159722222189885</v>
      </c>
      <c r="L336" s="27">
        <f>[266]EDGAR!$F$156</f>
        <v>2.4149305555498963</v>
      </c>
      <c r="M336" s="434">
        <f t="shared" si="145"/>
        <v>28826.205641516695</v>
      </c>
      <c r="N336" s="434">
        <f t="shared" si="146"/>
        <v>45549.964054743694</v>
      </c>
      <c r="O336" s="434">
        <v>30000</v>
      </c>
      <c r="P336" s="648">
        <v>153893</v>
      </c>
      <c r="Q336" s="648">
        <v>135347</v>
      </c>
      <c r="R336" s="648">
        <f t="shared" si="155"/>
        <v>18546</v>
      </c>
      <c r="S336" s="435">
        <f t="shared" si="147"/>
        <v>0.1686</v>
      </c>
      <c r="T336" s="435">
        <f t="shared" si="148"/>
        <v>0.1686</v>
      </c>
      <c r="U336" s="69"/>
      <c r="V336" s="436"/>
      <c r="W336" s="437"/>
      <c r="X336" s="33"/>
      <c r="Y336" s="33"/>
      <c r="Z336" s="33"/>
      <c r="AA336" s="33"/>
      <c r="AB336" s="438"/>
      <c r="AC336" s="33"/>
    </row>
    <row r="337" spans="1:29" x14ac:dyDescent="0.3">
      <c r="A337" s="682">
        <v>44815.989583333336</v>
      </c>
      <c r="B337" s="439">
        <v>44819.034722222219</v>
      </c>
      <c r="C337" s="23"/>
      <c r="D337" s="23"/>
      <c r="E337" s="35" t="s">
        <v>44</v>
      </c>
      <c r="F337" s="25" t="s">
        <v>39</v>
      </c>
      <c r="G337" s="433">
        <f>89903</f>
        <v>89903</v>
      </c>
      <c r="H337" s="433"/>
      <c r="I337" s="433">
        <v>89900</v>
      </c>
      <c r="J337" s="31">
        <f t="shared" si="153"/>
        <v>3</v>
      </c>
      <c r="K337" s="636">
        <f t="shared" si="160"/>
        <v>3.0451388888832298</v>
      </c>
      <c r="L337" s="27">
        <f>'[266]TAIPOWER PROSPERITY VIII'!$F$141</f>
        <v>1.5434027778052648</v>
      </c>
      <c r="M337" s="434">
        <f t="shared" si="145"/>
        <v>29523.448118640954</v>
      </c>
      <c r="N337" s="434">
        <f t="shared" si="146"/>
        <v>58249.862766116712</v>
      </c>
      <c r="O337" s="434">
        <v>30000</v>
      </c>
      <c r="P337" s="648">
        <v>135038</v>
      </c>
      <c r="Q337" s="648">
        <v>121481</v>
      </c>
      <c r="R337" s="648">
        <f t="shared" si="155"/>
        <v>13557</v>
      </c>
      <c r="S337" s="435">
        <f t="shared" si="147"/>
        <v>0.15079585775780563</v>
      </c>
      <c r="T337" s="435">
        <f t="shared" si="148"/>
        <v>0.15079585775780563</v>
      </c>
      <c r="U337" s="69"/>
      <c r="V337" s="436"/>
      <c r="W337" s="437"/>
      <c r="X337" s="33"/>
      <c r="Y337" s="33"/>
      <c r="Z337" s="33"/>
      <c r="AA337" s="33"/>
      <c r="AB337" s="438"/>
      <c r="AC337" s="33"/>
    </row>
    <row r="338" spans="1:29" x14ac:dyDescent="0.3">
      <c r="A338" s="682">
        <v>44819.65625</v>
      </c>
      <c r="B338" s="439">
        <v>44823.177083333336</v>
      </c>
      <c r="C338" s="23"/>
      <c r="D338" s="23"/>
      <c r="E338" s="35" t="s">
        <v>1147</v>
      </c>
      <c r="F338" s="25" t="s">
        <v>333</v>
      </c>
      <c r="G338" s="433">
        <f>90200</f>
        <v>90200</v>
      </c>
      <c r="H338" s="433"/>
      <c r="I338" s="433">
        <v>90200</v>
      </c>
      <c r="J338" s="31">
        <f t="shared" si="153"/>
        <v>0</v>
      </c>
      <c r="K338" s="636">
        <f t="shared" si="160"/>
        <v>3.5208333333357587</v>
      </c>
      <c r="L338" s="27">
        <f>'[266]HC PROGRESS'!$F$127</f>
        <v>1.5625000000097014</v>
      </c>
      <c r="M338" s="434">
        <f t="shared" si="145"/>
        <v>25618.934911224955</v>
      </c>
      <c r="N338" s="434">
        <f t="shared" si="146"/>
        <v>57727.999999641572</v>
      </c>
      <c r="O338" s="434">
        <v>30000</v>
      </c>
      <c r="P338" s="648">
        <v>119681</v>
      </c>
      <c r="Q338" s="648">
        <v>104988</v>
      </c>
      <c r="R338" s="648">
        <f t="shared" si="155"/>
        <v>14693</v>
      </c>
      <c r="S338" s="435">
        <f t="shared" si="147"/>
        <v>0.16289356984478937</v>
      </c>
      <c r="T338" s="435">
        <f t="shared" si="148"/>
        <v>0.16289356984478937</v>
      </c>
      <c r="U338" s="69"/>
      <c r="V338" s="436"/>
      <c r="W338" s="437"/>
      <c r="X338" s="33"/>
      <c r="Y338" s="33"/>
      <c r="Z338" s="33"/>
      <c r="AA338" s="33"/>
      <c r="AB338" s="438"/>
      <c r="AC338" s="33"/>
    </row>
    <row r="339" spans="1:29" x14ac:dyDescent="0.3">
      <c r="A339" s="682">
        <v>44823.625</v>
      </c>
      <c r="B339" s="439">
        <v>44827.256944444445</v>
      </c>
      <c r="C339" s="23"/>
      <c r="D339" s="23"/>
      <c r="E339" s="35" t="s">
        <v>1148</v>
      </c>
      <c r="F339" s="25" t="s">
        <v>91</v>
      </c>
      <c r="G339" s="433">
        <v>102810</v>
      </c>
      <c r="H339" s="433"/>
      <c r="I339" s="433">
        <v>102810</v>
      </c>
      <c r="J339" s="31">
        <f t="shared" si="153"/>
        <v>0</v>
      </c>
      <c r="K339" s="636">
        <f t="shared" si="160"/>
        <v>3.6319444444452529</v>
      </c>
      <c r="L339" s="27">
        <f>'[266]AMAZING SALUTE'!$F$150</f>
        <v>1.7465277778125408</v>
      </c>
      <c r="M339" s="434">
        <f t="shared" si="145"/>
        <v>28307.151051618937</v>
      </c>
      <c r="N339" s="434">
        <f t="shared" si="146"/>
        <v>58865.367792068901</v>
      </c>
      <c r="O339" s="434">
        <v>30000</v>
      </c>
      <c r="P339" s="648">
        <v>104262</v>
      </c>
      <c r="Q339" s="648">
        <v>88827</v>
      </c>
      <c r="R339" s="648">
        <f t="shared" si="155"/>
        <v>15435</v>
      </c>
      <c r="S339" s="435">
        <f t="shared" si="147"/>
        <v>0.15013131018383427</v>
      </c>
      <c r="T339" s="435">
        <f t="shared" si="148"/>
        <v>0.15013131018383427</v>
      </c>
      <c r="U339" s="69"/>
      <c r="V339" s="436"/>
      <c r="W339" s="437"/>
      <c r="X339" s="33"/>
      <c r="Y339" s="33"/>
      <c r="Z339" s="33"/>
      <c r="AA339" s="33"/>
      <c r="AB339" s="438"/>
      <c r="AC339" s="33"/>
    </row>
    <row r="340" spans="1:29" x14ac:dyDescent="0.3">
      <c r="A340" s="682">
        <v>44830.555555555555</v>
      </c>
      <c r="B340" s="682">
        <v>44835.152777777781</v>
      </c>
      <c r="C340" s="23"/>
      <c r="D340" s="14"/>
      <c r="E340" s="35" t="s">
        <v>1149</v>
      </c>
      <c r="F340" s="25" t="s">
        <v>91</v>
      </c>
      <c r="G340" s="634">
        <f>106834</f>
        <v>106834</v>
      </c>
      <c r="H340" s="433"/>
      <c r="I340" s="433">
        <v>106940</v>
      </c>
      <c r="J340" s="31">
        <f>G340-I340</f>
        <v>-106</v>
      </c>
      <c r="K340" s="636">
        <f t="shared" si="160"/>
        <v>4.5972222222262644</v>
      </c>
      <c r="L340" s="27">
        <f>'[267]PHILIPP OLDENDORFF'!$F$172</f>
        <v>1.9062500000242533</v>
      </c>
      <c r="M340" s="434">
        <f t="shared" si="145"/>
        <v>23238.815709949355</v>
      </c>
      <c r="N340" s="434">
        <f t="shared" si="146"/>
        <v>56044.065573057444</v>
      </c>
      <c r="O340" s="434">
        <v>30000</v>
      </c>
      <c r="P340" s="648">
        <f>83769+124161</f>
        <v>207930</v>
      </c>
      <c r="Q340" s="648">
        <v>187792</v>
      </c>
      <c r="R340" s="648">
        <f t="shared" si="155"/>
        <v>20138</v>
      </c>
      <c r="S340" s="435">
        <f t="shared" si="147"/>
        <v>0.18849804369395512</v>
      </c>
      <c r="T340" s="435">
        <f t="shared" si="148"/>
        <v>0.18849804369395512</v>
      </c>
      <c r="U340" s="435"/>
      <c r="V340" s="436"/>
      <c r="W340" s="437"/>
      <c r="X340" s="33"/>
      <c r="Y340" s="33"/>
      <c r="Z340" s="33"/>
      <c r="AA340" s="33"/>
      <c r="AB340" s="438"/>
      <c r="AC340" s="33"/>
    </row>
    <row r="341" spans="1:29" x14ac:dyDescent="0.3">
      <c r="A341" s="682">
        <v>44835.90625</v>
      </c>
      <c r="B341" s="682">
        <v>44838.277777777781</v>
      </c>
      <c r="C341" s="23"/>
      <c r="D341" s="14"/>
      <c r="E341" s="35" t="s">
        <v>1150</v>
      </c>
      <c r="F341" s="36" t="s">
        <v>328</v>
      </c>
      <c r="G341" s="433">
        <f>77000</f>
        <v>77000</v>
      </c>
      <c r="H341" s="433"/>
      <c r="I341" s="433">
        <v>77000</v>
      </c>
      <c r="J341" s="31">
        <f t="shared" si="153"/>
        <v>0</v>
      </c>
      <c r="K341" s="636">
        <f t="shared" si="160"/>
        <v>2.3715277777810115</v>
      </c>
      <c r="L341" s="27">
        <f>'[267]THERESA HEBEI'!$F$110</f>
        <v>1.4288194444585922</v>
      </c>
      <c r="M341" s="434">
        <f t="shared" si="145"/>
        <v>32468.521229823957</v>
      </c>
      <c r="N341" s="434">
        <f t="shared" si="146"/>
        <v>53890.643984885588</v>
      </c>
      <c r="O341" s="434">
        <v>30000</v>
      </c>
      <c r="P341" s="648">
        <v>186882</v>
      </c>
      <c r="Q341" s="648">
        <v>174942</v>
      </c>
      <c r="R341" s="648">
        <f t="shared" si="155"/>
        <v>11940</v>
      </c>
      <c r="S341" s="435">
        <f t="shared" si="147"/>
        <v>0.15506493506493507</v>
      </c>
      <c r="T341" s="435">
        <f t="shared" si="148"/>
        <v>0.15506493506493507</v>
      </c>
      <c r="U341" s="435"/>
      <c r="V341" s="436"/>
      <c r="W341" s="32"/>
      <c r="X341" s="33"/>
      <c r="Y341" s="33"/>
      <c r="Z341" s="33"/>
      <c r="AA341" s="33"/>
      <c r="AB341" s="438"/>
      <c r="AC341" s="33"/>
    </row>
    <row r="342" spans="1:29" x14ac:dyDescent="0.3">
      <c r="A342" s="682">
        <v>44848.836805555555</v>
      </c>
      <c r="B342" s="439">
        <v>44852.625</v>
      </c>
      <c r="C342" s="23"/>
      <c r="D342" s="23"/>
      <c r="E342" s="35" t="s">
        <v>1151</v>
      </c>
      <c r="F342" s="25" t="s">
        <v>333</v>
      </c>
      <c r="G342" s="433">
        <f>88000</f>
        <v>88000</v>
      </c>
      <c r="H342" s="433"/>
      <c r="I342" s="433">
        <v>88000</v>
      </c>
      <c r="J342" s="31">
        <f t="shared" si="153"/>
        <v>0</v>
      </c>
      <c r="K342" s="636">
        <f t="shared" si="160"/>
        <v>3.7881944444452529</v>
      </c>
      <c r="L342" s="27">
        <f>'[267]DECLAN DUFF'!$F$128</f>
        <v>1.4843750000169773</v>
      </c>
      <c r="M342" s="434">
        <f t="shared" si="145"/>
        <v>23230.064161314931</v>
      </c>
      <c r="N342" s="434">
        <f t="shared" si="146"/>
        <v>59284.210525637733</v>
      </c>
      <c r="O342" s="434">
        <v>30000</v>
      </c>
      <c r="P342" s="648">
        <v>149402</v>
      </c>
      <c r="Q342" s="648">
        <v>134657</v>
      </c>
      <c r="R342" s="648">
        <f t="shared" si="155"/>
        <v>14745</v>
      </c>
      <c r="S342" s="435">
        <f t="shared" si="147"/>
        <v>0.1675568181818182</v>
      </c>
      <c r="T342" s="435">
        <f t="shared" si="148"/>
        <v>0.1675568181818182</v>
      </c>
      <c r="U342" s="69"/>
      <c r="V342" s="436"/>
      <c r="W342" s="437"/>
      <c r="X342" s="33"/>
      <c r="Y342" s="33"/>
      <c r="Z342" s="33"/>
      <c r="AA342" s="33"/>
      <c r="AB342" s="438"/>
      <c r="AC342" s="33"/>
    </row>
    <row r="343" spans="1:29" x14ac:dyDescent="0.3">
      <c r="A343" s="439">
        <v>44860.104166666664</v>
      </c>
      <c r="B343" s="439">
        <v>44862.138888888891</v>
      </c>
      <c r="C343" s="23"/>
      <c r="D343" s="23"/>
      <c r="E343" s="35" t="s">
        <v>85</v>
      </c>
      <c r="F343" s="25" t="s">
        <v>212</v>
      </c>
      <c r="G343" s="433">
        <v>54500</v>
      </c>
      <c r="H343" s="433"/>
      <c r="I343" s="433">
        <v>54500</v>
      </c>
      <c r="J343" s="31">
        <f t="shared" si="153"/>
        <v>0</v>
      </c>
      <c r="K343" s="636">
        <f t="shared" si="160"/>
        <v>2.0347222222262644</v>
      </c>
      <c r="L343" s="27">
        <f>[267]GRA!$F$86</f>
        <v>0.99131944442948827</v>
      </c>
      <c r="M343" s="434">
        <f t="shared" si="145"/>
        <v>26784.982935100372</v>
      </c>
      <c r="N343" s="434">
        <f t="shared" si="146"/>
        <v>54977.232925522971</v>
      </c>
      <c r="O343" s="434">
        <v>30000</v>
      </c>
      <c r="P343" s="648">
        <v>123241</v>
      </c>
      <c r="Q343" s="648">
        <v>112901</v>
      </c>
      <c r="R343" s="648">
        <f t="shared" si="155"/>
        <v>10340</v>
      </c>
      <c r="S343" s="435">
        <f t="shared" si="147"/>
        <v>0.18972477064220183</v>
      </c>
      <c r="T343" s="435">
        <f t="shared" si="148"/>
        <v>0.18972477064220183</v>
      </c>
      <c r="U343" s="435"/>
      <c r="V343" s="436"/>
      <c r="W343" s="437"/>
      <c r="X343" s="33"/>
      <c r="Y343" s="33"/>
      <c r="Z343" s="33"/>
      <c r="AA343" s="33"/>
      <c r="AB343" s="438"/>
      <c r="AC343" s="33"/>
    </row>
    <row r="344" spans="1:29" x14ac:dyDescent="0.3">
      <c r="A344" s="439">
        <v>44862.826388888891</v>
      </c>
      <c r="B344" s="439">
        <v>44865.649305555555</v>
      </c>
      <c r="C344" s="23"/>
      <c r="D344" s="23"/>
      <c r="E344" s="35" t="s">
        <v>1152</v>
      </c>
      <c r="F344" s="25" t="s">
        <v>333</v>
      </c>
      <c r="G344" s="433">
        <f>87450</f>
        <v>87450</v>
      </c>
      <c r="H344" s="433"/>
      <c r="I344" s="433">
        <v>87450</v>
      </c>
      <c r="J344" s="31">
        <f t="shared" si="153"/>
        <v>0</v>
      </c>
      <c r="K344" s="636">
        <f t="shared" si="160"/>
        <v>2.8229166666642413</v>
      </c>
      <c r="L344" s="27">
        <f>[267]PELLONIA!$F$135</f>
        <v>1.4999999999987874</v>
      </c>
      <c r="M344" s="434">
        <f t="shared" si="145"/>
        <v>30978.597786004477</v>
      </c>
      <c r="N344" s="434">
        <f t="shared" si="146"/>
        <v>58300.000000047126</v>
      </c>
      <c r="O344" s="434">
        <v>30000</v>
      </c>
      <c r="P344" s="648">
        <v>111926</v>
      </c>
      <c r="Q344" s="648">
        <v>97436</v>
      </c>
      <c r="R344" s="648">
        <f t="shared" si="155"/>
        <v>14490</v>
      </c>
      <c r="S344" s="435">
        <f t="shared" si="147"/>
        <v>0.16569468267581475</v>
      </c>
      <c r="T344" s="435">
        <f t="shared" si="148"/>
        <v>0.16569468267581475</v>
      </c>
      <c r="U344" s="435"/>
      <c r="V344" s="436"/>
      <c r="W344" s="437"/>
      <c r="X344" s="33"/>
      <c r="Y344" s="33"/>
      <c r="Z344" s="33"/>
      <c r="AA344" s="33"/>
      <c r="AB344" s="438"/>
      <c r="AC344" s="33"/>
    </row>
    <row r="345" spans="1:29" x14ac:dyDescent="0.3">
      <c r="A345" s="682">
        <v>44867.034722222219</v>
      </c>
      <c r="B345" s="439">
        <v>44869.951388888891</v>
      </c>
      <c r="C345" s="23"/>
      <c r="D345" s="23"/>
      <c r="E345" s="35" t="s">
        <v>296</v>
      </c>
      <c r="F345" s="25" t="s">
        <v>328</v>
      </c>
      <c r="G345" s="433">
        <f>75600</f>
        <v>75600</v>
      </c>
      <c r="H345" s="433"/>
      <c r="I345" s="433">
        <v>75600</v>
      </c>
      <c r="J345" s="31">
        <f t="shared" si="153"/>
        <v>0</v>
      </c>
      <c r="K345" s="636">
        <f t="shared" si="160"/>
        <v>2.9166666666715173</v>
      </c>
      <c r="L345" s="27">
        <f>'[268]HC SUNSHINE'!$F$106</f>
        <v>1.3680555555644485</v>
      </c>
      <c r="M345" s="434">
        <f t="shared" si="145"/>
        <v>25919.999999956894</v>
      </c>
      <c r="N345" s="434">
        <f t="shared" si="146"/>
        <v>55260.913705224535</v>
      </c>
      <c r="O345" s="434">
        <v>30000</v>
      </c>
      <c r="P345" s="648">
        <v>95365</v>
      </c>
      <c r="Q345" s="648">
        <v>83101</v>
      </c>
      <c r="R345" s="648">
        <f t="shared" si="155"/>
        <v>12264</v>
      </c>
      <c r="S345" s="435">
        <f t="shared" si="147"/>
        <v>0.16222222222222221</v>
      </c>
      <c r="T345" s="435">
        <f t="shared" si="148"/>
        <v>0.16222222222222221</v>
      </c>
      <c r="U345" s="69"/>
      <c r="V345" s="436"/>
      <c r="W345" s="437"/>
      <c r="X345" s="33"/>
      <c r="Y345" s="33"/>
      <c r="Z345" s="33"/>
      <c r="AA345" s="33"/>
      <c r="AB345" s="438"/>
      <c r="AC345" s="33"/>
    </row>
    <row r="346" spans="1:29" x14ac:dyDescent="0.3">
      <c r="A346" s="682">
        <v>44877.895833333336</v>
      </c>
      <c r="B346" s="439">
        <v>44880.319444444445</v>
      </c>
      <c r="C346" s="23"/>
      <c r="D346" s="23"/>
      <c r="E346" s="35" t="s">
        <v>1153</v>
      </c>
      <c r="F346" s="25" t="s">
        <v>328</v>
      </c>
      <c r="G346" s="433">
        <v>77000</v>
      </c>
      <c r="H346" s="433"/>
      <c r="I346" s="433">
        <v>77000</v>
      </c>
      <c r="J346" s="31">
        <f t="shared" si="153"/>
        <v>0</v>
      </c>
      <c r="K346" s="636">
        <f t="shared" si="160"/>
        <v>2.4236111111094942</v>
      </c>
      <c r="L346" s="27">
        <f>'[268]AEOLIAN HERITAGE'!$F$126</f>
        <v>1.3246527777907129</v>
      </c>
      <c r="M346" s="434">
        <f t="shared" si="145"/>
        <v>31770.773638989678</v>
      </c>
      <c r="N346" s="434">
        <f t="shared" si="146"/>
        <v>58128.440366404859</v>
      </c>
      <c r="O346" s="434">
        <v>30000</v>
      </c>
      <c r="P346" s="648">
        <v>195054</v>
      </c>
      <c r="Q346" s="648">
        <v>182660</v>
      </c>
      <c r="R346" s="648">
        <f t="shared" si="155"/>
        <v>12394</v>
      </c>
      <c r="S346" s="435">
        <f t="shared" si="147"/>
        <v>0.16096103896103897</v>
      </c>
      <c r="T346" s="435">
        <f t="shared" si="148"/>
        <v>0.16096103896103897</v>
      </c>
      <c r="U346" s="69"/>
      <c r="V346" s="436"/>
      <c r="W346" s="437"/>
      <c r="X346" s="33"/>
      <c r="Y346" s="33"/>
      <c r="Z346" s="33"/>
      <c r="AA346" s="33"/>
      <c r="AB346" s="438"/>
      <c r="AC346" s="33"/>
    </row>
    <row r="347" spans="1:29" x14ac:dyDescent="0.3">
      <c r="A347" s="682">
        <v>44880.78125</v>
      </c>
      <c r="B347" s="439">
        <v>44882.743055555555</v>
      </c>
      <c r="C347" s="23"/>
      <c r="D347" s="23"/>
      <c r="E347" s="35" t="s">
        <v>1154</v>
      </c>
      <c r="F347" s="25" t="s">
        <v>328</v>
      </c>
      <c r="G347" s="433">
        <f>54056</f>
        <v>54056</v>
      </c>
      <c r="H347" s="433"/>
      <c r="I347" s="433">
        <v>84500</v>
      </c>
      <c r="J347" s="31">
        <f>G347-I347</f>
        <v>-30444</v>
      </c>
      <c r="K347" s="636">
        <f t="shared" si="160"/>
        <v>1.9618055555547471</v>
      </c>
      <c r="L347" s="27">
        <f>'[268]THE EVOLUTION'!$F$90</f>
        <v>0.98263888889293105</v>
      </c>
      <c r="M347" s="434">
        <f t="shared" si="145"/>
        <v>27554.208849568877</v>
      </c>
      <c r="N347" s="434">
        <f t="shared" si="146"/>
        <v>55011.053003307279</v>
      </c>
      <c r="O347" s="434">
        <v>30000</v>
      </c>
      <c r="P347" s="648">
        <v>181724</v>
      </c>
      <c r="Q347" s="648">
        <v>172224</v>
      </c>
      <c r="R347" s="648">
        <f t="shared" si="155"/>
        <v>9500</v>
      </c>
      <c r="S347" s="435">
        <f t="shared" si="147"/>
        <v>0.1757436732277638</v>
      </c>
      <c r="T347" s="435">
        <f t="shared" si="148"/>
        <v>0.1757436732277638</v>
      </c>
      <c r="U347" s="69"/>
      <c r="V347" s="436"/>
      <c r="W347" s="437"/>
      <c r="X347" s="33"/>
      <c r="Y347" s="33"/>
      <c r="Z347" s="33"/>
      <c r="AA347" s="33"/>
      <c r="AB347" s="438"/>
      <c r="AC347" s="33"/>
    </row>
    <row r="348" spans="1:29" x14ac:dyDescent="0.3">
      <c r="A348" s="682">
        <v>44884.604166666664</v>
      </c>
      <c r="B348" s="439">
        <v>44887.1875</v>
      </c>
      <c r="C348" s="23"/>
      <c r="D348" s="23"/>
      <c r="E348" s="35" t="s">
        <v>1155</v>
      </c>
      <c r="F348" s="25" t="s">
        <v>91</v>
      </c>
      <c r="G348" s="433">
        <v>64573</v>
      </c>
      <c r="H348" s="433"/>
      <c r="I348" s="433">
        <v>91713</v>
      </c>
      <c r="J348" s="31">
        <f t="shared" si="153"/>
        <v>-27140</v>
      </c>
      <c r="K348" s="636">
        <f t="shared" si="160"/>
        <v>2.5833333333357587</v>
      </c>
      <c r="L348" s="27">
        <f>'[268]REGINA OLDENDORFF'!$F$99</f>
        <v>1.1197916666557528</v>
      </c>
      <c r="M348" s="434">
        <f t="shared" si="145"/>
        <v>24995.999999976531</v>
      </c>
      <c r="N348" s="434">
        <f t="shared" si="146"/>
        <v>57665.190698236445</v>
      </c>
      <c r="O348" s="434">
        <v>30000</v>
      </c>
      <c r="P348" s="648">
        <v>169494</v>
      </c>
      <c r="Q348" s="648">
        <v>158896</v>
      </c>
      <c r="R348" s="648">
        <f t="shared" si="155"/>
        <v>10598</v>
      </c>
      <c r="S348" s="435">
        <f t="shared" si="147"/>
        <v>0.16412432440803432</v>
      </c>
      <c r="T348" s="435">
        <f t="shared" si="148"/>
        <v>0.16412432440803432</v>
      </c>
      <c r="U348" s="69"/>
      <c r="V348" s="436"/>
      <c r="W348" s="437"/>
      <c r="X348" s="33"/>
      <c r="Y348" s="33"/>
      <c r="Z348" s="33"/>
      <c r="AA348" s="33"/>
      <c r="AB348" s="438"/>
      <c r="AC348" s="33"/>
    </row>
    <row r="349" spans="1:29" x14ac:dyDescent="0.3">
      <c r="A349" s="682">
        <v>44890.951388888891</v>
      </c>
      <c r="B349" s="439">
        <v>44891.708333333336</v>
      </c>
      <c r="C349" s="23"/>
      <c r="D349" s="23"/>
      <c r="E349" s="35" t="s">
        <v>278</v>
      </c>
      <c r="F349" s="25" t="s">
        <v>328</v>
      </c>
      <c r="G349" s="433">
        <v>24219</v>
      </c>
      <c r="H349" s="433"/>
      <c r="I349" s="433">
        <v>65500</v>
      </c>
      <c r="J349" s="31">
        <f>G349-I349</f>
        <v>-41281</v>
      </c>
      <c r="K349" s="636">
        <f t="shared" si="160"/>
        <v>0.75694444444525288</v>
      </c>
      <c r="L349" s="27">
        <f>'[268]ANDHIKA KANISHKA'!$F$65</f>
        <v>0.40798611111919553</v>
      </c>
      <c r="M349" s="434">
        <f t="shared" si="145"/>
        <v>31995.743119231884</v>
      </c>
      <c r="N349" s="434">
        <f t="shared" si="146"/>
        <v>59362.314892440729</v>
      </c>
      <c r="O349" s="434">
        <v>30000</v>
      </c>
      <c r="P349" s="648">
        <v>152821</v>
      </c>
      <c r="Q349" s="648">
        <v>147856</v>
      </c>
      <c r="R349" s="648">
        <f t="shared" si="155"/>
        <v>4965</v>
      </c>
      <c r="S349" s="435">
        <f t="shared" si="147"/>
        <v>0.20500433543911806</v>
      </c>
      <c r="T349" s="435">
        <f t="shared" si="148"/>
        <v>0.20500433543911806</v>
      </c>
      <c r="U349" s="435"/>
      <c r="V349" s="436"/>
      <c r="W349" s="437"/>
      <c r="X349" s="33"/>
      <c r="Y349" s="33"/>
      <c r="Z349" s="33"/>
      <c r="AA349" s="33"/>
      <c r="AB349" s="438"/>
      <c r="AC349" s="33"/>
    </row>
    <row r="350" spans="1:29" x14ac:dyDescent="0.3">
      <c r="A350" s="682">
        <v>44896.798611111109</v>
      </c>
      <c r="B350" s="439">
        <v>44898.590277777781</v>
      </c>
      <c r="C350" s="23"/>
      <c r="D350" s="23"/>
      <c r="E350" s="35" t="s">
        <v>1156</v>
      </c>
      <c r="F350" s="25" t="s">
        <v>328</v>
      </c>
      <c r="G350" s="433">
        <v>35848</v>
      </c>
      <c r="H350" s="433"/>
      <c r="I350" s="433">
        <v>77000</v>
      </c>
      <c r="J350" s="31">
        <f t="shared" si="153"/>
        <v>-41152</v>
      </c>
      <c r="K350" s="636">
        <f t="shared" si="160"/>
        <v>1.7916666666715173</v>
      </c>
      <c r="L350" s="27">
        <f>[269]CHORUS!$F$65</f>
        <v>0.64236111112647143</v>
      </c>
      <c r="M350" s="434">
        <f t="shared" ref="M350:M356" si="161">(G350)/K350</f>
        <v>20008.18604645746</v>
      </c>
      <c r="N350" s="434">
        <f t="shared" ref="N350:N356" si="162">(G350)/L350</f>
        <v>55806.616214881753</v>
      </c>
      <c r="O350" s="434">
        <v>30000</v>
      </c>
      <c r="P350" s="648">
        <v>141640</v>
      </c>
      <c r="Q350" s="648">
        <v>134307</v>
      </c>
      <c r="R350" s="648">
        <f t="shared" si="155"/>
        <v>7333</v>
      </c>
      <c r="S350" s="435">
        <f t="shared" ref="S350:S356" si="163">R350/(G350)</f>
        <v>0.20455813434501227</v>
      </c>
      <c r="T350" s="435">
        <f t="shared" ref="T350:T356" si="164">R350/(G350)</f>
        <v>0.20455813434501227</v>
      </c>
      <c r="U350" s="69"/>
      <c r="V350" s="436"/>
      <c r="W350" s="437"/>
      <c r="X350" s="33"/>
      <c r="Y350" s="33"/>
      <c r="Z350" s="33"/>
      <c r="AA350" s="33"/>
      <c r="AB350" s="438"/>
      <c r="AC350" s="33"/>
    </row>
    <row r="351" spans="1:29" x14ac:dyDescent="0.3">
      <c r="A351" s="682">
        <v>44898.916666666664</v>
      </c>
      <c r="B351" s="439">
        <v>44901.5</v>
      </c>
      <c r="C351" s="23"/>
      <c r="D351" s="23"/>
      <c r="E351" s="35" t="s">
        <v>1157</v>
      </c>
      <c r="F351" s="25" t="s">
        <v>328</v>
      </c>
      <c r="G351" s="433">
        <f>88000</f>
        <v>88000</v>
      </c>
      <c r="H351" s="433"/>
      <c r="I351" s="433">
        <v>88000</v>
      </c>
      <c r="J351" s="31">
        <f t="shared" si="153"/>
        <v>0</v>
      </c>
      <c r="K351" s="636">
        <f t="shared" si="160"/>
        <v>2.5833333333357587</v>
      </c>
      <c r="L351" s="27">
        <f>'[269]CEMTEX EXELLENCE'!$F$121</f>
        <v>1.550347222188672</v>
      </c>
      <c r="M351" s="434">
        <f t="shared" si="161"/>
        <v>34064.51612900028</v>
      </c>
      <c r="N351" s="434">
        <f t="shared" si="162"/>
        <v>56761.478164722183</v>
      </c>
      <c r="O351" s="434">
        <v>30000</v>
      </c>
      <c r="P351" s="648">
        <v>133852</v>
      </c>
      <c r="Q351" s="648">
        <v>121261</v>
      </c>
      <c r="R351" s="648">
        <f t="shared" si="155"/>
        <v>12591</v>
      </c>
      <c r="S351" s="435">
        <f t="shared" si="163"/>
        <v>0.14307954545454546</v>
      </c>
      <c r="T351" s="435">
        <f t="shared" si="164"/>
        <v>0.14307954545454546</v>
      </c>
      <c r="U351" s="435"/>
      <c r="V351" s="436"/>
      <c r="W351" s="437"/>
      <c r="X351" s="33"/>
      <c r="Y351" s="33"/>
      <c r="Z351" s="33"/>
      <c r="AA351" s="33"/>
      <c r="AB351" s="438"/>
      <c r="AC351" s="33"/>
    </row>
    <row r="352" spans="1:29" x14ac:dyDescent="0.3">
      <c r="A352" s="682">
        <v>44903.392361111109</v>
      </c>
      <c r="B352" s="439">
        <v>44906.409722222219</v>
      </c>
      <c r="C352" s="23"/>
      <c r="D352" s="23"/>
      <c r="E352" s="35" t="s">
        <v>1150</v>
      </c>
      <c r="F352" s="25" t="s">
        <v>328</v>
      </c>
      <c r="G352" s="433">
        <v>77000</v>
      </c>
      <c r="H352" s="433"/>
      <c r="I352" s="433">
        <v>77000</v>
      </c>
      <c r="J352" s="31">
        <f t="shared" si="153"/>
        <v>0</v>
      </c>
      <c r="K352" s="636">
        <f t="shared" si="160"/>
        <v>3.0173611111094942</v>
      </c>
      <c r="L352" s="27">
        <f>'[269]THERESA HEBEI'!$F$123</f>
        <v>1.309027777768885</v>
      </c>
      <c r="M352" s="434">
        <f t="shared" si="161"/>
        <v>25518.987341785825</v>
      </c>
      <c r="N352" s="434">
        <f t="shared" si="162"/>
        <v>58822.281167508358</v>
      </c>
      <c r="O352" s="434">
        <v>30000</v>
      </c>
      <c r="P352" s="648">
        <v>117944</v>
      </c>
      <c r="Q352" s="648">
        <v>104784</v>
      </c>
      <c r="R352" s="648">
        <f t="shared" si="155"/>
        <v>13160</v>
      </c>
      <c r="S352" s="435">
        <f t="shared" si="163"/>
        <v>0.1709090909090909</v>
      </c>
      <c r="T352" s="435">
        <f t="shared" si="164"/>
        <v>0.1709090909090909</v>
      </c>
      <c r="U352" s="435"/>
      <c r="V352" s="436"/>
      <c r="W352" s="437"/>
      <c r="X352" s="33"/>
      <c r="Y352" s="33"/>
      <c r="Z352" s="33"/>
      <c r="AA352" s="33"/>
      <c r="AB352" s="438"/>
      <c r="AC352" s="33"/>
    </row>
    <row r="353" spans="1:29" x14ac:dyDescent="0.3">
      <c r="A353" s="682">
        <v>44907.965277777781</v>
      </c>
      <c r="B353" s="439">
        <v>44909.493055555555</v>
      </c>
      <c r="C353" s="23"/>
      <c r="D353" s="23"/>
      <c r="E353" s="35" t="s">
        <v>1158</v>
      </c>
      <c r="F353" s="25" t="s">
        <v>328</v>
      </c>
      <c r="G353" s="433">
        <v>44992</v>
      </c>
      <c r="H353" s="433"/>
      <c r="I353" s="433">
        <v>73050</v>
      </c>
      <c r="J353" s="31">
        <f t="shared" si="153"/>
        <v>-28058</v>
      </c>
      <c r="K353" s="636">
        <f t="shared" si="160"/>
        <v>1.5277777777737356</v>
      </c>
      <c r="L353" s="27">
        <f>[270]EVANGELIA!$F$83</f>
        <v>0.83333333333818393</v>
      </c>
      <c r="M353" s="434">
        <f t="shared" si="161"/>
        <v>29449.309090987008</v>
      </c>
      <c r="N353" s="434">
        <f t="shared" si="162"/>
        <v>53990.399999685738</v>
      </c>
      <c r="O353" s="434">
        <v>30000</v>
      </c>
      <c r="P353" s="648">
        <v>102379</v>
      </c>
      <c r="Q353" s="648">
        <v>94136</v>
      </c>
      <c r="R353" s="648">
        <f t="shared" si="155"/>
        <v>8243</v>
      </c>
      <c r="S353" s="435">
        <f t="shared" si="163"/>
        <v>0.18321034850640114</v>
      </c>
      <c r="T353" s="435">
        <f t="shared" si="164"/>
        <v>0.18321034850640114</v>
      </c>
      <c r="U353" s="435"/>
      <c r="V353" s="436"/>
      <c r="W353" s="437"/>
      <c r="X353" s="33"/>
      <c r="Y353" s="33"/>
      <c r="Z353" s="33"/>
      <c r="AA353" s="33"/>
      <c r="AB353" s="438"/>
      <c r="AC353" s="33"/>
    </row>
    <row r="354" spans="1:29" x14ac:dyDescent="0.3">
      <c r="A354" s="682">
        <v>44909.947916666664</v>
      </c>
      <c r="B354" s="439">
        <v>44912.677083333336</v>
      </c>
      <c r="C354" s="23"/>
      <c r="D354" s="23"/>
      <c r="E354" s="35" t="s">
        <v>1159</v>
      </c>
      <c r="F354" s="25" t="s">
        <v>328</v>
      </c>
      <c r="G354" s="433">
        <v>75216</v>
      </c>
      <c r="H354" s="433"/>
      <c r="I354" s="433">
        <v>75216</v>
      </c>
      <c r="J354" s="31">
        <f t="shared" si="153"/>
        <v>0</v>
      </c>
      <c r="K354" s="636">
        <f t="shared" si="160"/>
        <v>2.7291666666715173</v>
      </c>
      <c r="L354" s="27">
        <f>'[270]GUO YUAN 28'!$F$116</f>
        <v>1.2916666666666667</v>
      </c>
      <c r="M354" s="434">
        <f t="shared" si="161"/>
        <v>27560.061068653307</v>
      </c>
      <c r="N354" s="434">
        <f t="shared" si="162"/>
        <v>58231.741935483871</v>
      </c>
      <c r="O354" s="434">
        <v>30000</v>
      </c>
      <c r="P354" s="648">
        <v>93486</v>
      </c>
      <c r="Q354" s="648">
        <v>81130</v>
      </c>
      <c r="R354" s="648">
        <f t="shared" si="155"/>
        <v>12356</v>
      </c>
      <c r="S354" s="435">
        <f t="shared" si="163"/>
        <v>0.16427355881727293</v>
      </c>
      <c r="T354" s="435">
        <f t="shared" si="164"/>
        <v>0.16427355881727293</v>
      </c>
      <c r="U354" s="435"/>
      <c r="V354" s="436"/>
      <c r="W354" s="437"/>
      <c r="X354" s="33"/>
      <c r="Y354" s="33"/>
      <c r="Z354" s="33"/>
      <c r="AA354" s="33"/>
      <c r="AB354" s="438"/>
      <c r="AC354" s="33"/>
    </row>
    <row r="355" spans="1:29" x14ac:dyDescent="0.3">
      <c r="A355" s="682">
        <v>44913.645833333336</v>
      </c>
      <c r="B355" s="439">
        <v>44916.555555555555</v>
      </c>
      <c r="C355" s="23"/>
      <c r="D355" s="23"/>
      <c r="E355" s="35" t="s">
        <v>1160</v>
      </c>
      <c r="F355" s="25" t="s">
        <v>328</v>
      </c>
      <c r="G355" s="433">
        <f>77000</f>
        <v>77000</v>
      </c>
      <c r="H355" s="433"/>
      <c r="I355" s="433">
        <v>77000</v>
      </c>
      <c r="J355" s="31">
        <f t="shared" si="153"/>
        <v>0</v>
      </c>
      <c r="K355" s="636">
        <f t="shared" si="160"/>
        <v>2.9097222222189885</v>
      </c>
      <c r="L355" s="27">
        <f>'[271]BBG DREAM'!$F$125</f>
        <v>1.3020833333127182</v>
      </c>
      <c r="M355" s="434">
        <f t="shared" si="161"/>
        <v>26463.007159933946</v>
      </c>
      <c r="N355" s="434">
        <f t="shared" si="162"/>
        <v>59136.000000936263</v>
      </c>
      <c r="O355" s="434">
        <v>30000</v>
      </c>
      <c r="P355" s="648">
        <v>203775</v>
      </c>
      <c r="Q355" s="648">
        <v>190305</v>
      </c>
      <c r="R355" s="648">
        <f t="shared" si="155"/>
        <v>13470</v>
      </c>
      <c r="S355" s="435">
        <f t="shared" si="163"/>
        <v>0.17493506493506494</v>
      </c>
      <c r="T355" s="435">
        <f t="shared" si="164"/>
        <v>0.17493506493506494</v>
      </c>
      <c r="U355" s="435"/>
      <c r="V355" s="436"/>
      <c r="W355" s="437"/>
      <c r="X355" s="33"/>
      <c r="Y355" s="33"/>
      <c r="Z355" s="33"/>
      <c r="AA355" s="33"/>
      <c r="AB355" s="438"/>
      <c r="AC355" s="33"/>
    </row>
    <row r="356" spans="1:29" x14ac:dyDescent="0.3">
      <c r="A356" s="682">
        <v>44918.354166666664</v>
      </c>
      <c r="B356" s="439">
        <v>44924.576388888891</v>
      </c>
      <c r="C356" s="23"/>
      <c r="D356" s="23"/>
      <c r="E356" s="35" t="s">
        <v>296</v>
      </c>
      <c r="F356" s="25" t="s">
        <v>328</v>
      </c>
      <c r="G356" s="433">
        <v>75700</v>
      </c>
      <c r="H356" s="433"/>
      <c r="I356" s="433">
        <v>75650</v>
      </c>
      <c r="J356" s="31">
        <f t="shared" si="153"/>
        <v>50</v>
      </c>
      <c r="K356" s="636">
        <f t="shared" si="160"/>
        <v>6.2222222222262644</v>
      </c>
      <c r="L356" s="27">
        <f>'[271]HC SUNSHINE'!$F$117</f>
        <v>1.4444444444331264</v>
      </c>
      <c r="M356" s="434">
        <f t="shared" si="161"/>
        <v>12166.071428563526</v>
      </c>
      <c r="N356" s="434">
        <f t="shared" si="162"/>
        <v>52407.692308102953</v>
      </c>
      <c r="O356" s="434">
        <v>30000</v>
      </c>
      <c r="P356" s="648">
        <v>187650</v>
      </c>
      <c r="Q356" s="648">
        <v>169422</v>
      </c>
      <c r="R356" s="648">
        <f t="shared" si="155"/>
        <v>18228</v>
      </c>
      <c r="S356" s="435">
        <f t="shared" si="163"/>
        <v>0.24079260237780714</v>
      </c>
      <c r="T356" s="435">
        <f t="shared" si="164"/>
        <v>0.24079260237780714</v>
      </c>
      <c r="U356" s="435"/>
      <c r="V356" s="436"/>
      <c r="W356" s="437"/>
      <c r="X356" s="33"/>
      <c r="Y356" s="33"/>
      <c r="Z356" s="33"/>
      <c r="AA356" s="33"/>
      <c r="AB356" s="438"/>
      <c r="AC356" s="33"/>
    </row>
  </sheetData>
  <autoFilter ref="A1:AF356" xr:uid="{B954E3AB-B48A-4209-9ECB-4FDD42A5F703}"/>
  <mergeCells count="2">
    <mergeCell ref="D87:D89"/>
    <mergeCell ref="AB87:AB89"/>
  </mergeCells>
  <pageMargins left="0.70866141732283472" right="0.70866141732283472" top="0.74803149606299213" bottom="0.74803149606299213" header="0.31496062992125984" footer="0.31496062992125984"/>
  <pageSetup scale="38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Bulk Java</vt:lpstr>
      <vt:lpstr>Bulk Borneo</vt:lpstr>
      <vt:lpstr>Bulk Celebes</vt:lpstr>
      <vt:lpstr>Bulk Sumatra</vt:lpstr>
      <vt:lpstr>'Bulk Java'!Print_Area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Zaky Said</dc:creator>
  <cp:lastModifiedBy>Ahmad Zaky Said</cp:lastModifiedBy>
  <dcterms:created xsi:type="dcterms:W3CDTF">2023-02-14T13:10:42Z</dcterms:created>
  <dcterms:modified xsi:type="dcterms:W3CDTF">2023-03-15T07:49:13Z</dcterms:modified>
</cp:coreProperties>
</file>